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are\Dropbox\Rhizome Consulting Group\01. CORPORATE\01.2. OPERATING SYSTEMS\ONGOING PROJECTS\PROJECT TENDERBOX\"/>
    </mc:Choice>
  </mc:AlternateContent>
  <xr:revisionPtr revIDLastSave="0" documentId="13_ncr:1_{55409ACE-04DE-4BC4-A51D-4F746388A5E9}" xr6:coauthVersionLast="47" xr6:coauthVersionMax="47" xr10:uidLastSave="{00000000-0000-0000-0000-000000000000}"/>
  <bookViews>
    <workbookView xWindow="-98" yWindow="-98" windowWidth="21795" windowHeight="13875" tabRatio="853" activeTab="5" xr2:uid="{00000000-000D-0000-FFFF-FFFF00000000}"/>
  </bookViews>
  <sheets>
    <sheet name="ASSUMPTIONS" sheetId="97" r:id="rId1"/>
    <sheet name="Sheet1" sheetId="101" state="hidden" r:id="rId2"/>
    <sheet name="Exec Summary" sheetId="99" r:id="rId3"/>
    <sheet name="Summary Equip" sheetId="23" r:id="rId4"/>
    <sheet name="Rate Calcs South Pit " sheetId="102" r:id="rId5"/>
    <sheet name="Rate Calcs East Pit" sheetId="98" r:id="rId6"/>
    <sheet name="NON-CORE" sheetId="103" r:id="rId7"/>
    <sheet name="CAT350" sheetId="82" r:id="rId8"/>
    <sheet name="EXC90" sheetId="95" r:id="rId9"/>
    <sheet name="EXC374" sheetId="105" r:id="rId10"/>
    <sheet name="Ore Truck" sheetId="78" r:id="rId11"/>
    <sheet name="Tonly6X4" sheetId="104" r:id="rId12"/>
    <sheet name="DT80t" sheetId="76" r:id="rId13"/>
    <sheet name="CAT D10" sheetId="96" r:id="rId14"/>
    <sheet name="CAT 14H" sheetId="85" r:id="rId15"/>
    <sheet name="CAT 14t comp" sheetId="80" r:id="rId16"/>
    <sheet name="CAT950WL" sheetId="67" r:id="rId17"/>
    <sheet name="MERC WC" sheetId="84" r:id="rId18"/>
    <sheet name="ATLAS T35" sheetId="72" r:id="rId19"/>
    <sheet name="ATLAS T45" sheetId="71" r:id="rId20"/>
    <sheet name="MERC STRUCK" sheetId="63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definedNames>
    <definedName name="\P" localSheetId="5">#REF!</definedName>
    <definedName name="\P" localSheetId="4">#REF!</definedName>
    <definedName name="\P">#REF!</definedName>
    <definedName name="\S" localSheetId="5">#REF!</definedName>
    <definedName name="\S" localSheetId="4">#REF!</definedName>
    <definedName name="\S">#REF!</definedName>
    <definedName name="\T" localSheetId="5">#REF!</definedName>
    <definedName name="\T" localSheetId="4">#REF!</definedName>
    <definedName name="\T">#REF!</definedName>
    <definedName name="__123Graph_A" localSheetId="14" hidden="1">'[1]Cost Base'!#REF!</definedName>
    <definedName name="__123Graph_A" localSheetId="13" hidden="1">'[1]Cost Base'!#REF!</definedName>
    <definedName name="__123Graph_A" localSheetId="7" hidden="1">'[1]Cost Base'!#REF!</definedName>
    <definedName name="__123Graph_A" localSheetId="12" hidden="1">'[1]Cost Base'!#REF!</definedName>
    <definedName name="__123Graph_A" localSheetId="9" hidden="1">'[1]Cost Base'!#REF!</definedName>
    <definedName name="__123Graph_A" localSheetId="8" hidden="1">'[1]Cost Base'!#REF!</definedName>
    <definedName name="__123Graph_A" localSheetId="6" hidden="1">'[1]Cost Base'!#REF!</definedName>
    <definedName name="__123Graph_A" localSheetId="10" hidden="1">'[1]Cost Base'!#REF!</definedName>
    <definedName name="__123Graph_A" localSheetId="11" hidden="1">'[1]Cost Base'!#REF!</definedName>
    <definedName name="__123Graph_A" hidden="1">'[1]Cost Base'!#REF!</definedName>
    <definedName name="__123Graph_ACURRENT" hidden="1">'[2]MassBal-Phase II'!$B$49:$B$228</definedName>
    <definedName name="__123Graph_ANORMAL" localSheetId="5" hidden="1">'[1]Cost Base'!#REF!</definedName>
    <definedName name="__123Graph_ANORMAL" localSheetId="4" hidden="1">'[1]Cost Base'!#REF!</definedName>
    <definedName name="__123Graph_ANORMAL" hidden="1">'[1]Cost Base'!#REF!</definedName>
    <definedName name="__123Graph_B" localSheetId="5" hidden="1">[3]Transfer!#REF!</definedName>
    <definedName name="__123Graph_B" localSheetId="4" hidden="1">[3]Transfer!#REF!</definedName>
    <definedName name="__123Graph_B" hidden="1">[3]Transfer!#REF!</definedName>
    <definedName name="__123Graph_BCURRENT" hidden="1">'[2]MassBal-Phase II'!$D$49:$D$228</definedName>
    <definedName name="__123Graph_C" hidden="1">'[2]MassBal-Phase II'!$E$49:$E$228</definedName>
    <definedName name="__123Graph_CCURRENT" hidden="1">'[2]MassBal-Phase II'!$E$49:$E$228</definedName>
    <definedName name="__123Graph_D" hidden="1">'[2]MassBal-Phase II'!$F$49:$F$228</definedName>
    <definedName name="__123Graph_DCURRENT" hidden="1">'[2]MassBal-Phase II'!$F$49:$F$228</definedName>
    <definedName name="__123Graph_E" hidden="1">'[2]MassBal-Phase II'!$G$49:$G$228</definedName>
    <definedName name="__123Graph_ECURRENT" hidden="1">'[2]MassBal-Phase II'!$G$49:$G$228</definedName>
    <definedName name="__123Graph_F" hidden="1">'[2]MassBal-Phase II'!$H$49:$H$228</definedName>
    <definedName name="__123Graph_FCURRENT" hidden="1">'[2]MassBal-Phase II'!$H$49:$H$228</definedName>
    <definedName name="__123Graph_X" localSheetId="5" hidden="1">[4]A!$B$54:$B$62</definedName>
    <definedName name="__123Graph_X" localSheetId="4" hidden="1">[4]A!$B$54:$B$62</definedName>
    <definedName name="__123Graph_X" hidden="1">'[1]Cost Base'!#REF!</definedName>
    <definedName name="__123Graph_XNORMAL" localSheetId="5" hidden="1">'[1]Cost Base'!#REF!</definedName>
    <definedName name="__123Graph_XNORMAL" localSheetId="4" hidden="1">'[1]Cost Base'!#REF!</definedName>
    <definedName name="__123Graph_XNORMAL" hidden="1">'[1]Cost Base'!#REF!</definedName>
    <definedName name="__QQ1" hidden="1">{#N/A,#N/A,TRUE,"EWAR";#N/A,#N/A,TRUE,"Sad";#N/A,#N/A,TRUE,"Yat";#N/A,#N/A,TRUE,"Nav";#N/A,#N/A,TRUE,"Mor";#N/A,#N/A,TRUE,"Geit"}</definedName>
    <definedName name="_1__123Graph_ACHART_1" localSheetId="5" hidden="1">[5]Slurry!$V$145:$V$174</definedName>
    <definedName name="_1__123Graph_ACHART_1" localSheetId="4" hidden="1">[5]Slurry!$V$145:$V$174</definedName>
    <definedName name="_1__123Graph_ACHART_1" hidden="1">[6]Slurry!$V$145:$V$174</definedName>
    <definedName name="_1__123Graph_AChart_10E" hidden="1">[7]Departments!$B$16:$M$16</definedName>
    <definedName name="_1__xlchart.v1.0" hidden="1">#REF!</definedName>
    <definedName name="_1_0Swvu.Cover._.Pa" localSheetId="5" hidden="1">[8]Input!#REF!</definedName>
    <definedName name="_1_0Swvu.Cover._.Pa" localSheetId="4" hidden="1">[8]Input!#REF!</definedName>
    <definedName name="_1_0Swvu.Cover._.Pa" hidden="1">[8]Input!#REF!</definedName>
    <definedName name="_10__123Graph_ACHART_2" localSheetId="5" hidden="1">#REF!</definedName>
    <definedName name="_10__123Graph_ACHART_2" localSheetId="4" hidden="1">#REF!</definedName>
    <definedName name="_10__123Graph_ACHART_2" hidden="1">#REF!</definedName>
    <definedName name="_10__123Graph_AChart_6E" hidden="1">[7]Departments!$B$6:$M$6</definedName>
    <definedName name="_10__xlchart.v1.17" hidden="1">#REF!</definedName>
    <definedName name="_11__123Graph_AChart_2G" localSheetId="5" hidden="1">#REF!</definedName>
    <definedName name="_11__123Graph_AChart_2G" localSheetId="4" hidden="1">#REF!</definedName>
    <definedName name="_11__123Graph_AChart_2G" hidden="1">#REF!</definedName>
    <definedName name="_11__123Graph_AChart_7E" hidden="1">[7]Departments!$B$8:$M$8</definedName>
    <definedName name="_11__xlchart.v1.2" hidden="1">#REF!</definedName>
    <definedName name="_12__123Graph_ACHART_3" localSheetId="5" hidden="1">#REF!</definedName>
    <definedName name="_12__123Graph_ACHART_3" localSheetId="4" hidden="1">#REF!</definedName>
    <definedName name="_12__123Graph_ACHART_3" hidden="1">#REF!</definedName>
    <definedName name="_12__123Graph_AChart_8E" hidden="1">[7]Departments!$B$10:$M$10</definedName>
    <definedName name="_12__xlchart.v1.3" hidden="1">#REF!</definedName>
    <definedName name="_13__123Graph_ACHART_4" localSheetId="5" hidden="1">#REF!</definedName>
    <definedName name="_13__123Graph_ACHART_4" localSheetId="4" hidden="1">#REF!</definedName>
    <definedName name="_13__123Graph_ACHART_4" hidden="1">#REF!</definedName>
    <definedName name="_13__123Graph_AChart_9E" hidden="1">[7]Departments!$B$12:$M$12</definedName>
    <definedName name="_13__xlchart.v1.4" hidden="1">#REF!</definedName>
    <definedName name="_14__123Graph_ACHART_5" localSheetId="5" hidden="1">#REF!</definedName>
    <definedName name="_14__123Graph_ACHART_5" localSheetId="4" hidden="1">#REF!</definedName>
    <definedName name="_14__123Graph_ACHART_5" hidden="1">#REF!</definedName>
    <definedName name="_14__123Graph_BChart_10E" hidden="1">[7]Departments!$B$17:$M$17</definedName>
    <definedName name="_14__xlchart.v1.5" hidden="1">#REF!</definedName>
    <definedName name="_15__123Graph_ACHART_6" localSheetId="5" hidden="1">#REF!</definedName>
    <definedName name="_15__123Graph_ACHART_6" localSheetId="4" hidden="1">#REF!</definedName>
    <definedName name="_15__123Graph_ACHART_6" hidden="1">#REF!</definedName>
    <definedName name="_15__123Graph_BChart_11E" hidden="1">[7]Departments!$B$23:$M$23</definedName>
    <definedName name="_15__xlchart.v1.6" hidden="1">#REF!</definedName>
    <definedName name="_16__123Graph_ACHART_7" localSheetId="5" hidden="1">#REF!</definedName>
    <definedName name="_16__123Graph_ACHART_7" localSheetId="4" hidden="1">#REF!</definedName>
    <definedName name="_16__123Graph_ACHART_7" hidden="1">#REF!</definedName>
    <definedName name="_16__123Graph_BChart_12E" hidden="1">[7]Departments!$B$19:$M$19</definedName>
    <definedName name="_16__xlchart.v1.7" hidden="1">#REF!</definedName>
    <definedName name="_17__123Graph_ACHART_8" localSheetId="5" hidden="1">#REF!</definedName>
    <definedName name="_17__123Graph_ACHART_8" localSheetId="4" hidden="1">#REF!</definedName>
    <definedName name="_17__123Graph_ACHART_8" hidden="1">#REF!</definedName>
    <definedName name="_17__123Graph_BChart_13E" hidden="1">[7]Departments!$B$15:$M$15</definedName>
    <definedName name="_17__xlchart.v1.8" hidden="1">#REF!</definedName>
    <definedName name="_18__123Graph_ACHART_9" localSheetId="5" hidden="1">#REF!</definedName>
    <definedName name="_18__123Graph_ACHART_9" localSheetId="4" hidden="1">#REF!</definedName>
    <definedName name="_18__123Graph_ACHART_9" hidden="1">#REF!</definedName>
    <definedName name="_18__123Graph_BChart_14E" hidden="1">[7]Departments!$B$21:$M$21</definedName>
    <definedName name="_18__xlchart.v1.9" hidden="1">#REF!</definedName>
    <definedName name="_19__123Graph_BChart_1A" hidden="1">'[7]98stats'!$D$9:$O$9</definedName>
    <definedName name="_19__123Graph_LBL_ACHART_5" localSheetId="5" hidden="1">#REF!</definedName>
    <definedName name="_19__123Graph_LBL_ACHART_5" localSheetId="4" hidden="1">#REF!</definedName>
    <definedName name="_19__123Graph_LBL_ACHART_5" hidden="1">#REF!</definedName>
    <definedName name="_2__123Graph_ACHART_10" hidden="1">#REF!</definedName>
    <definedName name="_2__123Graph_AChart_11E" hidden="1">[7]Departments!$B$22:$M$22</definedName>
    <definedName name="_2__123Graph_BCHART_1" localSheetId="5" hidden="1">[5]Slurry!$X$145:$X$174</definedName>
    <definedName name="_2__123Graph_BCHART_1" localSheetId="4" hidden="1">[5]Slurry!$X$145:$X$174</definedName>
    <definedName name="_2__123Graph_BCHART_1" hidden="1">[6]Slurry!$X$145:$X$174</definedName>
    <definedName name="_2__xlchart.v1.1" hidden="1">#REF!</definedName>
    <definedName name="_20__123Graph_BChart_2A" hidden="1">'[7]98stats'!$D$19:$O$19</definedName>
    <definedName name="_20__123Graph_LBL_ACHART_6" localSheetId="5" hidden="1">#REF!</definedName>
    <definedName name="_20__123Graph_LBL_ACHART_6" localSheetId="4" hidden="1">#REF!</definedName>
    <definedName name="_20__123Graph_LBL_ACHART_6" hidden="1">#REF!</definedName>
    <definedName name="_21__123Graph_BChart_3A" hidden="1">[7]Departments!$C$73:$N$73</definedName>
    <definedName name="_21__123Graph_LBL_ACHART_7" localSheetId="5" hidden="1">#REF!</definedName>
    <definedName name="_21__123Graph_LBL_ACHART_7" localSheetId="4" hidden="1">#REF!</definedName>
    <definedName name="_21__123Graph_LBL_ACHART_7" hidden="1">#REF!</definedName>
    <definedName name="_22__123Graph_BChart_4A" hidden="1">'[7]98stats'!$D$25:$O$25</definedName>
    <definedName name="_22__123Graph_XCHART_10" localSheetId="5" hidden="1">#REF!</definedName>
    <definedName name="_22__123Graph_XCHART_10" localSheetId="4" hidden="1">#REF!</definedName>
    <definedName name="_22__123Graph_XCHART_10" hidden="1">#REF!</definedName>
    <definedName name="_23__123Graph_BChart_6E" hidden="1">[7]Departments!$B$7:$M$7</definedName>
    <definedName name="_23__123Graph_XCHART_11" localSheetId="5" hidden="1">#REF!</definedName>
    <definedName name="_23__123Graph_XCHART_11" localSheetId="4" hidden="1">#REF!</definedName>
    <definedName name="_23__123Graph_XCHART_11" hidden="1">#REF!</definedName>
    <definedName name="_24__123Graph_BChart_7E" hidden="1">[7]Departments!$B$9:$M$9</definedName>
    <definedName name="_24__123Graph_XCHART_12" localSheetId="5" hidden="1">#REF!</definedName>
    <definedName name="_24__123Graph_XCHART_12" localSheetId="4" hidden="1">#REF!</definedName>
    <definedName name="_24__123Graph_XCHART_12" hidden="1">#REF!</definedName>
    <definedName name="_25__123Graph_BChart_8E" hidden="1">[7]Departments!$B$11:$M$11</definedName>
    <definedName name="_25__123Graph_XCHART_13" localSheetId="5" hidden="1">#REF!</definedName>
    <definedName name="_25__123Graph_XCHART_13" localSheetId="4" hidden="1">#REF!</definedName>
    <definedName name="_25__123Graph_XCHART_13" hidden="1">#REF!</definedName>
    <definedName name="_26__123Graph_BChart_9E" hidden="1">[7]Departments!$B$13:$M$13</definedName>
    <definedName name="_26__123Graph_XCHART_14" localSheetId="5" hidden="1">#REF!</definedName>
    <definedName name="_26__123Graph_XCHART_14" localSheetId="4" hidden="1">#REF!</definedName>
    <definedName name="_26__123Graph_XCHART_14" hidden="1">#REF!</definedName>
    <definedName name="_27__123Graph_XChart_10E" hidden="1">[7]Departments!$B$1:$M$1</definedName>
    <definedName name="_27__123Graph_XCHART_15" localSheetId="5" hidden="1">#REF!</definedName>
    <definedName name="_27__123Graph_XCHART_15" localSheetId="4" hidden="1">#REF!</definedName>
    <definedName name="_27__123Graph_XCHART_15" hidden="1">#REF!</definedName>
    <definedName name="_28__123Graph_XChart_11E" hidden="1">[7]Departments!$B$1:$M$1</definedName>
    <definedName name="_28__123Graph_XCHART_16" localSheetId="5" hidden="1">#REF!</definedName>
    <definedName name="_28__123Graph_XCHART_16" localSheetId="4" hidden="1">#REF!</definedName>
    <definedName name="_28__123Graph_XCHART_16" hidden="1">#REF!</definedName>
    <definedName name="_29__123Graph_XChart_12E" hidden="1">[7]Departments!$B$1:$M$1</definedName>
    <definedName name="_29__123Graph_XCHART_2" localSheetId="5" hidden="1">#REF!</definedName>
    <definedName name="_29__123Graph_XCHART_2" localSheetId="4" hidden="1">#REF!</definedName>
    <definedName name="_29__123Graph_XCHART_2" hidden="1">#REF!</definedName>
    <definedName name="_3__123Graph_ACHART_11" hidden="1">#REF!</definedName>
    <definedName name="_3__123Graph_AChart_12E" hidden="1">[7]Departments!$B$18:$M$18</definedName>
    <definedName name="_3__123Graph_CCHART_1" localSheetId="5" hidden="1">[5]Slurry!$AG$112:$AG$143</definedName>
    <definedName name="_3__123Graph_CCHART_1" localSheetId="4" hidden="1">[5]Slurry!$AG$112:$AG$143</definedName>
    <definedName name="_3__123Graph_CCHART_1" hidden="1">[6]Slurry!$AG$112:$AG$143</definedName>
    <definedName name="_3__xlchart.v1.10" hidden="1">#REF!</definedName>
    <definedName name="_30__123Graph_XChart_13E" hidden="1">[7]Departments!$B$1:$M$1</definedName>
    <definedName name="_30__123Graph_XChart_2G" localSheetId="5" hidden="1">#REF!</definedName>
    <definedName name="_30__123Graph_XChart_2G" localSheetId="4" hidden="1">#REF!</definedName>
    <definedName name="_30__123Graph_XChart_2G" hidden="1">#REF!</definedName>
    <definedName name="_31__123Graph_XChart_14E" hidden="1">[7]Departments!$B$1:$M$1</definedName>
    <definedName name="_31__123Graph_XCHART_3" localSheetId="5" hidden="1">#REF!</definedName>
    <definedName name="_31__123Graph_XCHART_3" localSheetId="4" hidden="1">#REF!</definedName>
    <definedName name="_31__123Graph_XCHART_3" hidden="1">#REF!</definedName>
    <definedName name="_32__123Graph_XChart_1A" hidden="1">'[7]98stats'!$D$4:$O$4</definedName>
    <definedName name="_32__123Graph_XCHART_4" localSheetId="5" hidden="1">#REF!</definedName>
    <definedName name="_32__123Graph_XCHART_4" localSheetId="4" hidden="1">#REF!</definedName>
    <definedName name="_32__123Graph_XCHART_4" hidden="1">#REF!</definedName>
    <definedName name="_33__123Graph_XChart_2A" hidden="1">'[7]98stats'!$D$4:$O$4</definedName>
    <definedName name="_33__123Graph_XCHART_5" localSheetId="5" hidden="1">#REF!</definedName>
    <definedName name="_33__123Graph_XCHART_5" localSheetId="4" hidden="1">#REF!</definedName>
    <definedName name="_33__123Graph_XCHART_5" hidden="1">#REF!</definedName>
    <definedName name="_34__123Graph_XCHART_6" hidden="1">#REF!</definedName>
    <definedName name="_34__123Graph_XChart_7E" hidden="1">[7]Departments!$B$1:$M$1</definedName>
    <definedName name="_35__123Graph_XCHART_7" localSheetId="5" hidden="1">#REF!</definedName>
    <definedName name="_35__123Graph_XCHART_7" localSheetId="4" hidden="1">#REF!</definedName>
    <definedName name="_35__123Graph_XCHART_7" hidden="1">#REF!</definedName>
    <definedName name="_35__123Graph_XChart_8E" hidden="1">[7]Departments!$B$1:$M$1</definedName>
    <definedName name="_36__123Graph_XCHART_8" localSheetId="5" hidden="1">#REF!</definedName>
    <definedName name="_36__123Graph_XCHART_8" localSheetId="4" hidden="1">#REF!</definedName>
    <definedName name="_36__123Graph_XCHART_8" hidden="1">#REF!</definedName>
    <definedName name="_36__123Graph_XChart_9E" hidden="1">[7]Departments!$B$1:$M$1</definedName>
    <definedName name="_37__123Graph_XCHART_9" localSheetId="5" hidden="1">#REF!</definedName>
    <definedName name="_37__123Graph_XCHART_9" localSheetId="4" hidden="1">#REF!</definedName>
    <definedName name="_37__123Graph_XCHART_9" hidden="1">#REF!</definedName>
    <definedName name="_4__123Graph_ACHART_12" hidden="1">#REF!</definedName>
    <definedName name="_4__123Graph_AChart_13E" hidden="1">[7]Departments!$B$14:$M$14</definedName>
    <definedName name="_4__123Graph_DCHART_1" localSheetId="5" hidden="1">[5]Slurry!$AH$112:$AH$143</definedName>
    <definedName name="_4__123Graph_DCHART_1" localSheetId="4" hidden="1">[5]Slurry!$AH$112:$AH$143</definedName>
    <definedName name="_4__123Graph_DCHART_1" hidden="1">[6]Slurry!$AH$112:$AH$143</definedName>
    <definedName name="_4__xlchart.v1.11" hidden="1">#REF!</definedName>
    <definedName name="_5__123Graph_ACHART_13" localSheetId="5" hidden="1">#REF!</definedName>
    <definedName name="_5__123Graph_ACHART_13" localSheetId="4" hidden="1">#REF!</definedName>
    <definedName name="_5__123Graph_ACHART_13" hidden="1">#REF!</definedName>
    <definedName name="_5__123Graph_AChart_14E" hidden="1">[7]Departments!$B$20:$M$20</definedName>
    <definedName name="_5__123Graph_ECHART_1" localSheetId="5" hidden="1">[5]Slurry!$AI$112:$AI$143</definedName>
    <definedName name="_5__123Graph_ECHART_1" localSheetId="4" hidden="1">[5]Slurry!$AI$112:$AI$143</definedName>
    <definedName name="_5__123Graph_ECHART_1" hidden="1">[6]Slurry!$AI$112:$AI$143</definedName>
    <definedName name="_5__xlchart.v1.12" hidden="1">#REF!</definedName>
    <definedName name="_6__123Graph_ACHART_14" localSheetId="5" hidden="1">#REF!</definedName>
    <definedName name="_6__123Graph_ACHART_14" localSheetId="4" hidden="1">#REF!</definedName>
    <definedName name="_6__123Graph_ACHART_14" hidden="1">#REF!</definedName>
    <definedName name="_6__123Graph_AChart_1A" hidden="1">'[7]98stats'!$D$8:$O$8</definedName>
    <definedName name="_6__xlchart.v1.13" hidden="1">#REF!</definedName>
    <definedName name="_7__123Graph_ACHART_15" localSheetId="5" hidden="1">#REF!</definedName>
    <definedName name="_7__123Graph_ACHART_15" localSheetId="4" hidden="1">#REF!</definedName>
    <definedName name="_7__123Graph_ACHART_15" hidden="1">#REF!</definedName>
    <definedName name="_7__123Graph_AChart_2A" hidden="1">'[7]98stats'!$D$18:$O$18</definedName>
    <definedName name="_7__xlchart.v1.14" hidden="1">#REF!</definedName>
    <definedName name="_8__123Graph_ACHART_16" localSheetId="5" hidden="1">#REF!</definedName>
    <definedName name="_8__123Graph_ACHART_16" localSheetId="4" hidden="1">#REF!</definedName>
    <definedName name="_8__123Graph_ACHART_16" hidden="1">#REF!</definedName>
    <definedName name="_8__123Graph_AChart_3A" hidden="1">[7]Departments!$C$76:$N$76</definedName>
    <definedName name="_8__xlchart.v1.15" hidden="1">#REF!</definedName>
    <definedName name="_9__123Graph_AChart_1G" localSheetId="5" hidden="1">#REF!</definedName>
    <definedName name="_9__123Graph_AChart_1G" localSheetId="4" hidden="1">#REF!</definedName>
    <definedName name="_9__123Graph_AChart_1G" hidden="1">#REF!</definedName>
    <definedName name="_9__123Graph_AChart_4A" hidden="1">'[7]98stats'!$D$24:$O$24</definedName>
    <definedName name="_9__xlchart.v1.16" hidden="1">#REF!</definedName>
    <definedName name="_ACC96">'[7]98stats'!$A$2:$P$65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Dist_Bin" localSheetId="5" hidden="1">[9]GOLDOPT!#REF!</definedName>
    <definedName name="_Dist_Bin" localSheetId="4" hidden="1">[9]GOLDOPT!#REF!</definedName>
    <definedName name="_Dist_Bin" hidden="1">[9]GOLDOPT!#REF!</definedName>
    <definedName name="_Dist_Values" localSheetId="5" hidden="1">[9]GOLDOPT!#REF!</definedName>
    <definedName name="_Dist_Values" localSheetId="4" hidden="1">[9]GOLDOPT!#REF!</definedName>
    <definedName name="_Dist_Values" hidden="1">[9]GOLDOPT!#REF!</definedName>
    <definedName name="_Fill" localSheetId="5" hidden="1">#REF!</definedName>
    <definedName name="_Fill" localSheetId="4" hidden="1">#REF!</definedName>
    <definedName name="_Fill" hidden="1">[10]H!#REF!</definedName>
    <definedName name="_fill2" localSheetId="5" hidden="1">'[11]2001'!#REF!</definedName>
    <definedName name="_fill2" localSheetId="4" hidden="1">'[11]2001'!#REF!</definedName>
    <definedName name="_fill2" hidden="1">'[11]2001'!#REF!</definedName>
    <definedName name="_Key1" localSheetId="5" hidden="1">[12]GC!$A$7:$A$72</definedName>
    <definedName name="_Key1" localSheetId="4" hidden="1">[12]GC!$A$7:$A$72</definedName>
    <definedName name="_Key1" hidden="1">#REF!</definedName>
    <definedName name="_Key2" localSheetId="5" hidden="1">#REF!</definedName>
    <definedName name="_Key2" localSheetId="4" hidden="1">#REF!</definedName>
    <definedName name="_Key2" hidden="1">#REF!</definedName>
    <definedName name="_Order1" localSheetId="5" hidden="1">255</definedName>
    <definedName name="_Order1" localSheetId="4" hidden="1">255</definedName>
    <definedName name="_Order1" hidden="1">0</definedName>
    <definedName name="_Order2" localSheetId="5" hidden="1">0</definedName>
    <definedName name="_Order2" localSheetId="4" hidden="1">0</definedName>
    <definedName name="_Order2" hidden="1">255</definedName>
    <definedName name="_Parse_In" hidden="1">[13]ACTLY!$A$1:$O$562</definedName>
    <definedName name="_Parse_Out" hidden="1">[13]ACTLY!$A$583</definedName>
    <definedName name="_PG1" localSheetId="5">#REF!</definedName>
    <definedName name="_PG1" localSheetId="4">#REF!</definedName>
    <definedName name="_PG1">#REF!</definedName>
    <definedName name="_PG10" localSheetId="5">#REF!</definedName>
    <definedName name="_PG10" localSheetId="4">#REF!</definedName>
    <definedName name="_PG10">#REF!</definedName>
    <definedName name="_PG3" localSheetId="5">#REF!</definedName>
    <definedName name="_PG3" localSheetId="4">#REF!</definedName>
    <definedName name="_PG3">#REF!</definedName>
    <definedName name="_PG4">#REF!</definedName>
    <definedName name="_PG5">#REF!</definedName>
    <definedName name="_PG6">#REF!</definedName>
    <definedName name="_PG7">#REF!</definedName>
    <definedName name="_PG8">#REF!</definedName>
    <definedName name="_Power2015" hidden="1">#REF!</definedName>
    <definedName name="_QQ1" hidden="1">{#N/A,#N/A,TRUE,"EWAR";#N/A,#N/A,TRUE,"Sad";#N/A,#N/A,TRUE,"Yat";#N/A,#N/A,TRUE,"Nav";#N/A,#N/A,TRUE,"Mor";#N/A,#N/A,TRUE,"Geit"}</definedName>
    <definedName name="_Regression_Out" localSheetId="5" hidden="1">[4]A!$G$53</definedName>
    <definedName name="_Regression_Out" localSheetId="4" hidden="1">[4]A!$G$53</definedName>
    <definedName name="_Regression_Out" hidden="1">[14]A!$G$53</definedName>
    <definedName name="_Regression_X" localSheetId="5" hidden="1">[4]A!$D$54:$D$62</definedName>
    <definedName name="_Regression_X" localSheetId="4" hidden="1">[4]A!$D$54:$D$62</definedName>
    <definedName name="_Regression_X" hidden="1">[14]A!$D$54:$D$62</definedName>
    <definedName name="_Regression_Y" localSheetId="5" hidden="1">[4]A!$C$54:$C$62</definedName>
    <definedName name="_Regression_Y" localSheetId="4" hidden="1">[4]A!$C$54:$C$62</definedName>
    <definedName name="_Regression_Y" hidden="1">[14]A!$C$54:$C$62</definedName>
    <definedName name="_Sort" localSheetId="5" hidden="1">[12]GC!$A$7:$B$72</definedName>
    <definedName name="_Sort" localSheetId="4" hidden="1">[12]GC!$A$7:$B$72</definedName>
    <definedName name="_Sort" hidden="1">#REF!</definedName>
    <definedName name="_SUM41" localSheetId="5">#REF!</definedName>
    <definedName name="_SUM41" localSheetId="4">#REF!</definedName>
    <definedName name="_SUM41">#REF!</definedName>
    <definedName name="_SUM42">#REF!</definedName>
    <definedName name="_Table1_In1" hidden="1">[9]GOLDOPT!#REF!</definedName>
    <definedName name="_TB1" localSheetId="5">#REF!</definedName>
    <definedName name="_TB1" localSheetId="4">#REF!</definedName>
    <definedName name="_TB1">#REF!</definedName>
    <definedName name="_TB2" localSheetId="5">#REF!</definedName>
    <definedName name="_TB2" localSheetId="4">#REF!</definedName>
    <definedName name="_TB2">#REF!</definedName>
    <definedName name="_TB3" localSheetId="5">#REF!</definedName>
    <definedName name="_TB3" localSheetId="4">#REF!</definedName>
    <definedName name="_TB3">#REF!</definedName>
    <definedName name="a" localSheetId="18" hidden="1">[15]!aaa</definedName>
    <definedName name="a" localSheetId="19" hidden="1">[15]!aaa</definedName>
    <definedName name="a" localSheetId="14" hidden="1">[15]!aaa</definedName>
    <definedName name="a" localSheetId="15" hidden="1">[15]!aaa</definedName>
    <definedName name="a" localSheetId="13" hidden="1">[15]!aaa</definedName>
    <definedName name="a" localSheetId="7" hidden="1">[15]!aaa</definedName>
    <definedName name="a" localSheetId="16" hidden="1">[15]!aaa</definedName>
    <definedName name="a" localSheetId="9" hidden="1">[15]!aaa</definedName>
    <definedName name="a" localSheetId="8" hidden="1">[15]!aaa</definedName>
    <definedName name="a" localSheetId="20" hidden="1">[15]!aaa</definedName>
    <definedName name="a" localSheetId="17" hidden="1">[15]!aaa</definedName>
    <definedName name="a" localSheetId="6" hidden="1">[15]!aaa</definedName>
    <definedName name="a" localSheetId="10" hidden="1">[15]!aaa</definedName>
    <definedName name="a" localSheetId="4" hidden="1">[15]!aaa</definedName>
    <definedName name="a" localSheetId="11" hidden="1">[15]!aaa</definedName>
    <definedName name="a" hidden="1">[15]!aaa</definedName>
    <definedName name="AA" hidden="1">{#N/A,#N/A,TRUE,"EWAR";#N/A,#N/A,TRUE,"Sad";#N/A,#N/A,TRUE,"Yat";#N/A,#N/A,TRUE,"Nav";#N/A,#N/A,TRUE,"Mor";#N/A,#N/A,TRUE,"Geit"}</definedName>
    <definedName name="aaa" localSheetId="18" hidden="1">[15]!aaa</definedName>
    <definedName name="aaa" localSheetId="19" hidden="1">[15]!aaa</definedName>
    <definedName name="aaa" localSheetId="14" hidden="1">[15]!aaa</definedName>
    <definedName name="aaa" localSheetId="15" hidden="1">[15]!aaa</definedName>
    <definedName name="aaa" localSheetId="13" hidden="1">[15]!aaa</definedName>
    <definedName name="aaa" localSheetId="7" hidden="1">[15]!aaa</definedName>
    <definedName name="aaa" localSheetId="16" hidden="1">[15]!aaa</definedName>
    <definedName name="aaa" localSheetId="9" hidden="1">[15]!aaa</definedName>
    <definedName name="aaa" localSheetId="8" hidden="1">[15]!aaa</definedName>
    <definedName name="aaa" localSheetId="20" hidden="1">[15]!aaa</definedName>
    <definedName name="aaa" localSheetId="17" hidden="1">[15]!aaa</definedName>
    <definedName name="aaa" localSheetId="6" hidden="1">[15]!aaa</definedName>
    <definedName name="aaa" localSheetId="10" hidden="1">[15]!aaa</definedName>
    <definedName name="aaa" localSheetId="4" hidden="1">[15]!aaa</definedName>
    <definedName name="aaa" localSheetId="11" hidden="1">[15]!aaa</definedName>
    <definedName name="aaa" hidden="1">[15]!aaa</definedName>
    <definedName name="aaaa" localSheetId="14" hidden="1">{#N/A,#N/A,FALSE,"Aging Summary";#N/A,#N/A,FALSE,"Ratio Analysis";#N/A,#N/A,FALSE,"Test 120 Day Accts";#N/A,#N/A,FALSE,"Tickmarks"}</definedName>
    <definedName name="aaaa" localSheetId="13" hidden="1">{#N/A,#N/A,FALSE,"Aging Summary";#N/A,#N/A,FALSE,"Ratio Analysis";#N/A,#N/A,FALSE,"Test 120 Day Accts";#N/A,#N/A,FALSE,"Tickmarks"}</definedName>
    <definedName name="aaaa" localSheetId="7" hidden="1">{#N/A,#N/A,FALSE,"Aging Summary";#N/A,#N/A,FALSE,"Ratio Analysis";#N/A,#N/A,FALSE,"Test 120 Day Accts";#N/A,#N/A,FALSE,"Tickmarks"}</definedName>
    <definedName name="aaaa" localSheetId="12" hidden="1">{#N/A,#N/A,FALSE,"Aging Summary";#N/A,#N/A,FALSE,"Ratio Analysis";#N/A,#N/A,FALSE,"Test 120 Day Accts";#N/A,#N/A,FALSE,"Tickmarks"}</definedName>
    <definedName name="aaaa" localSheetId="9" hidden="1">{#N/A,#N/A,FALSE,"Aging Summary";#N/A,#N/A,FALSE,"Ratio Analysis";#N/A,#N/A,FALSE,"Test 120 Day Accts";#N/A,#N/A,FALSE,"Tickmarks"}</definedName>
    <definedName name="aaaa" localSheetId="8" hidden="1">{#N/A,#N/A,FALSE,"Aging Summary";#N/A,#N/A,FALSE,"Ratio Analysis";#N/A,#N/A,FALSE,"Test 120 Day Accts";#N/A,#N/A,FALSE,"Tickmarks"}</definedName>
    <definedName name="aaaa" localSheetId="6" hidden="1">{#N/A,#N/A,FALSE,"Aging Summary";#N/A,#N/A,FALSE,"Ratio Analysis";#N/A,#N/A,FALSE,"Test 120 Day Accts";#N/A,#N/A,FALSE,"Tickmarks"}</definedName>
    <definedName name="aaaa" localSheetId="10" hidden="1">{#N/A,#N/A,FALSE,"Aging Summary";#N/A,#N/A,FALSE,"Ratio Analysis";#N/A,#N/A,FALSE,"Test 120 Day Accts";#N/A,#N/A,FALSE,"Tickmarks"}</definedName>
    <definedName name="aaaa" localSheetId="5" hidden="1">{#N/A,#N/A,FALSE,"Aging Summary";#N/A,#N/A,FALSE,"Ratio Analysis";#N/A,#N/A,FALSE,"Test 120 Day Accts";#N/A,#N/A,FALSE,"Tickmarks"}</definedName>
    <definedName name="aaaa" localSheetId="4" hidden="1">{#N/A,#N/A,FALSE,"Aging Summary";#N/A,#N/A,FALSE,"Ratio Analysis";#N/A,#N/A,FALSE,"Test 120 Day Accts";#N/A,#N/A,FALSE,"Tickmarks"}</definedName>
    <definedName name="aaaa" localSheetId="11" hidden="1">{#N/A,#N/A,FALSE,"Aging Summary";#N/A,#N/A,FALSE,"Ratio Analysis";#N/A,#N/A,FALSE,"Test 120 Day Accts";#N/A,#N/A,FALSE,"Tickmarks"}</definedName>
    <definedName name="aaaa" hidden="1">{#N/A,#N/A,FALSE,"Aging Summary";#N/A,#N/A,FALSE,"Ratio Analysis";#N/A,#N/A,FALSE,"Test 120 Day Accts";#N/A,#N/A,FALSE,"Tickmarks"}</definedName>
    <definedName name="aaaaaa" localSheetId="18" hidden="1">[15]!aaaaaa</definedName>
    <definedName name="aaaaaa" localSheetId="19" hidden="1">[15]!aaaaaa</definedName>
    <definedName name="aaaaaa" localSheetId="14" hidden="1">[15]!aaaaaa</definedName>
    <definedName name="aaaaaa" localSheetId="15" hidden="1">[15]!aaaaaa</definedName>
    <definedName name="aaaaaa" localSheetId="13" hidden="1">[15]!aaaaaa</definedName>
    <definedName name="aaaaaa" localSheetId="7" hidden="1">[15]!aaaaaa</definedName>
    <definedName name="aaaaaa" localSheetId="16" hidden="1">[15]!aaaaaa</definedName>
    <definedName name="aaaaaa" localSheetId="9" hidden="1">[15]!aaaaaa</definedName>
    <definedName name="aaaaaa" localSheetId="8" hidden="1">[15]!aaaaaa</definedName>
    <definedName name="aaaaaa" localSheetId="20" hidden="1">[15]!aaaaaa</definedName>
    <definedName name="aaaaaa" localSheetId="17" hidden="1">[15]!aaaaaa</definedName>
    <definedName name="aaaaaa" localSheetId="6" hidden="1">[15]!aaaaaa</definedName>
    <definedName name="aaaaaa" localSheetId="10" hidden="1">[15]!aaaaaa</definedName>
    <definedName name="aaaaaa" localSheetId="4" hidden="1">[15]!aaaaaa</definedName>
    <definedName name="aaaaaa" localSheetId="11" hidden="1">[15]!aaaaaa</definedName>
    <definedName name="aaaaaa" hidden="1">[15]!aaaaaa</definedName>
    <definedName name="AAC" localSheetId="5">#REF!</definedName>
    <definedName name="AAC" localSheetId="4">#REF!</definedName>
    <definedName name="AAC">#REF!</definedName>
    <definedName name="abcd" localSheetId="18" hidden="1">[15]!abcd</definedName>
    <definedName name="abcd" localSheetId="19" hidden="1">[15]!abcd</definedName>
    <definedName name="abcd" localSheetId="14" hidden="1">[15]!abcd</definedName>
    <definedName name="abcd" localSheetId="15" hidden="1">[15]!abcd</definedName>
    <definedName name="abcd" localSheetId="13" hidden="1">[15]!abcd</definedName>
    <definedName name="abcd" localSheetId="7" hidden="1">[15]!abcd</definedName>
    <definedName name="abcd" localSheetId="16" hidden="1">[15]!abcd</definedName>
    <definedName name="abcd" localSheetId="9" hidden="1">[15]!abcd</definedName>
    <definedName name="abcd" localSheetId="8" hidden="1">[15]!abcd</definedName>
    <definedName name="abcd" localSheetId="20" hidden="1">[15]!abcd</definedName>
    <definedName name="abcd" localSheetId="17" hidden="1">[15]!abcd</definedName>
    <definedName name="abcd" localSheetId="6" hidden="1">[15]!abcd</definedName>
    <definedName name="abcd" localSheetId="10" hidden="1">[15]!abcd</definedName>
    <definedName name="abcd" localSheetId="4" hidden="1">[15]!abcd</definedName>
    <definedName name="abcd" localSheetId="11" hidden="1">[15]!abcd</definedName>
    <definedName name="abcd" hidden="1">[15]!abcd</definedName>
    <definedName name="abcde" localSheetId="18" hidden="1">[15]!abcde</definedName>
    <definedName name="abcde" localSheetId="19" hidden="1">[15]!abcde</definedName>
    <definedName name="abcde" localSheetId="14" hidden="1">[15]!abcde</definedName>
    <definedName name="abcde" localSheetId="15" hidden="1">[15]!abcde</definedName>
    <definedName name="abcde" localSheetId="13" hidden="1">[15]!abcde</definedName>
    <definedName name="abcde" localSheetId="7" hidden="1">[15]!abcde</definedName>
    <definedName name="abcde" localSheetId="16" hidden="1">[15]!abcde</definedName>
    <definedName name="abcde" localSheetId="9" hidden="1">[15]!abcde</definedName>
    <definedName name="abcde" localSheetId="8" hidden="1">[15]!abcde</definedName>
    <definedName name="abcde" localSheetId="20" hidden="1">[15]!abcde</definedName>
    <definedName name="abcde" localSheetId="17" hidden="1">[15]!abcde</definedName>
    <definedName name="abcde" localSheetId="6" hidden="1">[15]!abcde</definedName>
    <definedName name="abcde" localSheetId="10" hidden="1">[15]!abcde</definedName>
    <definedName name="abcde" localSheetId="4" hidden="1">[15]!abcde</definedName>
    <definedName name="abcde" localSheetId="11" hidden="1">[15]!abcde</definedName>
    <definedName name="abcde" hidden="1">[15]!abcde</definedName>
    <definedName name="ACCESS_DATE" localSheetId="5">'[16]Alufer Inputs (Hidden)'!#REF!</definedName>
    <definedName name="ACCESS_DATE" localSheetId="4">'[16]Alufer Inputs (Hidden)'!#REF!</definedName>
    <definedName name="ACCESS_DATE">'[16]Alufer Inputs (Hidden)'!#REF!</definedName>
    <definedName name="afsfa" localSheetId="14" hidden="1">{#N/A,#N/A,FALSE,"Aging Summary";#N/A,#N/A,FALSE,"Ratio Analysis";#N/A,#N/A,FALSE,"Test 120 Day Accts";#N/A,#N/A,FALSE,"Tickmarks"}</definedName>
    <definedName name="afsfa" localSheetId="13" hidden="1">{#N/A,#N/A,FALSE,"Aging Summary";#N/A,#N/A,FALSE,"Ratio Analysis";#N/A,#N/A,FALSE,"Test 120 Day Accts";#N/A,#N/A,FALSE,"Tickmarks"}</definedName>
    <definedName name="afsfa" localSheetId="7" hidden="1">{#N/A,#N/A,FALSE,"Aging Summary";#N/A,#N/A,FALSE,"Ratio Analysis";#N/A,#N/A,FALSE,"Test 120 Day Accts";#N/A,#N/A,FALSE,"Tickmarks"}</definedName>
    <definedName name="afsfa" localSheetId="12" hidden="1">{#N/A,#N/A,FALSE,"Aging Summary";#N/A,#N/A,FALSE,"Ratio Analysis";#N/A,#N/A,FALSE,"Test 120 Day Accts";#N/A,#N/A,FALSE,"Tickmarks"}</definedName>
    <definedName name="afsfa" localSheetId="9" hidden="1">{#N/A,#N/A,FALSE,"Aging Summary";#N/A,#N/A,FALSE,"Ratio Analysis";#N/A,#N/A,FALSE,"Test 120 Day Accts";#N/A,#N/A,FALSE,"Tickmarks"}</definedName>
    <definedName name="afsfa" localSheetId="8" hidden="1">{#N/A,#N/A,FALSE,"Aging Summary";#N/A,#N/A,FALSE,"Ratio Analysis";#N/A,#N/A,FALSE,"Test 120 Day Accts";#N/A,#N/A,FALSE,"Tickmarks"}</definedName>
    <definedName name="afsfa" localSheetId="6" hidden="1">{#N/A,#N/A,FALSE,"Aging Summary";#N/A,#N/A,FALSE,"Ratio Analysis";#N/A,#N/A,FALSE,"Test 120 Day Accts";#N/A,#N/A,FALSE,"Tickmarks"}</definedName>
    <definedName name="afsfa" localSheetId="10" hidden="1">{#N/A,#N/A,FALSE,"Aging Summary";#N/A,#N/A,FALSE,"Ratio Analysis";#N/A,#N/A,FALSE,"Test 120 Day Accts";#N/A,#N/A,FALSE,"Tickmarks"}</definedName>
    <definedName name="afsfa" localSheetId="5" hidden="1">{#N/A,#N/A,FALSE,"Aging Summary";#N/A,#N/A,FALSE,"Ratio Analysis";#N/A,#N/A,FALSE,"Test 120 Day Accts";#N/A,#N/A,FALSE,"Tickmarks"}</definedName>
    <definedName name="afsfa" localSheetId="4" hidden="1">{#N/A,#N/A,FALSE,"Aging Summary";#N/A,#N/A,FALSE,"Ratio Analysis";#N/A,#N/A,FALSE,"Test 120 Day Accts";#N/A,#N/A,FALSE,"Tickmarks"}</definedName>
    <definedName name="afsfa" localSheetId="11" hidden="1">{#N/A,#N/A,FALSE,"Aging Summary";#N/A,#N/A,FALSE,"Ratio Analysis";#N/A,#N/A,FALSE,"Test 120 Day Accts";#N/A,#N/A,FALSE,"Tickmarks"}</definedName>
    <definedName name="afsfa" hidden="1">{#N/A,#N/A,FALSE,"Aging Summary";#N/A,#N/A,FALSE,"Ratio Analysis";#N/A,#N/A,FALSE,"Test 120 Day Accts";#N/A,#N/A,FALSE,"Tickmarks"}</definedName>
    <definedName name="ag" localSheetId="18" hidden="1">[15]!ag</definedName>
    <definedName name="ag" localSheetId="19" hidden="1">[15]!ag</definedName>
    <definedName name="ag" localSheetId="14" hidden="1">[15]!ag</definedName>
    <definedName name="ag" localSheetId="15" hidden="1">[15]!ag</definedName>
    <definedName name="ag" localSheetId="13" hidden="1">[15]!ag</definedName>
    <definedName name="ag" localSheetId="7" hidden="1">[15]!ag</definedName>
    <definedName name="ag" localSheetId="16" hidden="1">[15]!ag</definedName>
    <definedName name="ag" localSheetId="9" hidden="1">[15]!ag</definedName>
    <definedName name="ag" localSheetId="8" hidden="1">[15]!ag</definedName>
    <definedName name="ag" localSheetId="20" hidden="1">[15]!ag</definedName>
    <definedName name="ag" localSheetId="17" hidden="1">[15]!ag</definedName>
    <definedName name="ag" localSheetId="6" hidden="1">[15]!ag</definedName>
    <definedName name="ag" localSheetId="10" hidden="1">[15]!ag</definedName>
    <definedName name="ag" localSheetId="4" hidden="1">[15]!ag</definedName>
    <definedName name="ag" localSheetId="11" hidden="1">[15]!ag</definedName>
    <definedName name="ag" hidden="1">[15]!ag</definedName>
    <definedName name="agingrep" localSheetId="18" hidden="1">[15]!agingrep</definedName>
    <definedName name="agingrep" localSheetId="19" hidden="1">[15]!agingrep</definedName>
    <definedName name="agingrep" localSheetId="14" hidden="1">[15]!agingrep</definedName>
    <definedName name="agingrep" localSheetId="15" hidden="1">[15]!agingrep</definedName>
    <definedName name="agingrep" localSheetId="13" hidden="1">[15]!agingrep</definedName>
    <definedName name="agingrep" localSheetId="7" hidden="1">[15]!agingrep</definedName>
    <definedName name="agingrep" localSheetId="16" hidden="1">[15]!agingrep</definedName>
    <definedName name="agingrep" localSheetId="9" hidden="1">[15]!agingrep</definedName>
    <definedName name="agingrep" localSheetId="8" hidden="1">[15]!agingrep</definedName>
    <definedName name="agingrep" localSheetId="20" hidden="1">[15]!agingrep</definedName>
    <definedName name="agingrep" localSheetId="17" hidden="1">[15]!agingrep</definedName>
    <definedName name="agingrep" localSheetId="6" hidden="1">[15]!agingrep</definedName>
    <definedName name="agingrep" localSheetId="10" hidden="1">[15]!agingrep</definedName>
    <definedName name="agingrep" localSheetId="4" hidden="1">[15]!agingrep</definedName>
    <definedName name="agingrep" localSheetId="11" hidden="1">[15]!agingrep</definedName>
    <definedName name="agingrep" hidden="1">[15]!agingrep</definedName>
    <definedName name="anscount" hidden="1">2</definedName>
    <definedName name="Apr" localSheetId="5">#REF!</definedName>
    <definedName name="Apr" localSheetId="4">#REF!</definedName>
    <definedName name="Apr">#REF!</definedName>
    <definedName name="Area">[17]Final_Scenario_production_detai!$X:$X</definedName>
    <definedName name="Array" localSheetId="14">{"A1","B1";"C1","D1"}</definedName>
    <definedName name="Array" localSheetId="13">{"A1","B1";"C1","D1"}</definedName>
    <definedName name="Array" localSheetId="7">{"A1","B1";"C1","D1"}</definedName>
    <definedName name="Array" localSheetId="12">{"A1","B1";"C1","D1"}</definedName>
    <definedName name="Array" localSheetId="9">{"A1","B1";"C1","D1"}</definedName>
    <definedName name="Array" localSheetId="8">{"A1","B1";"C1","D1"}</definedName>
    <definedName name="Array" localSheetId="6">{"A1","B1";"C1","D1"}</definedName>
    <definedName name="Array" localSheetId="10">{"A1","B1";"C1","D1"}</definedName>
    <definedName name="Array" localSheetId="5">{"A1","B1";"C1","D1"}</definedName>
    <definedName name="Array" localSheetId="4">{"A1","B1";"C1","D1"}</definedName>
    <definedName name="Array" localSheetId="11">{"A1","B1";"C1","D1"}</definedName>
    <definedName name="Array">{"A1","B1";"C1","D1"}</definedName>
    <definedName name="AS2DocOpenMode" hidden="1">"AS2DocumentEdit"</definedName>
    <definedName name="AS2NamedRange">120</definedName>
    <definedName name="asa" localSheetId="14" hidden="1">{#N/A,#N/A,FALSE,"Aging Summary";#N/A,#N/A,FALSE,"Ratio Analysis";#N/A,#N/A,FALSE,"Test 120 Day Accts";#N/A,#N/A,FALSE,"Tickmarks"}</definedName>
    <definedName name="asa" localSheetId="13" hidden="1">{#N/A,#N/A,FALSE,"Aging Summary";#N/A,#N/A,FALSE,"Ratio Analysis";#N/A,#N/A,FALSE,"Test 120 Day Accts";#N/A,#N/A,FALSE,"Tickmarks"}</definedName>
    <definedName name="asa" localSheetId="7" hidden="1">{#N/A,#N/A,FALSE,"Aging Summary";#N/A,#N/A,FALSE,"Ratio Analysis";#N/A,#N/A,FALSE,"Test 120 Day Accts";#N/A,#N/A,FALSE,"Tickmarks"}</definedName>
    <definedName name="asa" localSheetId="12" hidden="1">{#N/A,#N/A,FALSE,"Aging Summary";#N/A,#N/A,FALSE,"Ratio Analysis";#N/A,#N/A,FALSE,"Test 120 Day Accts";#N/A,#N/A,FALSE,"Tickmarks"}</definedName>
    <definedName name="asa" localSheetId="9" hidden="1">{#N/A,#N/A,FALSE,"Aging Summary";#N/A,#N/A,FALSE,"Ratio Analysis";#N/A,#N/A,FALSE,"Test 120 Day Accts";#N/A,#N/A,FALSE,"Tickmarks"}</definedName>
    <definedName name="asa" localSheetId="8" hidden="1">{#N/A,#N/A,FALSE,"Aging Summary";#N/A,#N/A,FALSE,"Ratio Analysis";#N/A,#N/A,FALSE,"Test 120 Day Accts";#N/A,#N/A,FALSE,"Tickmarks"}</definedName>
    <definedName name="asa" localSheetId="6" hidden="1">{#N/A,#N/A,FALSE,"Aging Summary";#N/A,#N/A,FALSE,"Ratio Analysis";#N/A,#N/A,FALSE,"Test 120 Day Accts";#N/A,#N/A,FALSE,"Tickmarks"}</definedName>
    <definedName name="asa" localSheetId="10" hidden="1">{#N/A,#N/A,FALSE,"Aging Summary";#N/A,#N/A,FALSE,"Ratio Analysis";#N/A,#N/A,FALSE,"Test 120 Day Accts";#N/A,#N/A,FALSE,"Tickmarks"}</definedName>
    <definedName name="asa" localSheetId="5" hidden="1">{#N/A,#N/A,FALSE,"Aging Summary";#N/A,#N/A,FALSE,"Ratio Analysis";#N/A,#N/A,FALSE,"Test 120 Day Accts";#N/A,#N/A,FALSE,"Tickmarks"}</definedName>
    <definedName name="asa" localSheetId="4" hidden="1">{#N/A,#N/A,FALSE,"Aging Summary";#N/A,#N/A,FALSE,"Ratio Analysis";#N/A,#N/A,FALSE,"Test 120 Day Accts";#N/A,#N/A,FALSE,"Tickmarks"}</definedName>
    <definedName name="asa" localSheetId="11" hidden="1">{#N/A,#N/A,FALSE,"Aging Summary";#N/A,#N/A,FALSE,"Ratio Analysis";#N/A,#N/A,FALSE,"Test 120 Day Accts";#N/A,#N/A,FALSE,"Tickmarks"}</definedName>
    <definedName name="asa" hidden="1">{#N/A,#N/A,FALSE,"Aging Summary";#N/A,#N/A,FALSE,"Ratio Analysis";#N/A,#N/A,FALSE,"Test 120 Day Accts";#N/A,#N/A,FALSE,"Tickmarks"}</definedName>
    <definedName name="ASDA" localSheetId="5" hidden="1">#REF!</definedName>
    <definedName name="ASDA" localSheetId="4" hidden="1">#REF!</definedName>
    <definedName name="ASDA" hidden="1">#REF!</definedName>
    <definedName name="asfafq" localSheetId="18" hidden="1">[15]!asfafq</definedName>
    <definedName name="asfafq" localSheetId="19" hidden="1">[15]!asfafq</definedName>
    <definedName name="asfafq" localSheetId="14" hidden="1">[15]!asfafq</definedName>
    <definedName name="asfafq" localSheetId="15" hidden="1">[15]!asfafq</definedName>
    <definedName name="asfafq" localSheetId="13" hidden="1">[15]!asfafq</definedName>
    <definedName name="asfafq" localSheetId="7" hidden="1">[15]!asfafq</definedName>
    <definedName name="asfafq" localSheetId="16" hidden="1">[15]!asfafq</definedName>
    <definedName name="asfafq" localSheetId="9" hidden="1">[15]!asfafq</definedName>
    <definedName name="asfafq" localSheetId="8" hidden="1">[15]!asfafq</definedName>
    <definedName name="asfafq" localSheetId="20" hidden="1">[15]!asfafq</definedName>
    <definedName name="asfafq" localSheetId="17" hidden="1">[15]!asfafq</definedName>
    <definedName name="asfafq" localSheetId="6" hidden="1">[15]!asfafq</definedName>
    <definedName name="asfafq" localSheetId="10" hidden="1">[15]!asfafq</definedName>
    <definedName name="asfafq" localSheetId="4" hidden="1">[15]!asfafq</definedName>
    <definedName name="asfafq" localSheetId="11" hidden="1">[15]!asfafq</definedName>
    <definedName name="asfafq" hidden="1">[15]!asfafq</definedName>
    <definedName name="Aug" localSheetId="5">#REF!</definedName>
    <definedName name="Aug" localSheetId="4">#REF!</definedName>
    <definedName name="Aug">#REF!</definedName>
    <definedName name="avaaaaav" localSheetId="18" hidden="1">[15]!avaaaaav</definedName>
    <definedName name="avaaaaav" localSheetId="19" hidden="1">[15]!avaaaaav</definedName>
    <definedName name="avaaaaav" localSheetId="14" hidden="1">[15]!avaaaaav</definedName>
    <definedName name="avaaaaav" localSheetId="15" hidden="1">[15]!avaaaaav</definedName>
    <definedName name="avaaaaav" localSheetId="13" hidden="1">[15]!avaaaaav</definedName>
    <definedName name="avaaaaav" localSheetId="7" hidden="1">[15]!avaaaaav</definedName>
    <definedName name="avaaaaav" localSheetId="16" hidden="1">[15]!avaaaaav</definedName>
    <definedName name="avaaaaav" localSheetId="9" hidden="1">[15]!avaaaaav</definedName>
    <definedName name="avaaaaav" localSheetId="8" hidden="1">[15]!avaaaaav</definedName>
    <definedName name="avaaaaav" localSheetId="20" hidden="1">[15]!avaaaaav</definedName>
    <definedName name="avaaaaav" localSheetId="17" hidden="1">[15]!avaaaaav</definedName>
    <definedName name="avaaaaav" localSheetId="6" hidden="1">[15]!avaaaaav</definedName>
    <definedName name="avaaaaav" localSheetId="10" hidden="1">[15]!avaaaaav</definedName>
    <definedName name="avaaaaav" localSheetId="4" hidden="1">[15]!avaaaaav</definedName>
    <definedName name="avaaaaav" localSheetId="11" hidden="1">[15]!avaaaaav</definedName>
    <definedName name="avaaaaav" hidden="1">[15]!avaaaaav</definedName>
    <definedName name="B" localSheetId="5" hidden="1">#REF!</definedName>
    <definedName name="B" localSheetId="4" hidden="1">#REF!</definedName>
    <definedName name="B" hidden="1">#REF!</definedName>
    <definedName name="BALSHEET" localSheetId="5">#REF!</definedName>
    <definedName name="BALSHEET" localSheetId="4">#REF!</definedName>
    <definedName name="BALSHEET">#REF!</definedName>
    <definedName name="BALSHEETNOTE2" localSheetId="5">#REF!</definedName>
    <definedName name="BALSHEETNOTE2" localSheetId="4">#REF!</definedName>
    <definedName name="BALSHEETNOTE2">#REF!</definedName>
    <definedName name="BCM">[18]Haulage_Detailed!$R:$R</definedName>
    <definedName name="BUDGET" localSheetId="5">#REF!</definedName>
    <definedName name="BUDGET" localSheetId="4">#REF!</definedName>
    <definedName name="BUDGET">#REF!</definedName>
    <definedName name="CallingWbName" hidden="1">"RunningXCAReporting v1.81.xls"</definedName>
    <definedName name="CASHFLOWSTAT" localSheetId="5">#REF!</definedName>
    <definedName name="CASHFLOWSTAT" localSheetId="4">#REF!</definedName>
    <definedName name="CASHFLOWSTAT">#REF!</definedName>
    <definedName name="CBWorkbookPriority" hidden="1">-340412657</definedName>
    <definedName name="CCC" localSheetId="5">#REF!</definedName>
    <definedName name="CCC" localSheetId="4">#REF!</definedName>
    <definedName name="CCC">#REF!</definedName>
    <definedName name="ccccc" hidden="1">#REF!</definedName>
    <definedName name="ChangeRange" localSheetId="18" hidden="1">[15]!ChangeRange</definedName>
    <definedName name="ChangeRange" localSheetId="19" hidden="1">[15]!ChangeRange</definedName>
    <definedName name="ChangeRange" localSheetId="14" hidden="1">[15]!ChangeRange</definedName>
    <definedName name="ChangeRange" localSheetId="15" hidden="1">[15]!ChangeRange</definedName>
    <definedName name="ChangeRange" localSheetId="13" hidden="1">[15]!ChangeRange</definedName>
    <definedName name="ChangeRange" localSheetId="7" hidden="1">[15]!ChangeRange</definedName>
    <definedName name="ChangeRange" localSheetId="16" hidden="1">[15]!ChangeRange</definedName>
    <definedName name="ChangeRange" localSheetId="9" hidden="1">[15]!ChangeRange</definedName>
    <definedName name="ChangeRange" localSheetId="8" hidden="1">[15]!ChangeRange</definedName>
    <definedName name="ChangeRange" localSheetId="20" hidden="1">[15]!ChangeRange</definedName>
    <definedName name="ChangeRange" localSheetId="17" hidden="1">[15]!ChangeRange</definedName>
    <definedName name="ChangeRange" localSheetId="6" hidden="1">[15]!ChangeRange</definedName>
    <definedName name="ChangeRange" localSheetId="10" hidden="1">[15]!ChangeRange</definedName>
    <definedName name="ChangeRange" localSheetId="4" hidden="1">[15]!ChangeRange</definedName>
    <definedName name="ChangeRange" localSheetId="11" hidden="1">[15]!ChangeRange</definedName>
    <definedName name="ChangeRange" hidden="1">[15]!ChangeRange</definedName>
    <definedName name="CITIZEN" localSheetId="5">#REF!</definedName>
    <definedName name="CITIZEN" localSheetId="4">#REF!</definedName>
    <definedName name="CITIZEN">#REF!</definedName>
    <definedName name="CITIZEN_DETAIL" localSheetId="5">#REF!</definedName>
    <definedName name="CITIZEN_DETAIL" localSheetId="4">#REF!</definedName>
    <definedName name="CITIZEN_DETAIL">#REF!</definedName>
    <definedName name="CITIZEN_DETAIL_YTD" localSheetId="5">#REF!</definedName>
    <definedName name="CITIZEN_DETAIL_YTD" localSheetId="4">#REF!</definedName>
    <definedName name="CITIZEN_DETAIL_YTD">#REF!</definedName>
    <definedName name="CITIZENYTD">#REF!</definedName>
    <definedName name="COB_Profile_change">'[19]P&amp;L'!#REF!</definedName>
    <definedName name="ConstraintsCLS">'[20]Constraints Summary'!$L$17:$BR$34,'[20]Constraints Summary'!$L$37:$BR$56,'[20]Constraints Summary'!$L$59:$BR$73,'[20]Constraints Summary'!$L$76:$BR$92,'[20]Constraints Summary'!$L$95:$BR$108</definedName>
    <definedName name="ContentsHelp" localSheetId="18" hidden="1">[15]!ContentsHelp</definedName>
    <definedName name="ContentsHelp" localSheetId="19" hidden="1">[15]!ContentsHelp</definedName>
    <definedName name="ContentsHelp" localSheetId="14" hidden="1">[15]!ContentsHelp</definedName>
    <definedName name="ContentsHelp" localSheetId="15" hidden="1">[15]!ContentsHelp</definedName>
    <definedName name="ContentsHelp" localSheetId="13" hidden="1">[15]!ContentsHelp</definedName>
    <definedName name="ContentsHelp" localSheetId="7" hidden="1">[15]!ContentsHelp</definedName>
    <definedName name="ContentsHelp" localSheetId="16" hidden="1">[15]!ContentsHelp</definedName>
    <definedName name="ContentsHelp" localSheetId="9" hidden="1">[15]!ContentsHelp</definedName>
    <definedName name="ContentsHelp" localSheetId="8" hidden="1">[15]!ContentsHelp</definedName>
    <definedName name="ContentsHelp" localSheetId="20" hidden="1">[15]!ContentsHelp</definedName>
    <definedName name="ContentsHelp" localSheetId="17" hidden="1">[15]!ContentsHelp</definedName>
    <definedName name="ContentsHelp" localSheetId="6" hidden="1">[15]!ContentsHelp</definedName>
    <definedName name="ContentsHelp" localSheetId="10" hidden="1">[15]!ContentsHelp</definedName>
    <definedName name="ContentsHelp" localSheetId="4" hidden="1">[15]!ContentsHelp</definedName>
    <definedName name="ContentsHelp" localSheetId="11" hidden="1">[15]!ContentsHelp</definedName>
    <definedName name="ContentsHelp" hidden="1">[15]!ContentsHelp</definedName>
    <definedName name="ContextHelpID" localSheetId="5" hidden="1">#REF!</definedName>
    <definedName name="ContextHelpID" localSheetId="4" hidden="1">#REF!</definedName>
    <definedName name="ContextHelpID" hidden="1">#REF!</definedName>
    <definedName name="CONTRACT_DURATION">'[16]Alufer Inputs (Hidden)'!$F$3</definedName>
    <definedName name="CONTRACT_LIST">'[21]Alufer Inputs (Hidden)'!$F$5:$F$9</definedName>
    <definedName name="CONTRACT_START_DATE">'[16]Alufer Inputs (Hidden)'!$F$2</definedName>
    <definedName name="CR1CLS">'[20]Crushing Downtime 1'!$B$4:$B$34,'[20]Crushing Downtime 1'!$D$4:$E$34,'[20]Crushing Downtime 1'!$G$4:$H$34,'[20]Crushing Downtime 1'!$J$4:$K$34,'[20]Crushing Downtime 1'!$M$4:$N$34,'[20]Crushing Downtime 1'!$P$4:$Q$34,'[20]Crushing Downtime 1'!$S$4:$T$34,'[20]Crushing Downtime 1'!$V$4:$V$34</definedName>
    <definedName name="CR2CLS">'[20]Crushing Downtime 2'!$B$4:$B$34,'[20]Crushing Downtime 2'!$D$4:$E$34,'[20]Crushing Downtime 2'!$G$4:$H$34,'[20]Crushing Downtime 2'!$J$4:$K$34,'[20]Crushing Downtime 2'!$M$4:$N$34,'[20]Crushing Downtime 2'!$P$4:$Q$34,'[20]Crushing Downtime 2'!$S$4:$T$34,'[20]Crushing Downtime 2'!$V$4:$V$34</definedName>
    <definedName name="CreateTable" localSheetId="18" hidden="1">[15]!CreateTable</definedName>
    <definedName name="CreateTable" localSheetId="19" hidden="1">[15]!CreateTable</definedName>
    <definedName name="CreateTable" localSheetId="14" hidden="1">[15]!CreateTable</definedName>
    <definedName name="CreateTable" localSheetId="15" hidden="1">[15]!CreateTable</definedName>
    <definedName name="CreateTable" localSheetId="13" hidden="1">[15]!CreateTable</definedName>
    <definedName name="CreateTable" localSheetId="7" hidden="1">[15]!CreateTable</definedName>
    <definedName name="CreateTable" localSheetId="16" hidden="1">[15]!CreateTable</definedName>
    <definedName name="CreateTable" localSheetId="9" hidden="1">[15]!CreateTable</definedName>
    <definedName name="CreateTable" localSheetId="8" hidden="1">[15]!CreateTable</definedName>
    <definedName name="CreateTable" localSheetId="20" hidden="1">[15]!CreateTable</definedName>
    <definedName name="CreateTable" localSheetId="17" hidden="1">[15]!CreateTable</definedName>
    <definedName name="CreateTable" localSheetId="6" hidden="1">[15]!CreateTable</definedName>
    <definedName name="CreateTable" localSheetId="10" hidden="1">[15]!CreateTable</definedName>
    <definedName name="CreateTable" localSheetId="4" hidden="1">[15]!CreateTable</definedName>
    <definedName name="CreateTable" localSheetId="11" hidden="1">[15]!CreateTable</definedName>
    <definedName name="CreateTable" hidden="1">[15]!CreateTable</definedName>
    <definedName name="csDesignMode">1</definedName>
    <definedName name="CYCLETIME" localSheetId="5">#REF!</definedName>
    <definedName name="CYCLETIME" localSheetId="4">#REF!</definedName>
    <definedName name="CYCLETIME">#REF!</definedName>
    <definedName name="D" localSheetId="5" hidden="1">[22]EQUIP!#REF!</definedName>
    <definedName name="D" localSheetId="4" hidden="1">[22]EQUIP!#REF!</definedName>
    <definedName name="D" hidden="1">[22]EQUIP!#REF!</definedName>
    <definedName name="DatabaseCLS">[20]Database!$S$7:$W$37,[20]Database!$Y$7:$Z$37,[20]Database!$BN$7:$BP$37,[20]Database!$BV$7:$BX$37</definedName>
    <definedName name="Days">365</definedName>
    <definedName name="dbo_GL40200" localSheetId="5">#REF!</definedName>
    <definedName name="dbo_GL40200" localSheetId="4">#REF!</definedName>
    <definedName name="dbo_GL40200">#REF!</definedName>
    <definedName name="ddd" localSheetId="5" hidden="1">#REF!</definedName>
    <definedName name="ddd" localSheetId="4" hidden="1">#REF!</definedName>
    <definedName name="ddd" hidden="1">#REF!</definedName>
    <definedName name="dddd" localSheetId="5">#REF!</definedName>
    <definedName name="dddd" localSheetId="4">#REF!</definedName>
    <definedName name="dddd">#REF!</definedName>
    <definedName name="Dec">#REF!</definedName>
    <definedName name="DeleteRange" localSheetId="18" hidden="1">[15]!DeleteRange</definedName>
    <definedName name="DeleteRange" localSheetId="19" hidden="1">[15]!DeleteRange</definedName>
    <definedName name="DeleteRange" localSheetId="14" hidden="1">[15]!DeleteRange</definedName>
    <definedName name="DeleteRange" localSheetId="15" hidden="1">[15]!DeleteRange</definedName>
    <definedName name="DeleteRange" localSheetId="13" hidden="1">[15]!DeleteRange</definedName>
    <definedName name="DeleteRange" localSheetId="7" hidden="1">[15]!DeleteRange</definedName>
    <definedName name="DeleteRange" localSheetId="16" hidden="1">[15]!DeleteRange</definedName>
    <definedName name="DeleteRange" localSheetId="9" hidden="1">[15]!DeleteRange</definedName>
    <definedName name="DeleteRange" localSheetId="8" hidden="1">[15]!DeleteRange</definedName>
    <definedName name="DeleteRange" localSheetId="20" hidden="1">[15]!DeleteRange</definedName>
    <definedName name="DeleteRange" localSheetId="17" hidden="1">[15]!DeleteRange</definedName>
    <definedName name="DeleteRange" localSheetId="6" hidden="1">[15]!DeleteRange</definedName>
    <definedName name="DeleteRange" localSheetId="10" hidden="1">[15]!DeleteRange</definedName>
    <definedName name="DeleteRange" localSheetId="4" hidden="1">[15]!DeleteRange</definedName>
    <definedName name="DeleteRange" localSheetId="11" hidden="1">[15]!DeleteRange</definedName>
    <definedName name="DeleteRange" hidden="1">[15]!DeleteRange</definedName>
    <definedName name="DeleteTable" localSheetId="18" hidden="1">[15]!DeleteTable</definedName>
    <definedName name="DeleteTable" localSheetId="19" hidden="1">[15]!DeleteTable</definedName>
    <definedName name="DeleteTable" localSheetId="14" hidden="1">[15]!DeleteTable</definedName>
    <definedName name="DeleteTable" localSheetId="15" hidden="1">[15]!DeleteTable</definedName>
    <definedName name="DeleteTable" localSheetId="13" hidden="1">[15]!DeleteTable</definedName>
    <definedName name="DeleteTable" localSheetId="7" hidden="1">[15]!DeleteTable</definedName>
    <definedName name="DeleteTable" localSheetId="16" hidden="1">[15]!DeleteTable</definedName>
    <definedName name="DeleteTable" localSheetId="9" hidden="1">[15]!DeleteTable</definedName>
    <definedName name="DeleteTable" localSheetId="8" hidden="1">[15]!DeleteTable</definedName>
    <definedName name="DeleteTable" localSheetId="20" hidden="1">[15]!DeleteTable</definedName>
    <definedName name="DeleteTable" localSheetId="17" hidden="1">[15]!DeleteTable</definedName>
    <definedName name="DeleteTable" localSheetId="6" hidden="1">[15]!DeleteTable</definedName>
    <definedName name="DeleteTable" localSheetId="10" hidden="1">[15]!DeleteTable</definedName>
    <definedName name="DeleteTable" localSheetId="4" hidden="1">[15]!DeleteTable</definedName>
    <definedName name="DeleteTable" localSheetId="11" hidden="1">[15]!DeleteTable</definedName>
    <definedName name="DeleteTable" hidden="1">[15]!DeleteTable</definedName>
    <definedName name="DepartmentContractorList" localSheetId="18">OFFSET(DateList,0,2)</definedName>
    <definedName name="DepartmentContractorList" localSheetId="19">OFFSET(DateList,0,2)</definedName>
    <definedName name="DepartmentContractorList" localSheetId="14">OFFSET(DateList,0,2)</definedName>
    <definedName name="DepartmentContractorList" localSheetId="15">OFFSET(DateList,0,2)</definedName>
    <definedName name="DepartmentContractorList" localSheetId="13">OFFSET(DateList,0,2)</definedName>
    <definedName name="DepartmentContractorList" localSheetId="7">OFFSET(DateList,0,2)</definedName>
    <definedName name="DepartmentContractorList" localSheetId="16">OFFSET(DateList,0,2)</definedName>
    <definedName name="DepartmentContractorList" localSheetId="12">OFFSET(DateList,0,2)</definedName>
    <definedName name="DepartmentContractorList" localSheetId="9">OFFSET(DateList,0,2)</definedName>
    <definedName name="DepartmentContractorList" localSheetId="8">OFFSET(DateList,0,2)</definedName>
    <definedName name="DepartmentContractorList" localSheetId="20">OFFSET(DateList,0,2)</definedName>
    <definedName name="DepartmentContractorList" localSheetId="17">OFFSET(DateList,0,2)</definedName>
    <definedName name="DepartmentContractorList" localSheetId="6">OFFSET(DateList,0,2)</definedName>
    <definedName name="DepartmentContractorList" localSheetId="10">OFFSET(DateList,0,2)</definedName>
    <definedName name="DepartmentContractorList" localSheetId="5">OFFSET(DateList,0,2)</definedName>
    <definedName name="DepartmentContractorList" localSheetId="4">OFFSET(DateList,0,2)</definedName>
    <definedName name="DepartmentContractorList" localSheetId="11">OFFSET(DateList,0,2)</definedName>
    <definedName name="DepartmentContractorList">OFFSET(DateList,0,2)</definedName>
    <definedName name="Dept" localSheetId="18">OFFSET(DateList,0,2)</definedName>
    <definedName name="Dept" localSheetId="19">OFFSET(DateList,0,2)</definedName>
    <definedName name="Dept" localSheetId="14">OFFSET(DateList,0,2)</definedName>
    <definedName name="Dept" localSheetId="15">OFFSET(DateList,0,2)</definedName>
    <definedName name="Dept" localSheetId="13">OFFSET(DateList,0,2)</definedName>
    <definedName name="Dept" localSheetId="7">OFFSET(DateList,0,2)</definedName>
    <definedName name="Dept" localSheetId="16">OFFSET(DateList,0,2)</definedName>
    <definedName name="Dept" localSheetId="12">OFFSET(DateList,0,2)</definedName>
    <definedName name="Dept" localSheetId="9">OFFSET(DateList,0,2)</definedName>
    <definedName name="Dept" localSheetId="8">OFFSET(DateList,0,2)</definedName>
    <definedName name="Dept" localSheetId="20">OFFSET(DateList,0,2)</definedName>
    <definedName name="Dept" localSheetId="17">OFFSET(DateList,0,2)</definedName>
    <definedName name="Dept" localSheetId="6">OFFSET(DateList,0,2)</definedName>
    <definedName name="Dept" localSheetId="10">OFFSET(DateList,0,2)</definedName>
    <definedName name="Dept" localSheetId="5">OFFSET(DateList,0,2)</definedName>
    <definedName name="Dept" localSheetId="4">OFFSET(DateList,0,2)</definedName>
    <definedName name="Dept" localSheetId="11">OFFSET(DateList,0,2)</definedName>
    <definedName name="Dept">OFFSET(DateList,0,2)</definedName>
    <definedName name="DieselPrice" localSheetId="5">#REF!</definedName>
    <definedName name="DieselPrice" localSheetId="4">#REF!</definedName>
    <definedName name="DieselPrice">#REF!</definedName>
    <definedName name="Dispatches">'[20]Input 1 Sheet'!$B$41:$L$71,'[20]Input 1 Sheet'!$T$41:$AD$71</definedName>
    <definedName name="DispatchFines">'[20]Input sp Sheet'!$B$41:$L$71,'[20]Input sp Sheet'!$BD$41:$BN$71</definedName>
    <definedName name="DISTANCE" localSheetId="5">#REF!</definedName>
    <definedName name="DISTANCE" localSheetId="4">#REF!</definedName>
    <definedName name="DISTANCE">#REF!</definedName>
    <definedName name="DMS1CLS">'[20]DMS 1 Downtime'!$B$4:$B$34,'[20]DMS 1 Downtime'!$D$4:$E$34,'[20]DMS 1 Downtime'!$G$4:$H$34,'[20]DMS 1 Downtime'!$J$4:$K$34,'[20]DMS 1 Downtime'!$M$4:$N$34,'[20]DMS 1 Downtime'!$P$4:$Q$34,'[20]DMS 1 Downtime'!$S$4:$T$34,'[20]DMS 1 Downtime'!$V$4:$V$34</definedName>
    <definedName name="DMS2CLS">'[20]DMS 2 Downtime'!$P$4:$Q$34,'[20]DMS 2 Downtime'!$S$4:$T$34,'[20]DMS 2 Downtime'!$V$4:$V$34,'[20]DMS 2 Downtime'!$B$4:$B$34,'[20]DMS 2 Downtime'!$D$4:$E$34,'[20]DMS 2 Downtime'!$G$4:$H$34,'[20]DMS 2 Downtime'!$J$4:$K$34,'[20]DMS 2 Downtime'!$M$4:$N$34,'[20]DMS 2 Downtime'!$P$4:$Q$34,'[20]DMS 2 Downtime'!$S$4:$T$34,'[20]DMS 2 Downtime'!$V$4:$V$34</definedName>
    <definedName name="DumpLevel">[18]Haulage_Detailed!$N:$N</definedName>
    <definedName name="EBG73083364CMN" hidden="1">0</definedName>
    <definedName name="EmployeeList" localSheetId="18">OFFSET(DateList,0,3)</definedName>
    <definedName name="EmployeeList" localSheetId="19">OFFSET(DateList,0,3)</definedName>
    <definedName name="EmployeeList" localSheetId="14">OFFSET(DateList,0,3)</definedName>
    <definedName name="EmployeeList" localSheetId="15">OFFSET(DateList,0,3)</definedName>
    <definedName name="EmployeeList" localSheetId="13">OFFSET(DateList,0,3)</definedName>
    <definedName name="EmployeeList" localSheetId="7">OFFSET(DateList,0,3)</definedName>
    <definedName name="EmployeeList" localSheetId="16">OFFSET(DateList,0,3)</definedName>
    <definedName name="EmployeeList" localSheetId="12">OFFSET(DateList,0,3)</definedName>
    <definedName name="EmployeeList" localSheetId="9">OFFSET(DateList,0,3)</definedName>
    <definedName name="EmployeeList" localSheetId="8">OFFSET(DateList,0,3)</definedName>
    <definedName name="EmployeeList" localSheetId="20">OFFSET(DateList,0,3)</definedName>
    <definedName name="EmployeeList" localSheetId="17">OFFSET(DateList,0,3)</definedName>
    <definedName name="EmployeeList" localSheetId="6">OFFSET(DateList,0,3)</definedName>
    <definedName name="EmployeeList" localSheetId="10">OFFSET(DateList,0,3)</definedName>
    <definedName name="EmployeeList" localSheetId="5">OFFSET(DateList,0,3)</definedName>
    <definedName name="EmployeeList" localSheetId="4">OFFSET(DateList,0,3)</definedName>
    <definedName name="EmployeeList" localSheetId="11">OFFSET(DateList,0,3)</definedName>
    <definedName name="EmployeeList">OFFSET(DateList,0,3)</definedName>
    <definedName name="END" localSheetId="5">#REF!</definedName>
    <definedName name="END" localSheetId="4">#REF!</definedName>
    <definedName name="END">#REF!</definedName>
    <definedName name="ENG_BI_CORE_LOCATION">"C:\Pastel11\"</definedName>
    <definedName name="ENG_BI_EXE_FULL_PATH">"D:\VIPLIVE\VIPBIM\BICORE.EXE"</definedName>
    <definedName name="ENG_BI_EXE_NAME">"BICORE.EXE"</definedName>
    <definedName name="ENG_BI_EXEC_CMD_ARGS">"03304606005303605007309508208003605007003304905607403704508313008506908706607908909507108406807807004805205912612407206608809408007806805205413412409611711410912309712511006807007206608506907608307606109508008106608207804905305412912809512112310512210"</definedName>
    <definedName name="ENG_BI_EXEC_CMD_ARGS_2">"21171020720660890880690910681191051211261241001121181101181061251010720710810660870830910840820770680840670910660780630490580590590620650590610580600560610590530530590580610550590590540560640490600640500610650590540580550600540500630540490610660530540"</definedName>
    <definedName name="ENG_BI_EXEC_CMD_ARGS_3">"68050056058059053056055068064055063055049055063049060064049066066052055068051051059059053059050068058049056064051056056125127100112126105109105108077066083071071084068078070101114130124096116117102113105108093074080104069066089065099085065093081061072"</definedName>
    <definedName name="ENG_BI_EXEC_CMD_ARGS_4">"06309308707708008007808607813212409512111809911310510309107308910406708308208106608208909908308508607307008207004904905912512710011212610710810910408307008407908608909508607207407809309607707408607308106107913412309911711809911210510308706908908608308"</definedName>
    <definedName name="ENG_BI_EXEC_CMD_ARGS_5">"4104078066078078088100076078095069080066071126127079086073069091076069080074083066082083065054125"</definedName>
    <definedName name="ENG_BI_GEN_LIC">"0"</definedName>
    <definedName name="ENG_BI_GEN_LIC_WS">"True"</definedName>
    <definedName name="ENG_BI_LANG_CODE">"en"</definedName>
    <definedName name="ENG_BI_LBI">"KH8NHBKRFF"</definedName>
    <definedName name="ENG_BI_REPOS_FILE">"D:\VIPLIVE\BIM006\alchemex.svd"</definedName>
    <definedName name="ENG_BI_REPOS_PATH">"D:\VIPLIVE\BIM006"</definedName>
    <definedName name="ENG_BI_TL">"ý’_x0011_…yÚøwÿ·_x0005_^¿Ê¢™Æ~Üš‚¡–Øç&lt;Ü?ÏÁ_x0003_"</definedName>
    <definedName name="ENG_BI_TLA">"215;117;4;82;42;92;138;149;96;97;195;194;239;130;234;245;168;251;217;161;38;45;35;209;101;51;204;155;127;240;236;48"</definedName>
    <definedName name="ENG_BI_TLA2">"173;168;178;229;98;254;17;147;135;90;92;180;203;153;218;253;154;62;9;78;191;155;24;2;137;205;164;213;67;137;52;173"</definedName>
    <definedName name="ENRC" localSheetId="18" hidden="1">[15]!ENRC</definedName>
    <definedName name="ENRC" localSheetId="19" hidden="1">[15]!ENRC</definedName>
    <definedName name="ENRC" localSheetId="14" hidden="1">[15]!ENRC</definedName>
    <definedName name="ENRC" localSheetId="15" hidden="1">[15]!ENRC</definedName>
    <definedName name="ENRC" localSheetId="13" hidden="1">[15]!ENRC</definedName>
    <definedName name="ENRC" localSheetId="7" hidden="1">[15]!ENRC</definedName>
    <definedName name="ENRC" localSheetId="16" hidden="1">[15]!ENRC</definedName>
    <definedName name="ENRC" localSheetId="9" hidden="1">[15]!ENRC</definedName>
    <definedName name="ENRC" localSheetId="8" hidden="1">[15]!ENRC</definedName>
    <definedName name="ENRC" localSheetId="20" hidden="1">[15]!ENRC</definedName>
    <definedName name="ENRC" localSheetId="17" hidden="1">[15]!ENRC</definedName>
    <definedName name="ENRC" localSheetId="6" hidden="1">[15]!ENRC</definedName>
    <definedName name="ENRC" localSheetId="10" hidden="1">[15]!ENRC</definedName>
    <definedName name="ENRC" localSheetId="4" hidden="1">[15]!ENRC</definedName>
    <definedName name="ENRC" localSheetId="11" hidden="1">[15]!ENRC</definedName>
    <definedName name="ENRC" hidden="1">[15]!ENRC</definedName>
    <definedName name="evenmore" hidden="1">{#N/A,#N/A,TRUE,"EWAR";#N/A,#N/A,TRUE,"Sad";#N/A,#N/A,TRUE,"Yat";#N/A,#N/A,TRUE,"Nav";#N/A,#N/A,TRUE,"Mor";#N/A,#N/A,TRUE,"Geit"}</definedName>
    <definedName name="ExchangeRate">4700</definedName>
    <definedName name="ExitStatus" localSheetId="5" hidden="1">#REF!</definedName>
    <definedName name="ExitStatus" localSheetId="4" hidden="1">#REF!</definedName>
    <definedName name="ExitStatus" hidden="1">#REF!</definedName>
    <definedName name="EXPATRIATE" localSheetId="5">#REF!</definedName>
    <definedName name="EXPATRIATE" localSheetId="4">#REF!</definedName>
    <definedName name="EXPATRIATE">#REF!</definedName>
    <definedName name="EXPATS">#REF!</definedName>
    <definedName name="Expense">#REF!</definedName>
    <definedName name="Expl_Disc">0.49</definedName>
    <definedName name="ExportOreDensity" localSheetId="5">#REF!</definedName>
    <definedName name="ExportOreDensity" localSheetId="4">#REF!</definedName>
    <definedName name="ExportOreDensity">#REF!</definedName>
    <definedName name="FAIList" localSheetId="18">OFFSET(DateList,0,6)</definedName>
    <definedName name="FAIList" localSheetId="19">OFFSET(DateList,0,6)</definedName>
    <definedName name="FAIList" localSheetId="14">OFFSET(DateList,0,6)</definedName>
    <definedName name="FAIList" localSheetId="15">OFFSET(DateList,0,6)</definedName>
    <definedName name="FAIList" localSheetId="13">OFFSET(DateList,0,6)</definedName>
    <definedName name="FAIList" localSheetId="7">OFFSET(DateList,0,6)</definedName>
    <definedName name="FAIList" localSheetId="16">OFFSET(DateList,0,6)</definedName>
    <definedName name="FAIList" localSheetId="12">OFFSET(DateList,0,6)</definedName>
    <definedName name="FAIList" localSheetId="9">OFFSET(DateList,0,6)</definedName>
    <definedName name="FAIList" localSheetId="8">OFFSET(DateList,0,6)</definedName>
    <definedName name="FAIList" localSheetId="20">OFFSET(DateList,0,6)</definedName>
    <definedName name="FAIList" localSheetId="17">OFFSET(DateList,0,6)</definedName>
    <definedName name="FAIList" localSheetId="6">OFFSET(DateList,0,6)</definedName>
    <definedName name="FAIList" localSheetId="10">OFFSET(DateList,0,6)</definedName>
    <definedName name="FAIList" localSheetId="5">OFFSET(DateList,0,6)</definedName>
    <definedName name="FAIList" localSheetId="4">OFFSET(DateList,0,6)</definedName>
    <definedName name="FAIList" localSheetId="11">OFFSET(DateList,0,6)</definedName>
    <definedName name="FAIList">OFFSET(DateList,0,6)</definedName>
    <definedName name="FatalityList" localSheetId="18">OFFSET(DateList,0,10)</definedName>
    <definedName name="FatalityList" localSheetId="19">OFFSET(DateList,0,10)</definedName>
    <definedName name="FatalityList" localSheetId="14">OFFSET(DateList,0,10)</definedName>
    <definedName name="FatalityList" localSheetId="15">OFFSET(DateList,0,10)</definedName>
    <definedName name="FatalityList" localSheetId="13">OFFSET(DateList,0,10)</definedName>
    <definedName name="FatalityList" localSheetId="7">OFFSET(DateList,0,10)</definedName>
    <definedName name="FatalityList" localSheetId="16">OFFSET(DateList,0,10)</definedName>
    <definedName name="FatalityList" localSheetId="12">OFFSET(DateList,0,10)</definedName>
    <definedName name="FatalityList" localSheetId="9">OFFSET(DateList,0,10)</definedName>
    <definedName name="FatalityList" localSheetId="8">OFFSET(DateList,0,10)</definedName>
    <definedName name="FatalityList" localSheetId="20">OFFSET(DateList,0,10)</definedName>
    <definedName name="FatalityList" localSheetId="17">OFFSET(DateList,0,10)</definedName>
    <definedName name="FatalityList" localSheetId="6">OFFSET(DateList,0,10)</definedName>
    <definedName name="FatalityList" localSheetId="10">OFFSET(DateList,0,10)</definedName>
    <definedName name="FatalityList" localSheetId="5">OFFSET(DateList,0,10)</definedName>
    <definedName name="FatalityList" localSheetId="4">OFFSET(DateList,0,10)</definedName>
    <definedName name="FatalityList" localSheetId="11">OFFSET(DateList,0,10)</definedName>
    <definedName name="FatalityList">OFFSET(DateList,0,10)</definedName>
    <definedName name="Feb" localSheetId="5">#REF!</definedName>
    <definedName name="Feb" localSheetId="4">#REF!</definedName>
    <definedName name="Feb">#REF!</definedName>
    <definedName name="Fill" localSheetId="14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Fill" localSheetId="13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Fill" localSheetId="7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Fill" localSheetId="12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Fill" localSheetId="9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Fill" localSheetId="8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Fill" localSheetId="6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Fill" localSheetId="10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Fill" localSheetId="5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Fill" localSheetId="4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Fill" localSheetId="11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Fill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fill2" hidden="1">'[11]2001'!#REF!</definedName>
    <definedName name="FlagAllList" localSheetId="18">OFFSET(DateList,0,21)</definedName>
    <definedName name="FlagAllList" localSheetId="19">OFFSET(DateList,0,21)</definedName>
    <definedName name="FlagAllList" localSheetId="14">OFFSET(DateList,0,21)</definedName>
    <definedName name="FlagAllList" localSheetId="15">OFFSET(DateList,0,21)</definedName>
    <definedName name="FlagAllList" localSheetId="13">OFFSET(DateList,0,21)</definedName>
    <definedName name="FlagAllList" localSheetId="7">OFFSET(DateList,0,21)</definedName>
    <definedName name="FlagAllList" localSheetId="16">OFFSET(DateList,0,21)</definedName>
    <definedName name="FlagAllList" localSheetId="12">OFFSET(DateList,0,21)</definedName>
    <definedName name="FlagAllList" localSheetId="9">OFFSET(DateList,0,21)</definedName>
    <definedName name="FlagAllList" localSheetId="8">OFFSET(DateList,0,21)</definedName>
    <definedName name="FlagAllList" localSheetId="20">OFFSET(DateList,0,21)</definedName>
    <definedName name="FlagAllList" localSheetId="17">OFFSET(DateList,0,21)</definedName>
    <definedName name="FlagAllList" localSheetId="6">OFFSET(DateList,0,21)</definedName>
    <definedName name="FlagAllList" localSheetId="10">OFFSET(DateList,0,21)</definedName>
    <definedName name="FlagAllList" localSheetId="5">OFFSET(DateList,0,21)</definedName>
    <definedName name="FlagAllList" localSheetId="4">OFFSET(DateList,0,21)</definedName>
    <definedName name="FlagAllList" localSheetId="11">OFFSET(DateList,0,21)</definedName>
    <definedName name="FlagAllList">OFFSET(DateList,0,21)</definedName>
    <definedName name="FlagCompanyList" localSheetId="18">OFFSET(DateList,0,22)</definedName>
    <definedName name="FlagCompanyList" localSheetId="19">OFFSET(DateList,0,22)</definedName>
    <definedName name="FlagCompanyList" localSheetId="14">OFFSET(DateList,0,22)</definedName>
    <definedName name="FlagCompanyList" localSheetId="15">OFFSET(DateList,0,22)</definedName>
    <definedName name="FlagCompanyList" localSheetId="13">OFFSET(DateList,0,22)</definedName>
    <definedName name="FlagCompanyList" localSheetId="7">OFFSET(DateList,0,22)</definedName>
    <definedName name="FlagCompanyList" localSheetId="16">OFFSET(DateList,0,22)</definedName>
    <definedName name="FlagCompanyList" localSheetId="12">OFFSET(DateList,0,22)</definedName>
    <definedName name="FlagCompanyList" localSheetId="9">OFFSET(DateList,0,22)</definedName>
    <definedName name="FlagCompanyList" localSheetId="8">OFFSET(DateList,0,22)</definedName>
    <definedName name="FlagCompanyList" localSheetId="20">OFFSET(DateList,0,22)</definedName>
    <definedName name="FlagCompanyList" localSheetId="17">OFFSET(DateList,0,22)</definedName>
    <definedName name="FlagCompanyList" localSheetId="6">OFFSET(DateList,0,22)</definedName>
    <definedName name="FlagCompanyList" localSheetId="10">OFFSET(DateList,0,22)</definedName>
    <definedName name="FlagCompanyList" localSheetId="5">OFFSET(DateList,0,22)</definedName>
    <definedName name="FlagCompanyList" localSheetId="4">OFFSET(DateList,0,22)</definedName>
    <definedName name="FlagCompanyList" localSheetId="11">OFFSET(DateList,0,22)</definedName>
    <definedName name="FlagCompanyList">OFFSET(DateList,0,22)</definedName>
    <definedName name="FlagCuCoList" localSheetId="18">OFFSET(DateList,0,26)</definedName>
    <definedName name="FlagCuCoList" localSheetId="19">OFFSET(DateList,0,26)</definedName>
    <definedName name="FlagCuCoList" localSheetId="14">OFFSET(DateList,0,26)</definedName>
    <definedName name="FlagCuCoList" localSheetId="15">OFFSET(DateList,0,26)</definedName>
    <definedName name="FlagCuCoList" localSheetId="13">OFFSET(DateList,0,26)</definedName>
    <definedName name="FlagCuCoList" localSheetId="7">OFFSET(DateList,0,26)</definedName>
    <definedName name="FlagCuCoList" localSheetId="16">OFFSET(DateList,0,26)</definedName>
    <definedName name="FlagCuCoList" localSheetId="12">OFFSET(DateList,0,26)</definedName>
    <definedName name="FlagCuCoList" localSheetId="9">OFFSET(DateList,0,26)</definedName>
    <definedName name="FlagCuCoList" localSheetId="8">OFFSET(DateList,0,26)</definedName>
    <definedName name="FlagCuCoList" localSheetId="20">OFFSET(DateList,0,26)</definedName>
    <definedName name="FlagCuCoList" localSheetId="17">OFFSET(DateList,0,26)</definedName>
    <definedName name="FlagCuCoList" localSheetId="6">OFFSET(DateList,0,26)</definedName>
    <definedName name="FlagCuCoList" localSheetId="10">OFFSET(DateList,0,26)</definedName>
    <definedName name="FlagCuCoList" localSheetId="5">OFFSET(DateList,0,26)</definedName>
    <definedName name="FlagCuCoList" localSheetId="4">OFFSET(DateList,0,26)</definedName>
    <definedName name="FlagCuCoList" localSheetId="11">OFFSET(DateList,0,26)</definedName>
    <definedName name="FlagCuCoList">OFFSET(DateList,0,26)</definedName>
    <definedName name="FlagCuCoSharedECList" localSheetId="18">OFFSET(DateList,0,31)</definedName>
    <definedName name="FlagCuCoSharedECList" localSheetId="19">OFFSET(DateList,0,31)</definedName>
    <definedName name="FlagCuCoSharedECList" localSheetId="14">OFFSET(DateList,0,31)</definedName>
    <definedName name="FlagCuCoSharedECList" localSheetId="15">OFFSET(DateList,0,31)</definedName>
    <definedName name="FlagCuCoSharedECList" localSheetId="13">OFFSET(DateList,0,31)</definedName>
    <definedName name="FlagCuCoSharedECList" localSheetId="7">OFFSET(DateList,0,31)</definedName>
    <definedName name="FlagCuCoSharedECList" localSheetId="16">OFFSET(DateList,0,31)</definedName>
    <definedName name="FlagCuCoSharedECList" localSheetId="12">OFFSET(DateList,0,31)</definedName>
    <definedName name="FlagCuCoSharedECList" localSheetId="9">OFFSET(DateList,0,31)</definedName>
    <definedName name="FlagCuCoSharedECList" localSheetId="8">OFFSET(DateList,0,31)</definedName>
    <definedName name="FlagCuCoSharedECList" localSheetId="20">OFFSET(DateList,0,31)</definedName>
    <definedName name="FlagCuCoSharedECList" localSheetId="17">OFFSET(DateList,0,31)</definedName>
    <definedName name="FlagCuCoSharedECList" localSheetId="6">OFFSET(DateList,0,31)</definedName>
    <definedName name="FlagCuCoSharedECList" localSheetId="10">OFFSET(DateList,0,31)</definedName>
    <definedName name="FlagCuCoSharedECList" localSheetId="5">OFFSET(DateList,0,31)</definedName>
    <definedName name="FlagCuCoSharedECList" localSheetId="4">OFFSET(DateList,0,31)</definedName>
    <definedName name="FlagCuCoSharedECList" localSheetId="11">OFFSET(DateList,0,31)</definedName>
    <definedName name="FlagCuCoSharedECList">OFFSET(DateList,0,31)</definedName>
    <definedName name="FlagCuCoSharedList" localSheetId="18">OFFSET(DateList,0,32)</definedName>
    <definedName name="FlagCuCoSharedList" localSheetId="19">OFFSET(DateList,0,32)</definedName>
    <definedName name="FlagCuCoSharedList" localSheetId="14">OFFSET(DateList,0,32)</definedName>
    <definedName name="FlagCuCoSharedList" localSheetId="15">OFFSET(DateList,0,32)</definedName>
    <definedName name="FlagCuCoSharedList" localSheetId="13">OFFSET(DateList,0,32)</definedName>
    <definedName name="FlagCuCoSharedList" localSheetId="7">OFFSET(DateList,0,32)</definedName>
    <definedName name="FlagCuCoSharedList" localSheetId="16">OFFSET(DateList,0,32)</definedName>
    <definedName name="FlagCuCoSharedList" localSheetId="12">OFFSET(DateList,0,32)</definedName>
    <definedName name="FlagCuCoSharedList" localSheetId="9">OFFSET(DateList,0,32)</definedName>
    <definedName name="FlagCuCoSharedList" localSheetId="8">OFFSET(DateList,0,32)</definedName>
    <definedName name="FlagCuCoSharedList" localSheetId="20">OFFSET(DateList,0,32)</definedName>
    <definedName name="FlagCuCoSharedList" localSheetId="17">OFFSET(DateList,0,32)</definedName>
    <definedName name="FlagCuCoSharedList" localSheetId="6">OFFSET(DateList,0,32)</definedName>
    <definedName name="FlagCuCoSharedList" localSheetId="10">OFFSET(DateList,0,32)</definedName>
    <definedName name="FlagCuCoSharedList" localSheetId="5">OFFSET(DateList,0,32)</definedName>
    <definedName name="FlagCuCoSharedList" localSheetId="4">OFFSET(DateList,0,32)</definedName>
    <definedName name="FlagCuCoSharedList" localSheetId="11">OFFSET(DateList,0,32)</definedName>
    <definedName name="FlagCuCoSharedList">OFFSET(DateList,0,32)</definedName>
    <definedName name="FlagENRCContractorList" localSheetId="18">OFFSET(DateList,0,23)</definedName>
    <definedName name="FlagENRCContractorList" localSheetId="19">OFFSET(DateList,0,23)</definedName>
    <definedName name="FlagENRCContractorList" localSheetId="14">OFFSET(DateList,0,23)</definedName>
    <definedName name="FlagENRCContractorList" localSheetId="15">OFFSET(DateList,0,23)</definedName>
    <definedName name="FlagENRCContractorList" localSheetId="13">OFFSET(DateList,0,23)</definedName>
    <definedName name="FlagENRCContractorList" localSheetId="7">OFFSET(DateList,0,23)</definedName>
    <definedName name="FlagENRCContractorList" localSheetId="16">OFFSET(DateList,0,23)</definedName>
    <definedName name="FlagENRCContractorList" localSheetId="12">OFFSET(DateList,0,23)</definedName>
    <definedName name="FlagENRCContractorList" localSheetId="9">OFFSET(DateList,0,23)</definedName>
    <definedName name="FlagENRCContractorList" localSheetId="8">OFFSET(DateList,0,23)</definedName>
    <definedName name="FlagENRCContractorList" localSheetId="20">OFFSET(DateList,0,23)</definedName>
    <definedName name="FlagENRCContractorList" localSheetId="17">OFFSET(DateList,0,23)</definedName>
    <definedName name="FlagENRCContractorList" localSheetId="6">OFFSET(DateList,0,23)</definedName>
    <definedName name="FlagENRCContractorList" localSheetId="10">OFFSET(DateList,0,23)</definedName>
    <definedName name="FlagENRCContractorList" localSheetId="5">OFFSET(DateList,0,23)</definedName>
    <definedName name="FlagENRCContractorList" localSheetId="4">OFFSET(DateList,0,23)</definedName>
    <definedName name="FlagENRCContractorList" localSheetId="11">OFFSET(DateList,0,23)</definedName>
    <definedName name="FlagENRCContractorList">OFFSET(DateList,0,23)</definedName>
    <definedName name="FlagExplorationECList" localSheetId="18">OFFSET(DateList,0,24)</definedName>
    <definedName name="FlagExplorationECList" localSheetId="19">OFFSET(DateList,0,24)</definedName>
    <definedName name="FlagExplorationECList" localSheetId="14">OFFSET(DateList,0,24)</definedName>
    <definedName name="FlagExplorationECList" localSheetId="15">OFFSET(DateList,0,24)</definedName>
    <definedName name="FlagExplorationECList" localSheetId="13">OFFSET(DateList,0,24)</definedName>
    <definedName name="FlagExplorationECList" localSheetId="7">OFFSET(DateList,0,24)</definedName>
    <definedName name="FlagExplorationECList" localSheetId="16">OFFSET(DateList,0,24)</definedName>
    <definedName name="FlagExplorationECList" localSheetId="12">OFFSET(DateList,0,24)</definedName>
    <definedName name="FlagExplorationECList" localSheetId="9">OFFSET(DateList,0,24)</definedName>
    <definedName name="FlagExplorationECList" localSheetId="8">OFFSET(DateList,0,24)</definedName>
    <definedName name="FlagExplorationECList" localSheetId="20">OFFSET(DateList,0,24)</definedName>
    <definedName name="FlagExplorationECList" localSheetId="17">OFFSET(DateList,0,24)</definedName>
    <definedName name="FlagExplorationECList" localSheetId="6">OFFSET(DateList,0,24)</definedName>
    <definedName name="FlagExplorationECList" localSheetId="10">OFFSET(DateList,0,24)</definedName>
    <definedName name="FlagExplorationECList" localSheetId="5">OFFSET(DateList,0,24)</definedName>
    <definedName name="FlagExplorationECList" localSheetId="4">OFFSET(DateList,0,24)</definedName>
    <definedName name="FlagExplorationECList" localSheetId="11">OFFSET(DateList,0,24)</definedName>
    <definedName name="FlagExplorationECList">OFFSET(DateList,0,24)</definedName>
    <definedName name="FlagExplorationList" localSheetId="18">OFFSET(DateList,0,25)</definedName>
    <definedName name="FlagExplorationList" localSheetId="19">OFFSET(DateList,0,25)</definedName>
    <definedName name="FlagExplorationList" localSheetId="14">OFFSET(DateList,0,25)</definedName>
    <definedName name="FlagExplorationList" localSheetId="15">OFFSET(DateList,0,25)</definedName>
    <definedName name="FlagExplorationList" localSheetId="13">OFFSET(DateList,0,25)</definedName>
    <definedName name="FlagExplorationList" localSheetId="7">OFFSET(DateList,0,25)</definedName>
    <definedName name="FlagExplorationList" localSheetId="16">OFFSET(DateList,0,25)</definedName>
    <definedName name="FlagExplorationList" localSheetId="12">OFFSET(DateList,0,25)</definedName>
    <definedName name="FlagExplorationList" localSheetId="9">OFFSET(DateList,0,25)</definedName>
    <definedName name="FlagExplorationList" localSheetId="8">OFFSET(DateList,0,25)</definedName>
    <definedName name="FlagExplorationList" localSheetId="20">OFFSET(DateList,0,25)</definedName>
    <definedName name="FlagExplorationList" localSheetId="17">OFFSET(DateList,0,25)</definedName>
    <definedName name="FlagExplorationList" localSheetId="6">OFFSET(DateList,0,25)</definedName>
    <definedName name="FlagExplorationList" localSheetId="10">OFFSET(DateList,0,25)</definedName>
    <definedName name="FlagExplorationList" localSheetId="5">OFFSET(DateList,0,25)</definedName>
    <definedName name="FlagExplorationList" localSheetId="4">OFFSET(DateList,0,25)</definedName>
    <definedName name="FlagExplorationList" localSheetId="11">OFFSET(DateList,0,25)</definedName>
    <definedName name="FlagExplorationList">OFFSET(DateList,0,25)</definedName>
    <definedName name="FlagMedicalECList" localSheetId="18">OFFSET(DateList,0,29)</definedName>
    <definedName name="FlagMedicalECList" localSheetId="19">OFFSET(DateList,0,29)</definedName>
    <definedName name="FlagMedicalECList" localSheetId="14">OFFSET(DateList,0,29)</definedName>
    <definedName name="FlagMedicalECList" localSheetId="15">OFFSET(DateList,0,29)</definedName>
    <definedName name="FlagMedicalECList" localSheetId="13">OFFSET(DateList,0,29)</definedName>
    <definedName name="FlagMedicalECList" localSheetId="7">OFFSET(DateList,0,29)</definedName>
    <definedName name="FlagMedicalECList" localSheetId="16">OFFSET(DateList,0,29)</definedName>
    <definedName name="FlagMedicalECList" localSheetId="12">OFFSET(DateList,0,29)</definedName>
    <definedName name="FlagMedicalECList" localSheetId="9">OFFSET(DateList,0,29)</definedName>
    <definedName name="FlagMedicalECList" localSheetId="8">OFFSET(DateList,0,29)</definedName>
    <definedName name="FlagMedicalECList" localSheetId="20">OFFSET(DateList,0,29)</definedName>
    <definedName name="FlagMedicalECList" localSheetId="17">OFFSET(DateList,0,29)</definedName>
    <definedName name="FlagMedicalECList" localSheetId="6">OFFSET(DateList,0,29)</definedName>
    <definedName name="FlagMedicalECList" localSheetId="10">OFFSET(DateList,0,29)</definedName>
    <definedName name="FlagMedicalECList" localSheetId="5">OFFSET(DateList,0,29)</definedName>
    <definedName name="FlagMedicalECList" localSheetId="4">OFFSET(DateList,0,29)</definedName>
    <definedName name="FlagMedicalECList" localSheetId="11">OFFSET(DateList,0,29)</definedName>
    <definedName name="FlagMedicalECList">OFFSET(DateList,0,29)</definedName>
    <definedName name="FlagMedicalList" localSheetId="18">OFFSET(DateList,0,30)</definedName>
    <definedName name="FlagMedicalList" localSheetId="19">OFFSET(DateList,0,30)</definedName>
    <definedName name="FlagMedicalList" localSheetId="14">OFFSET(DateList,0,30)</definedName>
    <definedName name="FlagMedicalList" localSheetId="15">OFFSET(DateList,0,30)</definedName>
    <definedName name="FlagMedicalList" localSheetId="13">OFFSET(DateList,0,30)</definedName>
    <definedName name="FlagMedicalList" localSheetId="7">OFFSET(DateList,0,30)</definedName>
    <definedName name="FlagMedicalList" localSheetId="16">OFFSET(DateList,0,30)</definedName>
    <definedName name="FlagMedicalList" localSheetId="12">OFFSET(DateList,0,30)</definedName>
    <definedName name="FlagMedicalList" localSheetId="9">OFFSET(DateList,0,30)</definedName>
    <definedName name="FlagMedicalList" localSheetId="8">OFFSET(DateList,0,30)</definedName>
    <definedName name="FlagMedicalList" localSheetId="20">OFFSET(DateList,0,30)</definedName>
    <definedName name="FlagMedicalList" localSheetId="17">OFFSET(DateList,0,30)</definedName>
    <definedName name="FlagMedicalList" localSheetId="6">OFFSET(DateList,0,30)</definedName>
    <definedName name="FlagMedicalList" localSheetId="10">OFFSET(DateList,0,30)</definedName>
    <definedName name="FlagMedicalList" localSheetId="5">OFFSET(DateList,0,30)</definedName>
    <definedName name="FlagMedicalList" localSheetId="4">OFFSET(DateList,0,30)</definedName>
    <definedName name="FlagMedicalList" localSheetId="11">OFFSET(DateList,0,30)</definedName>
    <definedName name="FlagMedicalList">OFFSET(DateList,0,30)</definedName>
    <definedName name="FlagSNCList" localSheetId="18">OFFSET(DateList,0,27)</definedName>
    <definedName name="FlagSNCList" localSheetId="19">OFFSET(DateList,0,27)</definedName>
    <definedName name="FlagSNCList" localSheetId="14">OFFSET(DateList,0,27)</definedName>
    <definedName name="FlagSNCList" localSheetId="15">OFFSET(DateList,0,27)</definedName>
    <definedName name="FlagSNCList" localSheetId="13">OFFSET(DateList,0,27)</definedName>
    <definedName name="FlagSNCList" localSheetId="7">OFFSET(DateList,0,27)</definedName>
    <definedName name="FlagSNCList" localSheetId="16">OFFSET(DateList,0,27)</definedName>
    <definedName name="FlagSNCList" localSheetId="12">OFFSET(DateList,0,27)</definedName>
    <definedName name="FlagSNCList" localSheetId="9">OFFSET(DateList,0,27)</definedName>
    <definedName name="FlagSNCList" localSheetId="8">OFFSET(DateList,0,27)</definedName>
    <definedName name="FlagSNCList" localSheetId="20">OFFSET(DateList,0,27)</definedName>
    <definedName name="FlagSNCList" localSheetId="17">OFFSET(DateList,0,27)</definedName>
    <definedName name="FlagSNCList" localSheetId="6">OFFSET(DateList,0,27)</definedName>
    <definedName name="FlagSNCList" localSheetId="10">OFFSET(DateList,0,27)</definedName>
    <definedName name="FlagSNCList" localSheetId="5">OFFSET(DateList,0,27)</definedName>
    <definedName name="FlagSNCList" localSheetId="4">OFFSET(DateList,0,27)</definedName>
    <definedName name="FlagSNCList" localSheetId="11">OFFSET(DateList,0,27)</definedName>
    <definedName name="FlagSNCList">OFFSET(DateList,0,27)</definedName>
    <definedName name="FlagSocialECList" localSheetId="18">OFFSET(DateList,0,33)</definedName>
    <definedName name="FlagSocialECList" localSheetId="19">OFFSET(DateList,0,33)</definedName>
    <definedName name="FlagSocialECList" localSheetId="14">OFFSET(DateList,0,33)</definedName>
    <definedName name="FlagSocialECList" localSheetId="15">OFFSET(DateList,0,33)</definedName>
    <definedName name="FlagSocialECList" localSheetId="13">OFFSET(DateList,0,33)</definedName>
    <definedName name="FlagSocialECList" localSheetId="7">OFFSET(DateList,0,33)</definedName>
    <definedName name="FlagSocialECList" localSheetId="16">OFFSET(DateList,0,33)</definedName>
    <definedName name="FlagSocialECList" localSheetId="12">OFFSET(DateList,0,33)</definedName>
    <definedName name="FlagSocialECList" localSheetId="9">OFFSET(DateList,0,33)</definedName>
    <definedName name="FlagSocialECList" localSheetId="8">OFFSET(DateList,0,33)</definedName>
    <definedName name="FlagSocialECList" localSheetId="20">OFFSET(DateList,0,33)</definedName>
    <definedName name="FlagSocialECList" localSheetId="17">OFFSET(DateList,0,33)</definedName>
    <definedName name="FlagSocialECList" localSheetId="6">OFFSET(DateList,0,33)</definedName>
    <definedName name="FlagSocialECList" localSheetId="10">OFFSET(DateList,0,33)</definedName>
    <definedName name="FlagSocialECList" localSheetId="5">OFFSET(DateList,0,33)</definedName>
    <definedName name="FlagSocialECList" localSheetId="4">OFFSET(DateList,0,33)</definedName>
    <definedName name="FlagSocialECList" localSheetId="11">OFFSET(DateList,0,33)</definedName>
    <definedName name="FlagSocialECList">OFFSET(DateList,0,33)</definedName>
    <definedName name="FlagSocialList" localSheetId="18">OFFSET(DateList,0,34)</definedName>
    <definedName name="FlagSocialList" localSheetId="19">OFFSET(DateList,0,34)</definedName>
    <definedName name="FlagSocialList" localSheetId="14">OFFSET(DateList,0,34)</definedName>
    <definedName name="FlagSocialList" localSheetId="15">OFFSET(DateList,0,34)</definedName>
    <definedName name="FlagSocialList" localSheetId="13">OFFSET(DateList,0,34)</definedName>
    <definedName name="FlagSocialList" localSheetId="7">OFFSET(DateList,0,34)</definedName>
    <definedName name="FlagSocialList" localSheetId="16">OFFSET(DateList,0,34)</definedName>
    <definedName name="FlagSocialList" localSheetId="12">OFFSET(DateList,0,34)</definedName>
    <definedName name="FlagSocialList" localSheetId="9">OFFSET(DateList,0,34)</definedName>
    <definedName name="FlagSocialList" localSheetId="8">OFFSET(DateList,0,34)</definedName>
    <definedName name="FlagSocialList" localSheetId="20">OFFSET(DateList,0,34)</definedName>
    <definedName name="FlagSocialList" localSheetId="17">OFFSET(DateList,0,34)</definedName>
    <definedName name="FlagSocialList" localSheetId="6">OFFSET(DateList,0,34)</definedName>
    <definedName name="FlagSocialList" localSheetId="10">OFFSET(DateList,0,34)</definedName>
    <definedName name="FlagSocialList" localSheetId="5">OFFSET(DateList,0,34)</definedName>
    <definedName name="FlagSocialList" localSheetId="4">OFFSET(DateList,0,34)</definedName>
    <definedName name="FlagSocialList" localSheetId="11">OFFSET(DateList,0,34)</definedName>
    <definedName name="FlagSocialList">OFFSET(DateList,0,34)</definedName>
    <definedName name="freed" localSheetId="5" hidden="1">#REF!</definedName>
    <definedName name="freed" localSheetId="4" hidden="1">#REF!</definedName>
    <definedName name="freed" hidden="1">#REF!</definedName>
    <definedName name="Fuel_BackCharge">30196</definedName>
    <definedName name="fuelCost_Per_Hr_375">55*0.49</definedName>
    <definedName name="fuelCost_Per_Hr_777">65*0.45</definedName>
    <definedName name="fuelCost_Per_Hr_984">100*0.49</definedName>
    <definedName name="FULL" localSheetId="14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FULL" localSheetId="13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FULL" localSheetId="7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FULL" localSheetId="12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FULL" localSheetId="9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FULL" localSheetId="8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FULL" localSheetId="6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FULL" localSheetId="10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FULL" localSheetId="5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FULL" localSheetId="4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FULL" localSheetId="11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FULL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g" localSheetId="5" hidden="1">#REF!</definedName>
    <definedName name="g" localSheetId="4" hidden="1">#REF!</definedName>
    <definedName name="g" hidden="1">#REF!</definedName>
    <definedName name="Glob_Disc">0.93</definedName>
    <definedName name="Glob_Discount">0.93</definedName>
    <definedName name="GRADED" localSheetId="5">#REF!</definedName>
    <definedName name="GRADED" localSheetId="4">#REF!</definedName>
    <definedName name="GRADED">#REF!</definedName>
    <definedName name="GradeDrillYield" localSheetId="5">#REF!</definedName>
    <definedName name="GradeDrillYield" localSheetId="4">#REF!</definedName>
    <definedName name="GradeDrillYield">#REF!</definedName>
    <definedName name="GroupWorkbookValidate_EntryPoint" hidden="1">TRUE</definedName>
    <definedName name="GrubbingHighDensity" localSheetId="5">#REF!</definedName>
    <definedName name="GrubbingHighDensity" localSheetId="4">#REF!</definedName>
    <definedName name="GrubbingHighDensity">#REF!</definedName>
    <definedName name="GrubbingLowDensity" localSheetId="5">#REF!</definedName>
    <definedName name="GrubbingLowDensity" localSheetId="4">#REF!</definedName>
    <definedName name="GrubbingLowDensity">#REF!</definedName>
    <definedName name="GrubbingMediumDensity" localSheetId="5">#REF!</definedName>
    <definedName name="GrubbingMediumDensity" localSheetId="4">#REF!</definedName>
    <definedName name="GrubbingMediumDensity">#REF!</definedName>
    <definedName name="half" localSheetId="14" hidden="1">{#N/A,#N/A,FALSE,"Aging Summary";#N/A,#N/A,FALSE,"Ratio Analysis";#N/A,#N/A,FALSE,"Test 120 Day Accts";#N/A,#N/A,FALSE,"Tickmarks"}</definedName>
    <definedName name="half" localSheetId="13" hidden="1">{#N/A,#N/A,FALSE,"Aging Summary";#N/A,#N/A,FALSE,"Ratio Analysis";#N/A,#N/A,FALSE,"Test 120 Day Accts";#N/A,#N/A,FALSE,"Tickmarks"}</definedName>
    <definedName name="half" localSheetId="7" hidden="1">{#N/A,#N/A,FALSE,"Aging Summary";#N/A,#N/A,FALSE,"Ratio Analysis";#N/A,#N/A,FALSE,"Test 120 Day Accts";#N/A,#N/A,FALSE,"Tickmarks"}</definedName>
    <definedName name="half" localSheetId="12" hidden="1">{#N/A,#N/A,FALSE,"Aging Summary";#N/A,#N/A,FALSE,"Ratio Analysis";#N/A,#N/A,FALSE,"Test 120 Day Accts";#N/A,#N/A,FALSE,"Tickmarks"}</definedName>
    <definedName name="half" localSheetId="9" hidden="1">{#N/A,#N/A,FALSE,"Aging Summary";#N/A,#N/A,FALSE,"Ratio Analysis";#N/A,#N/A,FALSE,"Test 120 Day Accts";#N/A,#N/A,FALSE,"Tickmarks"}</definedName>
    <definedName name="half" localSheetId="8" hidden="1">{#N/A,#N/A,FALSE,"Aging Summary";#N/A,#N/A,FALSE,"Ratio Analysis";#N/A,#N/A,FALSE,"Test 120 Day Accts";#N/A,#N/A,FALSE,"Tickmarks"}</definedName>
    <definedName name="half" localSheetId="6" hidden="1">{#N/A,#N/A,FALSE,"Aging Summary";#N/A,#N/A,FALSE,"Ratio Analysis";#N/A,#N/A,FALSE,"Test 120 Day Accts";#N/A,#N/A,FALSE,"Tickmarks"}</definedName>
    <definedName name="half" localSheetId="10" hidden="1">{#N/A,#N/A,FALSE,"Aging Summary";#N/A,#N/A,FALSE,"Ratio Analysis";#N/A,#N/A,FALSE,"Test 120 Day Accts";#N/A,#N/A,FALSE,"Tickmarks"}</definedName>
    <definedName name="half" localSheetId="5" hidden="1">{#N/A,#N/A,FALSE,"Aging Summary";#N/A,#N/A,FALSE,"Ratio Analysis";#N/A,#N/A,FALSE,"Test 120 Day Accts";#N/A,#N/A,FALSE,"Tickmarks"}</definedName>
    <definedName name="half" localSheetId="4" hidden="1">{#N/A,#N/A,FALSE,"Aging Summary";#N/A,#N/A,FALSE,"Ratio Analysis";#N/A,#N/A,FALSE,"Test 120 Day Accts";#N/A,#N/A,FALSE,"Tickmarks"}</definedName>
    <definedName name="half" localSheetId="11" hidden="1">{#N/A,#N/A,FALSE,"Aging Summary";#N/A,#N/A,FALSE,"Ratio Analysis";#N/A,#N/A,FALSE,"Test 120 Day Accts";#N/A,#N/A,FALSE,"Tickmarks"}</definedName>
    <definedName name="half" hidden="1">{#N/A,#N/A,FALSE,"Aging Summary";#N/A,#N/A,FALSE,"Ratio Analysis";#N/A,#N/A,FALSE,"Test 120 Day Accts";#N/A,#N/A,FALSE,"Tickmarks"}</definedName>
    <definedName name="harbor" localSheetId="14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r" localSheetId="13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r" localSheetId="7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r" localSheetId="12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r" localSheetId="9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r" localSheetId="8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r" localSheetId="6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r" localSheetId="10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r" localSheetId="5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r" localSheetId="4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r" localSheetId="11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r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ur" localSheetId="14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ur" localSheetId="13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ur" localSheetId="7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ur" localSheetId="12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ur" localSheetId="9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ur" localSheetId="8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ur" localSheetId="6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ur" localSheetId="10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ur" localSheetId="5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ur" localSheetId="4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ur" localSheetId="11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ur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urs" localSheetId="14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urs" localSheetId="13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urs" localSheetId="7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urs" localSheetId="12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urs" localSheetId="9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urs" localSheetId="8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urs" localSheetId="6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urs" localSheetId="10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urs" localSheetId="5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urs" localSheetId="4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urs" localSheetId="11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rbours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HaulingDistance" localSheetId="5">#REF!</definedName>
    <definedName name="HaulingDistance" localSheetId="4">#REF!</definedName>
    <definedName name="HaulingDistance">#REF!</definedName>
    <definedName name="HaulingDistances" localSheetId="5">#REF!</definedName>
    <definedName name="HaulingDistances" localSheetId="4">#REF!</definedName>
    <definedName name="HaulingDistances">#REF!</definedName>
    <definedName name="HaulingElevation" localSheetId="5">#REF!</definedName>
    <definedName name="HaulingElevation" localSheetId="4">#REF!</definedName>
    <definedName name="HaulingElevation">#REF!</definedName>
    <definedName name="HF_1">#REF!</definedName>
    <definedName name="HF_2">#REF!</definedName>
    <definedName name="HF_3">#REF!</definedName>
    <definedName name="HF_4">#REF!</definedName>
    <definedName name="Hours">24</definedName>
    <definedName name="html" localSheetId="14" hidden="1">{"'Gasses'!$A$1:$E$17","'Minor'!$G$15","'Minor'!$A$1:$B$2"}</definedName>
    <definedName name="html" localSheetId="13" hidden="1">{"'Gasses'!$A$1:$E$17","'Minor'!$G$15","'Minor'!$A$1:$B$2"}</definedName>
    <definedName name="html" localSheetId="7" hidden="1">{"'Gasses'!$A$1:$E$17","'Minor'!$G$15","'Minor'!$A$1:$B$2"}</definedName>
    <definedName name="html" localSheetId="12" hidden="1">{"'Gasses'!$A$1:$E$17","'Minor'!$G$15","'Minor'!$A$1:$B$2"}</definedName>
    <definedName name="html" localSheetId="9" hidden="1">{"'Gasses'!$A$1:$E$17","'Minor'!$G$15","'Minor'!$A$1:$B$2"}</definedName>
    <definedName name="html" localSheetId="8" hidden="1">{"'Gasses'!$A$1:$E$17","'Minor'!$G$15","'Minor'!$A$1:$B$2"}</definedName>
    <definedName name="html" localSheetId="6" hidden="1">{"'Gasses'!$A$1:$E$17","'Minor'!$G$15","'Minor'!$A$1:$B$2"}</definedName>
    <definedName name="html" localSheetId="10" hidden="1">{"'Gasses'!$A$1:$E$17","'Minor'!$G$15","'Minor'!$A$1:$B$2"}</definedName>
    <definedName name="html" localSheetId="5" hidden="1">{"'Gasses'!$A$1:$E$17","'Minor'!$G$15","'Minor'!$A$1:$B$2"}</definedName>
    <definedName name="html" localSheetId="4" hidden="1">{"'Gasses'!$A$1:$E$17","'Minor'!$G$15","'Minor'!$A$1:$B$2"}</definedName>
    <definedName name="html" localSheetId="11" hidden="1">{"'Gasses'!$A$1:$E$17","'Minor'!$G$15","'Minor'!$A$1:$B$2"}</definedName>
    <definedName name="html" hidden="1">{"'Gasses'!$A$1:$E$17","'Minor'!$G$15","'Minor'!$A$1:$B$2"}</definedName>
    <definedName name="HTML_CodePage" hidden="1">1252</definedName>
    <definedName name="HTML_Control" localSheetId="14" hidden="1">{"'Gasses'!$A$1:$E$17","'Minor'!$G$15","'Minor'!$A$1:$B$2"}</definedName>
    <definedName name="HTML_Control" localSheetId="13" hidden="1">{"'Gasses'!$A$1:$E$17","'Minor'!$G$15","'Minor'!$A$1:$B$2"}</definedName>
    <definedName name="HTML_Control" localSheetId="7" hidden="1">{"'Gasses'!$A$1:$E$17","'Minor'!$G$15","'Minor'!$A$1:$B$2"}</definedName>
    <definedName name="HTML_Control" localSheetId="12" hidden="1">{"'Gasses'!$A$1:$E$17","'Minor'!$G$15","'Minor'!$A$1:$B$2"}</definedName>
    <definedName name="HTML_Control" localSheetId="9" hidden="1">{"'Gasses'!$A$1:$E$17","'Minor'!$G$15","'Minor'!$A$1:$B$2"}</definedName>
    <definedName name="HTML_Control" localSheetId="8" hidden="1">{"'Gasses'!$A$1:$E$17","'Minor'!$G$15","'Minor'!$A$1:$B$2"}</definedName>
    <definedName name="HTML_Control" localSheetId="6" hidden="1">{"'Gasses'!$A$1:$E$17","'Minor'!$G$15","'Minor'!$A$1:$B$2"}</definedName>
    <definedName name="HTML_Control" localSheetId="10" hidden="1">{"'Gasses'!$A$1:$E$17","'Minor'!$G$15","'Minor'!$A$1:$B$2"}</definedName>
    <definedName name="HTML_Control" localSheetId="5" hidden="1">{"'Gasses'!$A$1:$E$17","'Minor'!$G$15","'Minor'!$A$1:$B$2"}</definedName>
    <definedName name="HTML_Control" localSheetId="4" hidden="1">{"'Gasses'!$A$1:$E$17","'Minor'!$G$15","'Minor'!$A$1:$B$2"}</definedName>
    <definedName name="HTML_Control" localSheetId="11" hidden="1">{"'Gasses'!$A$1:$E$17","'Minor'!$G$15","'Minor'!$A$1:$B$2"}</definedName>
    <definedName name="HTML_Control" hidden="1">{"'Gasses'!$A$1:$E$17","'Minor'!$G$15","'Minor'!$A$1:$B$2"}</definedName>
    <definedName name="HTML_Description" hidden="1">""</definedName>
    <definedName name="HTML_Email" hidden="1">""</definedName>
    <definedName name="HTML_Header" hidden="1">"Minor"</definedName>
    <definedName name="HTML_LastUpdate" hidden="1">"10/30/00"</definedName>
    <definedName name="HTML_LineAfter" hidden="1">FALSE</definedName>
    <definedName name="HTML_LineBefore" hidden="1">FALSE</definedName>
    <definedName name="HTML_Name" hidden="1">"Anton Van Zyl"</definedName>
    <definedName name="HTML_OBDlg2" hidden="1">TRUE</definedName>
    <definedName name="HTML_OBDlg4" hidden="1">TRUE</definedName>
    <definedName name="HTML_OS" hidden="1">0</definedName>
    <definedName name="HTML_PathFile" hidden="1">"\\S_hex_ras\Frank\Safety\Safety Graphs FBA.htm"</definedName>
    <definedName name="HTML_Title" hidden="1">"Safety Graphs"</definedName>
    <definedName name="html0" localSheetId="14" hidden="1">{"'Gasses'!$A$1:$E$17","'Minor'!$G$15","'Minor'!$A$1:$B$2"}</definedName>
    <definedName name="html0" localSheetId="13" hidden="1">{"'Gasses'!$A$1:$E$17","'Minor'!$G$15","'Minor'!$A$1:$B$2"}</definedName>
    <definedName name="html0" localSheetId="7" hidden="1">{"'Gasses'!$A$1:$E$17","'Minor'!$G$15","'Minor'!$A$1:$B$2"}</definedName>
    <definedName name="html0" localSheetId="12" hidden="1">{"'Gasses'!$A$1:$E$17","'Minor'!$G$15","'Minor'!$A$1:$B$2"}</definedName>
    <definedName name="html0" localSheetId="9" hidden="1">{"'Gasses'!$A$1:$E$17","'Minor'!$G$15","'Minor'!$A$1:$B$2"}</definedName>
    <definedName name="html0" localSheetId="8" hidden="1">{"'Gasses'!$A$1:$E$17","'Minor'!$G$15","'Minor'!$A$1:$B$2"}</definedName>
    <definedName name="html0" localSheetId="6" hidden="1">{"'Gasses'!$A$1:$E$17","'Minor'!$G$15","'Minor'!$A$1:$B$2"}</definedName>
    <definedName name="html0" localSheetId="10" hidden="1">{"'Gasses'!$A$1:$E$17","'Minor'!$G$15","'Minor'!$A$1:$B$2"}</definedName>
    <definedName name="html0" localSheetId="5" hidden="1">{"'Gasses'!$A$1:$E$17","'Minor'!$G$15","'Minor'!$A$1:$B$2"}</definedName>
    <definedName name="html0" localSheetId="4" hidden="1">{"'Gasses'!$A$1:$E$17","'Minor'!$G$15","'Minor'!$A$1:$B$2"}</definedName>
    <definedName name="html0" localSheetId="11" hidden="1">{"'Gasses'!$A$1:$E$17","'Minor'!$G$15","'Minor'!$A$1:$B$2"}</definedName>
    <definedName name="html0" hidden="1">{"'Gasses'!$A$1:$E$17","'Minor'!$G$15","'Minor'!$A$1:$B$2"}</definedName>
    <definedName name="HW_1" localSheetId="5">#REF!</definedName>
    <definedName name="HW_1" localSheetId="4">#REF!</definedName>
    <definedName name="HW_1">#REF!</definedName>
    <definedName name="HW_2" localSheetId="5">#REF!</definedName>
    <definedName name="HW_2" localSheetId="4">#REF!</definedName>
    <definedName name="HW_2">#REF!</definedName>
    <definedName name="HW_3" localSheetId="5">#REF!</definedName>
    <definedName name="HW_3" localSheetId="4">#REF!</definedName>
    <definedName name="HW_3">#REF!</definedName>
    <definedName name="HW_4">#REF!</definedName>
    <definedName name="HW_5">#REF!</definedName>
    <definedName name="HW_6">#REF!</definedName>
    <definedName name="IBS_TBL">#REF!</definedName>
    <definedName name="IMP">#REF!</definedName>
    <definedName name="INCNOTE3">#REF!</definedName>
    <definedName name="INFO_BI_EXE_NAME">"BICPARTNERV11.EXE"</definedName>
    <definedName name="INFO_EXE_SERVER_PATH">"C:\Pastel11\BICPARTNERV11.EXE"</definedName>
    <definedName name="INFO_INSTANCE_ID">"0"</definedName>
    <definedName name="INFO_INSTANCE_NAME">"Management Pack D-2-1 (P v11)_20111107_12_11_00_1111.xls"</definedName>
    <definedName name="INFO_REPORT_CODE">"P10-FI01-2-1"</definedName>
    <definedName name="INFO_REPORT_ID">"2"</definedName>
    <definedName name="INFO_REPORT_NAME">"Management Pack D-2-1 (P v11)"</definedName>
    <definedName name="INFO_RUN_USER">""</definedName>
    <definedName name="INFO_RUN_WORKSTATION">"GORDON-HP"</definedName>
    <definedName name="Internal_984_Rate">106.71</definedName>
    <definedName name="Internal_Truck_Rate">62.03</definedName>
    <definedName name="Intfffff" localSheetId="18" hidden="1">[15]!Intfffff</definedName>
    <definedName name="Intfffff" localSheetId="19" hidden="1">[15]!Intfffff</definedName>
    <definedName name="Intfffff" localSheetId="14" hidden="1">[15]!Intfffff</definedName>
    <definedName name="Intfffff" localSheetId="15" hidden="1">[15]!Intfffff</definedName>
    <definedName name="Intfffff" localSheetId="13" hidden="1">[15]!Intfffff</definedName>
    <definedName name="Intfffff" localSheetId="7" hidden="1">[15]!Intfffff</definedName>
    <definedName name="Intfffff" localSheetId="16" hidden="1">[15]!Intfffff</definedName>
    <definedName name="Intfffff" localSheetId="9" hidden="1">[15]!Intfffff</definedName>
    <definedName name="Intfffff" localSheetId="8" hidden="1">[15]!Intfffff</definedName>
    <definedName name="Intfffff" localSheetId="20" hidden="1">[15]!Intfffff</definedName>
    <definedName name="Intfffff" localSheetId="17" hidden="1">[15]!Intfffff</definedName>
    <definedName name="Intfffff" localSheetId="6" hidden="1">[15]!Intfffff</definedName>
    <definedName name="Intfffff" localSheetId="10" hidden="1">[15]!Intfffff</definedName>
    <definedName name="Intfffff" localSheetId="4" hidden="1">[15]!Intfffff</definedName>
    <definedName name="Intfffff" localSheetId="11" hidden="1">[15]!Intfffff</definedName>
    <definedName name="Intfffff" hidden="1">[15]!Intfffff</definedName>
    <definedName name="IQ_ACCOUNT_CHANGE">"c1449"</definedName>
    <definedName name="IQ_ACCOUNTS_PAY">"c1343"</definedName>
    <definedName name="IQ_ACCR_INT_PAY">"c1"</definedName>
    <definedName name="IQ_ACCR_INT_PAY_CF">"c2"</definedName>
    <definedName name="IQ_ACCR_INT_RECEIV">"c3"</definedName>
    <definedName name="IQ_ACCR_INT_RECEIV_CF">"c4"</definedName>
    <definedName name="IQ_ACCRUED_EXP">"c1341"</definedName>
    <definedName name="IQ_ACCT_RECV_10YR_ANN_GROWTH">"c1924"</definedName>
    <definedName name="IQ_ACCT_RECV_1YR_ANN_GROWTH">"c1919"</definedName>
    <definedName name="IQ_ACCT_RECV_2YR_ANN_GROWTH">"c1920"</definedName>
    <definedName name="IQ_ACCT_RECV_3YR_ANN_GROWTH">"c1921"</definedName>
    <definedName name="IQ_ACCT_RECV_5YR_ANN_GROWTH">"c1922"</definedName>
    <definedName name="IQ_ACCT_RECV_7YR_ANN_GROWTH">"c1923"</definedName>
    <definedName name="IQ_ACCUM_DEP">"c1340"</definedName>
    <definedName name="IQ_ACQ_COST_SUB">"c2125"</definedName>
    <definedName name="IQ_ACQ_COSTS_CAPITALIZED">"c5"</definedName>
    <definedName name="IQ_ACQUIRE_REAL_ESTATE_CF">"c6"</definedName>
    <definedName name="IQ_ACQUISITION_RE_ASSETS">"c1628"</definedName>
    <definedName name="IQ_AD">"c7"</definedName>
    <definedName name="IQ_ADD_PAID_IN">"c1344"</definedName>
    <definedName name="IQ_ADDIN" hidden="1">"AUTO"</definedName>
    <definedName name="IQ_ADVERTISING_MARKETING">"c1566"</definedName>
    <definedName name="IQ_AE">"c8"</definedName>
    <definedName name="IQ_AE_BNK">"c9"</definedName>
    <definedName name="IQ_AE_BR">"c10"</definedName>
    <definedName name="IQ_AE_FIN">"c11"</definedName>
    <definedName name="IQ_AE_INS">"c12"</definedName>
    <definedName name="IQ_AE_REIT">"c13"</definedName>
    <definedName name="IQ_AE_UTI">"c14"</definedName>
    <definedName name="IQ_ALLOW_BORROW_CONST">"c15"</definedName>
    <definedName name="IQ_ALLOW_CONST">"c1342"</definedName>
    <definedName name="IQ_ALLOW_DOUBT_ACCT">"c2092"</definedName>
    <definedName name="IQ_ALLOW_EQUITY_CONST">"c16"</definedName>
    <definedName name="IQ_ALLOW_LL">"c17"</definedName>
    <definedName name="IQ_ALLOWANCE_10YR_ANN_GROWTH">"c18"</definedName>
    <definedName name="IQ_ALLOWANCE_1YR_ANN_GROWTH">"c19"</definedName>
    <definedName name="IQ_ALLOWANCE_2YR_ANN_GROWTH">"c20"</definedName>
    <definedName name="IQ_ALLOWANCE_3YR_ANN_GROWTH">"c21"</definedName>
    <definedName name="IQ_ALLOWANCE_5YR_ANN_GROWTH">"c22"</definedName>
    <definedName name="IQ_ALLOWANCE_7YR_ANN_GROWTH">"c23"</definedName>
    <definedName name="IQ_ALLOWANCE_CHARGE_OFFS">"c24"</definedName>
    <definedName name="IQ_ALLOWANCE_NON_PERF_LOANS">"c25"</definedName>
    <definedName name="IQ_ALLOWANCE_TOTAL_LOANS">"c26"</definedName>
    <definedName name="IQ_AMORTIZATION">"c1591"</definedName>
    <definedName name="IQ_ANNUALIZED_DIVIDEND">"c1579"</definedName>
    <definedName name="IQ_ANNUITY_LIAB">"c27"</definedName>
    <definedName name="IQ_ANNUITY_PAY">"c28"</definedName>
    <definedName name="IQ_ANNUITY_POLICY_EXP">"c29"</definedName>
    <definedName name="IQ_ANNUITY_REC">"c30"</definedName>
    <definedName name="IQ_ANNUITY_REV">"c31"</definedName>
    <definedName name="IQ_AP">"c32"</definedName>
    <definedName name="IQ_AP_BNK">"c33"</definedName>
    <definedName name="IQ_AP_BR">"c34"</definedName>
    <definedName name="IQ_AP_FIN">"c35"</definedName>
    <definedName name="IQ_AP_INS">"c36"</definedName>
    <definedName name="IQ_AP_REIT">"c37"</definedName>
    <definedName name="IQ_AP_UTI">"c38"</definedName>
    <definedName name="IQ_APIC">"c39"</definedName>
    <definedName name="IQ_AR">"c40"</definedName>
    <definedName name="IQ_AR_BR">"c41"</definedName>
    <definedName name="IQ_AR_LT">"c42"</definedName>
    <definedName name="IQ_AR_REIT">"c43"</definedName>
    <definedName name="IQ_AR_TURNS">"c44"</definedName>
    <definedName name="IQ_AR_UTI">"c45"</definedName>
    <definedName name="IQ_ARPU">"c2126"</definedName>
    <definedName name="IQ_ASSET_MGMT_FEE">"c46"</definedName>
    <definedName name="IQ_ASSET_TURNS">"c47"</definedName>
    <definedName name="IQ_ASSET_WRITEDOWN">"c48"</definedName>
    <definedName name="IQ_ASSET_WRITEDOWN_BNK">"c49"</definedName>
    <definedName name="IQ_ASSET_WRITEDOWN_BR">"c50"</definedName>
    <definedName name="IQ_ASSET_WRITEDOWN_CF">"c51"</definedName>
    <definedName name="IQ_ASSET_WRITEDOWN_CF_BNK">"c52"</definedName>
    <definedName name="IQ_ASSET_WRITEDOWN_CF_BR">"c53"</definedName>
    <definedName name="IQ_ASSET_WRITEDOWN_CF_FIN">"c54"</definedName>
    <definedName name="IQ_ASSET_WRITEDOWN_CF_INS">"c55"</definedName>
    <definedName name="IQ_ASSET_WRITEDOWN_CF_REIT">"c56"</definedName>
    <definedName name="IQ_ASSET_WRITEDOWN_CF_UTI">"c57"</definedName>
    <definedName name="IQ_ASSET_WRITEDOWN_FIN">"c58"</definedName>
    <definedName name="IQ_ASSET_WRITEDOWN_INS">"c59"</definedName>
    <definedName name="IQ_ASSET_WRITEDOWN_REIT">"c60"</definedName>
    <definedName name="IQ_ASSET_WRITEDOWN_UTI">"c61"</definedName>
    <definedName name="IQ_ASSETS_CAP_LEASE_DEPR">"c2068"</definedName>
    <definedName name="IQ_ASSETS_CAP_LEASE_GROSS">"c2069"</definedName>
    <definedName name="IQ_ASSETS_OPER_LEASE_DEPR">"c2070"</definedName>
    <definedName name="IQ_ASSETS_OPER_LEASE_GROSS">"c2071"</definedName>
    <definedName name="IQ_AUDITOR_NAME">"c1539"</definedName>
    <definedName name="IQ_AUDITOR_OPINION">"c1540"</definedName>
    <definedName name="IQ_AUTO_WRITTEN">"c62"</definedName>
    <definedName name="IQ_AVG_BANK_ASSETS">"c2072"</definedName>
    <definedName name="IQ_AVG_BANK_LOANS">"c2073"</definedName>
    <definedName name="IQ_AVG_BROKER_REC">"c63"</definedName>
    <definedName name="IQ_AVG_BROKER_REC_NO">"c64"</definedName>
    <definedName name="IQ_AVG_DAILY_VOL">"c65"</definedName>
    <definedName name="IQ_AVG_INT_BEAR_LIAB">"c66"</definedName>
    <definedName name="IQ_AVG_INT_BEAR_LIAB_10YR_ANN_GROWTH">"c67"</definedName>
    <definedName name="IQ_AVG_INT_BEAR_LIAB_1YR_ANN_GROWTH">"c68"</definedName>
    <definedName name="IQ_AVG_INT_BEAR_LIAB_2YR_ANN_GROWTH">"c69"</definedName>
    <definedName name="IQ_AVG_INT_BEAR_LIAB_3YR_ANN_GROWTH">"c70"</definedName>
    <definedName name="IQ_AVG_INT_BEAR_LIAB_5YR_ANN_GROWTH">"c71"</definedName>
    <definedName name="IQ_AVG_INT_BEAR_LIAB_7YR_ANN_GROWTH">"c72"</definedName>
    <definedName name="IQ_AVG_INT_EARN_ASSETS">"c73"</definedName>
    <definedName name="IQ_AVG_INT_EARN_ASSETS_10YR_ANN_GROWTH">"c74"</definedName>
    <definedName name="IQ_AVG_INT_EARN_ASSETS_1YR_ANN_GROWTH">"c75"</definedName>
    <definedName name="IQ_AVG_INT_EARN_ASSETS_2YR_ANN_GROWTH">"c76"</definedName>
    <definedName name="IQ_AVG_INT_EARN_ASSETS_3YR_ANN_GROWTH">"c77"</definedName>
    <definedName name="IQ_AVG_INT_EARN_ASSETS_5YR_ANN_GROWTH">"c78"</definedName>
    <definedName name="IQ_AVG_INT_EARN_ASSETS_7YR_ANN_GROWTH">"c79"</definedName>
    <definedName name="IQ_AVG_MKTCAP">"c80"</definedName>
    <definedName name="IQ_AVG_PRICE">"c81"</definedName>
    <definedName name="IQ_AVG_SHAREOUTSTANDING">"c83"</definedName>
    <definedName name="IQ_AVG_TEV">"c84"</definedName>
    <definedName name="IQ_AVG_VOLUME">"c1346"</definedName>
    <definedName name="IQ_BASIC_EPS_EXCL">"c85"</definedName>
    <definedName name="IQ_BASIC_EPS_INCL">"c86"</definedName>
    <definedName name="IQ_BASIC_NORMAL_EPS">"c1592"</definedName>
    <definedName name="IQ_BASIC_WEIGHT">"c87"</definedName>
    <definedName name="IQ_BETA">"c2133"</definedName>
    <definedName name="IQ_BETA_1YR">"c1966"</definedName>
    <definedName name="IQ_BETA_1YR_RSQ">"c2132"</definedName>
    <definedName name="IQ_BETA_2YR">"c1965"</definedName>
    <definedName name="IQ_BETA_2YR_RSQ">"c2131"</definedName>
    <definedName name="IQ_BETA_5YR">"c88"</definedName>
    <definedName name="IQ_BETA_5YR_RSQ">"c2130"</definedName>
    <definedName name="IQ_BIG_INT_BEAR_CD">"c89"</definedName>
    <definedName name="IQ_BOARD_MEMBER">"c96"</definedName>
    <definedName name="IQ_BOARD_MEMBER_BACKGROUND">"c2101"</definedName>
    <definedName name="IQ_BOARD_MEMBER_TITLE">"c97"</definedName>
    <definedName name="IQ_BROK_COMISSION">"c98"</definedName>
    <definedName name="IQ_BUILDINGS">"c99"</definedName>
    <definedName name="IQ_BUSINESS_DESCRIPTION">"c322"</definedName>
    <definedName name="IQ_BV_OVER_SHARES">"c1349"</definedName>
    <definedName name="IQ_BV_SHARE">"c100"</definedName>
    <definedName name="IQ_CAL_Q">"c101"</definedName>
    <definedName name="IQ_CAL_Y">"c102"</definedName>
    <definedName name="IQ_CAPEX">"c103"</definedName>
    <definedName name="IQ_CAPEX_10YR_ANN_GROWTH">"c104"</definedName>
    <definedName name="IQ_CAPEX_1YR_ANN_GROWTH">"c105"</definedName>
    <definedName name="IQ_CAPEX_2YR_ANN_GROWTH">"c106"</definedName>
    <definedName name="IQ_CAPEX_3YR_ANN_GROWTH">"c107"</definedName>
    <definedName name="IQ_CAPEX_5YR_ANN_GROWTH">"c108"</definedName>
    <definedName name="IQ_CAPEX_7YR_ANN_GROWTH">"c109"</definedName>
    <definedName name="IQ_CAPEX_BNK">"c110"</definedName>
    <definedName name="IQ_CAPEX_BR">"c111"</definedName>
    <definedName name="IQ_CAPEX_FIN">"c112"</definedName>
    <definedName name="IQ_CAPEX_INS">"c113"</definedName>
    <definedName name="IQ_CAPEX_UTI">"c114"</definedName>
    <definedName name="IQ_CAPITAL_LEASE">"c1350"</definedName>
    <definedName name="IQ_CAPITAL_LEASES">"c115"</definedName>
    <definedName name="IQ_CAPITALIZED_INTEREST">"c2076"</definedName>
    <definedName name="IQ_CASH">"c1458"</definedName>
    <definedName name="IQ_CASH_ACQUIRE_CF">"c1630"</definedName>
    <definedName name="IQ_CASH_CONVERSION">"c117"</definedName>
    <definedName name="IQ_CASH_DUE_BANKS">"c1351"</definedName>
    <definedName name="IQ_CASH_EQUIV">"c118"</definedName>
    <definedName name="IQ_CASH_FINAN">"c119"</definedName>
    <definedName name="IQ_CASH_INTEREST">"c120"</definedName>
    <definedName name="IQ_CASH_INVEST">"c121"</definedName>
    <definedName name="IQ_CASH_OPER">"c122"</definedName>
    <definedName name="IQ_CASH_SEGREG">"c123"</definedName>
    <definedName name="IQ_CASH_SHARE">"c1911"</definedName>
    <definedName name="IQ_CASH_ST">"c1355"</definedName>
    <definedName name="IQ_CASH_ST_INVEST">"c124"</definedName>
    <definedName name="IQ_CASH_TAXES">"c125"</definedName>
    <definedName name="IQ_CFO_10YR_ANN_GROWTH">"c126"</definedName>
    <definedName name="IQ_CFO_1YR_ANN_GROWTH">"c127"</definedName>
    <definedName name="IQ_CFO_2YR_ANN_GROWTH">"c128"</definedName>
    <definedName name="IQ_CFO_3YR_ANN_GROWTH">"c129"</definedName>
    <definedName name="IQ_CFO_5YR_ANN_GROWTH">"c130"</definedName>
    <definedName name="IQ_CFO_7YR_ANN_GROWTH">"c131"</definedName>
    <definedName name="IQ_CFO_CURRENT_LIAB">"c132"</definedName>
    <definedName name="IQ_CH" hidden="1">110000</definedName>
    <definedName name="IQ_CHANGE_AP">"c133"</definedName>
    <definedName name="IQ_CHANGE_AP_BNK">"c134"</definedName>
    <definedName name="IQ_CHANGE_AP_BR">"c135"</definedName>
    <definedName name="IQ_CHANGE_AP_FIN">"c136"</definedName>
    <definedName name="IQ_CHANGE_AP_INS">"c137"</definedName>
    <definedName name="IQ_CHANGE_AP_REIT">"c138"</definedName>
    <definedName name="IQ_CHANGE_AP_UTI">"c139"</definedName>
    <definedName name="IQ_CHANGE_AR">"c140"</definedName>
    <definedName name="IQ_CHANGE_AR_BNK">"c141"</definedName>
    <definedName name="IQ_CHANGE_AR_BR">"c142"</definedName>
    <definedName name="IQ_CHANGE_AR_FIN">"c143"</definedName>
    <definedName name="IQ_CHANGE_AR_INS">"c144"</definedName>
    <definedName name="IQ_CHANGE_AR_REIT">"c145"</definedName>
    <definedName name="IQ_CHANGE_AR_UTI">"c146"</definedName>
    <definedName name="IQ_CHANGE_DEF_TAX">"c147"</definedName>
    <definedName name="IQ_CHANGE_DEPOSIT_ACCT">"c148"</definedName>
    <definedName name="IQ_CHANGE_INC_TAX">"c149"</definedName>
    <definedName name="IQ_CHANGE_INS_RES_LIAB">"c150"</definedName>
    <definedName name="IQ_CHANGE_INVENTORY">"c151"</definedName>
    <definedName name="IQ_CHANGE_NET_WORKING_CAPITAL">"c1909"</definedName>
    <definedName name="IQ_CHANGE_OTHER_WORK_CAP">"c152"</definedName>
    <definedName name="IQ_CHANGE_OTHER_WORK_CAP_BNK">"c153"</definedName>
    <definedName name="IQ_CHANGE_OTHER_WORK_CAP_BR">"c154"</definedName>
    <definedName name="IQ_CHANGE_OTHER_WORK_CAP_FIN">"c155"</definedName>
    <definedName name="IQ_CHANGE_OTHER_WORK_CAP_INS">"c156"</definedName>
    <definedName name="IQ_CHANGE_OTHER_WORK_CAP_REIT">"c157"</definedName>
    <definedName name="IQ_CHANGE_OTHER_WORK_CAP_UTI">"c158"</definedName>
    <definedName name="IQ_CHANGE_TRADING_ASSETS">"c159"</definedName>
    <definedName name="IQ_CHANGE_UNEARN_REV">"c160"</definedName>
    <definedName name="IQ_CHANGE_WORK_CAP">"c161"</definedName>
    <definedName name="IQ_CHANGES_WORK_CAP">"c1357"</definedName>
    <definedName name="IQ_CHARGE_OFFS_GROSS">"c162"</definedName>
    <definedName name="IQ_CHARGE_OFFS_NET">"c163"</definedName>
    <definedName name="IQ_CHARGE_OFFS_RECOVERED">"c164"</definedName>
    <definedName name="IQ_CHARGE_OFFS_TOTAL_AVG_LOANS">"c165"</definedName>
    <definedName name="IQ_CITY">"c166"</definedName>
    <definedName name="IQ_CL_DUE_AFTER_FIVE">"c167"</definedName>
    <definedName name="IQ_CL_DUE_CY">"c168"</definedName>
    <definedName name="IQ_CL_DUE_CY1">"c169"</definedName>
    <definedName name="IQ_CL_DUE_CY2">"c170"</definedName>
    <definedName name="IQ_CL_DUE_CY3">"c171"</definedName>
    <definedName name="IQ_CL_DUE_CY4">"c172"</definedName>
    <definedName name="IQ_CL_DUE_NEXT_FIVE">"c173"</definedName>
    <definedName name="IQ_CLASSA_OUTSTANDING_BS_DATE">"c1971"</definedName>
    <definedName name="IQ_CLASSA_OUTSTANDING_FILING_DATE">"c1973"</definedName>
    <definedName name="IQ_CLOSEPRICE">"c174"</definedName>
    <definedName name="IQ_CLOSEPRICE_ADJ">"c2115"</definedName>
    <definedName name="IQ_COGS">"c175"</definedName>
    <definedName name="IQ_COMBINED_RATIO">"c176"</definedName>
    <definedName name="IQ_COMMERCIAL_DOM">"c177"</definedName>
    <definedName name="IQ_COMMERCIAL_FIRE_WRITTEN">"c178"</definedName>
    <definedName name="IQ_COMMERCIAL_MORT">"c179"</definedName>
    <definedName name="IQ_COMMISS_FEES">"c180"</definedName>
    <definedName name="IQ_COMMISSION_DEF">"c181"</definedName>
    <definedName name="IQ_COMMON">"c182"</definedName>
    <definedName name="IQ_COMMON_APIC">"c183"</definedName>
    <definedName name="IQ_COMMON_APIC_BNK">"c184"</definedName>
    <definedName name="IQ_COMMON_APIC_BR">"c185"</definedName>
    <definedName name="IQ_COMMON_APIC_FIN">"c186"</definedName>
    <definedName name="IQ_COMMON_APIC_INS">"c187"</definedName>
    <definedName name="IQ_COMMON_APIC_REIT">"c188"</definedName>
    <definedName name="IQ_COMMON_APIC_UTI">"c189"</definedName>
    <definedName name="IQ_COMMON_DIV_CF">"c190"</definedName>
    <definedName name="IQ_COMMON_EQUITY_10YR_ANN_GROWTH">"c191"</definedName>
    <definedName name="IQ_COMMON_EQUITY_1YR_ANN_GROWTH">"c192"</definedName>
    <definedName name="IQ_COMMON_EQUITY_2YR_ANN_GROWTH">"c193"</definedName>
    <definedName name="IQ_COMMON_EQUITY_3YR_ANN_GROWTH">"c194"</definedName>
    <definedName name="IQ_COMMON_EQUITY_5YR_ANN_GROWTH">"c195"</definedName>
    <definedName name="IQ_COMMON_EQUITY_7YR_ANN_GROWTH">"c196"</definedName>
    <definedName name="IQ_COMMON_ISSUED">"c197"</definedName>
    <definedName name="IQ_COMMON_ISSUED_BNK">"c198"</definedName>
    <definedName name="IQ_COMMON_ISSUED_BR">"c199"</definedName>
    <definedName name="IQ_COMMON_ISSUED_FIN">"c200"</definedName>
    <definedName name="IQ_COMMON_ISSUED_INS">"c201"</definedName>
    <definedName name="IQ_COMMON_ISSUED_REIT">"c202"</definedName>
    <definedName name="IQ_COMMON_ISSUED_UTI">"c203"</definedName>
    <definedName name="IQ_COMMON_PER_ADR">"c204"</definedName>
    <definedName name="IQ_COMMON_PREF_DIV_CF">"c205"</definedName>
    <definedName name="IQ_COMMON_REP">"c206"</definedName>
    <definedName name="IQ_COMMON_REP_BNK">"c207"</definedName>
    <definedName name="IQ_COMMON_REP_BR">"c208"</definedName>
    <definedName name="IQ_COMMON_REP_FIN">"c209"</definedName>
    <definedName name="IQ_COMMON_REP_INS">"c210"</definedName>
    <definedName name="IQ_COMMON_REP_REIT">"c211"</definedName>
    <definedName name="IQ_COMMON_REP_UTI">"c212"</definedName>
    <definedName name="IQ_COMMON_STOCK">"c1358"</definedName>
    <definedName name="IQ_COMP_BENEFITS">"c213"</definedName>
    <definedName name="IQ_COMPANY_ADDRESS">"c214"</definedName>
    <definedName name="IQ_COMPANY_NAME">"c215"</definedName>
    <definedName name="IQ_COMPANY_NAME_LONG">"c1585"</definedName>
    <definedName name="IQ_COMPANY_PHONE">"c216"</definedName>
    <definedName name="IQ_COMPANY_STATUS">"c2097"</definedName>
    <definedName name="IQ_COMPANY_STREET1">"c217"</definedName>
    <definedName name="IQ_COMPANY_STREET2">"c218"</definedName>
    <definedName name="IQ_COMPANY_TICKER">"c219"</definedName>
    <definedName name="IQ_COMPANY_TYPE">"c2096"</definedName>
    <definedName name="IQ_COMPANY_WEBSITE">"c220"</definedName>
    <definedName name="IQ_COMPANY_ZIP">"c221"</definedName>
    <definedName name="IQ_CONSTRUCTION_LOANS">"c222"</definedName>
    <definedName name="IQ_CONSUMER_LOANS">"c223"</definedName>
    <definedName name="IQ_COST_BORROWINGS">"c225"</definedName>
    <definedName name="IQ_COST_REV">"c226"</definedName>
    <definedName name="IQ_COST_REVENUE">"c1359"</definedName>
    <definedName name="IQ_COST_SAVINGS">"c227"</definedName>
    <definedName name="IQ_COST_SERVICE">"c228"</definedName>
    <definedName name="IQ_COST_TOTAL_BORROWINGS">"c229"</definedName>
    <definedName name="IQ_COUNTRY_NAME">"c230"</definedName>
    <definedName name="IQ_COVERED_POPS">"c2124"</definedName>
    <definedName name="IQ_CQ" hidden="1">5000</definedName>
    <definedName name="IQ_CREDIT_CARD_FEE_BNK">"c231"</definedName>
    <definedName name="IQ_CREDIT_CARD_FEE_FIN">"c1583"</definedName>
    <definedName name="IQ_CREDIT_LOSS_CF">"c232"</definedName>
    <definedName name="IQ_CUMULATIVE_SPLIT_FACTOR">"c2094"</definedName>
    <definedName name="IQ_CURR_DOMESTIC_TAXES">"c2074"</definedName>
    <definedName name="IQ_CURR_FOREIGN_TAXES">"c2075"</definedName>
    <definedName name="IQ_CURRENCY_FACTOR_BS">"c233"</definedName>
    <definedName name="IQ_CURRENCY_FACTOR_IS">"c234"</definedName>
    <definedName name="IQ_CURRENCY_GAIN">"c235"</definedName>
    <definedName name="IQ_CURRENCY_GAIN_BR">"c236"</definedName>
    <definedName name="IQ_CURRENCY_GAIN_FIN">"c237"</definedName>
    <definedName name="IQ_CURRENCY_GAIN_INS">"c238"</definedName>
    <definedName name="IQ_CURRENCY_GAIN_REIT">"c239"</definedName>
    <definedName name="IQ_CURRENCY_GAIN_UTI">"c240"</definedName>
    <definedName name="IQ_CURRENT_PORT">"c241"</definedName>
    <definedName name="IQ_CURRENT_PORT_BNK">"c242"</definedName>
    <definedName name="IQ_CURRENT_PORT_DEBT">"c243"</definedName>
    <definedName name="IQ_CURRENT_PORT_DEBT_BNK">"c244"</definedName>
    <definedName name="IQ_CURRENT_PORT_DEBT_BR">"c1567"</definedName>
    <definedName name="IQ_CURRENT_PORT_DEBT_FIN">"c1568"</definedName>
    <definedName name="IQ_CURRENT_PORT_DEBT_INS">"c1569"</definedName>
    <definedName name="IQ_CURRENT_PORT_DEBT_REIT">"c1570"</definedName>
    <definedName name="IQ_CURRENT_PORT_DEBT_UTI">"c1571"</definedName>
    <definedName name="IQ_CURRENT_PORT_LEASES">"c245"</definedName>
    <definedName name="IQ_CURRENT_RATIO">"c246"</definedName>
    <definedName name="IQ_CY" hidden="1">10000</definedName>
    <definedName name="IQ_DA">"c247"</definedName>
    <definedName name="IQ_DA_BR">"c248"</definedName>
    <definedName name="IQ_DA_CF">"c249"</definedName>
    <definedName name="IQ_DA_CF_BNK">"c250"</definedName>
    <definedName name="IQ_DA_CF_BR">"c251"</definedName>
    <definedName name="IQ_DA_CF_FIN">"c252"</definedName>
    <definedName name="IQ_DA_CF_INS">"c253"</definedName>
    <definedName name="IQ_DA_CF_REIT">"c254"</definedName>
    <definedName name="IQ_DA_CF_UTI">"c255"</definedName>
    <definedName name="IQ_DA_FIN">"c256"</definedName>
    <definedName name="IQ_DA_INS">"c257"</definedName>
    <definedName name="IQ_DA_REIT">"c258"</definedName>
    <definedName name="IQ_DA_SUPPL">"c259"</definedName>
    <definedName name="IQ_DA_SUPPL_BR">"c260"</definedName>
    <definedName name="IQ_DA_SUPPL_CF">"c261"</definedName>
    <definedName name="IQ_DA_SUPPL_CF_BNK">"c262"</definedName>
    <definedName name="IQ_DA_SUPPL_CF_BR">"c263"</definedName>
    <definedName name="IQ_DA_SUPPL_CF_FIN">"c264"</definedName>
    <definedName name="IQ_DA_SUPPL_CF_INS">"c265"</definedName>
    <definedName name="IQ_DA_SUPPL_CF_REIT">"c266"</definedName>
    <definedName name="IQ_DA_SUPPL_CF_UTI">"c267"</definedName>
    <definedName name="IQ_DA_SUPPL_FIN">"c268"</definedName>
    <definedName name="IQ_DA_SUPPL_INS">"c269"</definedName>
    <definedName name="IQ_DA_SUPPL_REIT">"c270"</definedName>
    <definedName name="IQ_DA_SUPPL_UTI">"c271"</definedName>
    <definedName name="IQ_DA_UTI">"c272"</definedName>
    <definedName name="IQ_DAILY" hidden="1">500000</definedName>
    <definedName name="IQ_DAYS_COVER_SHORT">"c1578"</definedName>
    <definedName name="IQ_DAYS_INVENTORY_OUT">"c273"</definedName>
    <definedName name="IQ_DAYS_PAY_OUTST">"c1362"</definedName>
    <definedName name="IQ_DAYS_PAYABLE_OUT">"c274"</definedName>
    <definedName name="IQ_DAYS_SALES_OUT">"c275"</definedName>
    <definedName name="IQ_DAYS_SALES_OUTST">"c1363"</definedName>
    <definedName name="IQ_DEF_ACQ_CST">"c1364"</definedName>
    <definedName name="IQ_DEF_AMORT">"c276"</definedName>
    <definedName name="IQ_DEF_AMORT_BNK">"c277"</definedName>
    <definedName name="IQ_DEF_AMORT_BR">"c278"</definedName>
    <definedName name="IQ_DEF_AMORT_FIN">"c279"</definedName>
    <definedName name="IQ_DEF_AMORT_INS">"c280"</definedName>
    <definedName name="IQ_DEF_AMORT_REIT">"c281"</definedName>
    <definedName name="IQ_DEF_AMORT_UTI">"c282"</definedName>
    <definedName name="IQ_DEF_BENEFIT_INTEREST_COST">"c283"</definedName>
    <definedName name="IQ_DEF_BENEFIT_OTHER_COST">"c284"</definedName>
    <definedName name="IQ_DEF_BENEFIT_ROA">"c285"</definedName>
    <definedName name="IQ_DEF_BENEFIT_SERVICE_COST">"c286"</definedName>
    <definedName name="IQ_DEF_BENEFIT_TOTAL_COST">"c287"</definedName>
    <definedName name="IQ_DEF_CHARGES_BR">"c288"</definedName>
    <definedName name="IQ_DEF_CHARGES_CF">"c289"</definedName>
    <definedName name="IQ_DEF_CHARGES_FIN">"c290"</definedName>
    <definedName name="IQ_DEF_CHARGES_INS">"c291"</definedName>
    <definedName name="IQ_DEF_CHARGES_LT">"c292"</definedName>
    <definedName name="IQ_DEF_CHARGES_LT_BNK">"c293"</definedName>
    <definedName name="IQ_DEF_CHARGES_LT_BR">"c294"</definedName>
    <definedName name="IQ_DEF_CHARGES_LT_FIN">"c295"</definedName>
    <definedName name="IQ_DEF_CHARGES_LT_INS">"c296"</definedName>
    <definedName name="IQ_DEF_CHARGES_LT_REIT">"c297"</definedName>
    <definedName name="IQ_DEF_CHARGES_LT_UTI">"c298"</definedName>
    <definedName name="IQ_DEF_CHARGES_REIT">"c299"</definedName>
    <definedName name="IQ_DEF_CONTRIBUTION_TOTAL_COST">"c300"</definedName>
    <definedName name="IQ_DEF_INC_TAX">"c1365"</definedName>
    <definedName name="IQ_DEF_POLICY_ACQ_COSTS">"c301"</definedName>
    <definedName name="IQ_DEF_POLICY_ACQ_COSTS_CF">"c302"</definedName>
    <definedName name="IQ_DEF_POLICY_AMORT">"c303"</definedName>
    <definedName name="IQ_DEF_TAX_ASSET_LT_BR">"c304"</definedName>
    <definedName name="IQ_DEF_TAX_ASSET_LT_FIN">"c305"</definedName>
    <definedName name="IQ_DEF_TAX_ASSET_LT_INS">"c306"</definedName>
    <definedName name="IQ_DEF_TAX_ASSET_LT_REIT">"c307"</definedName>
    <definedName name="IQ_DEF_TAX_ASSET_LT_UTI">"c308"</definedName>
    <definedName name="IQ_DEF_TAX_ASSETS_CURRENT">"c309"</definedName>
    <definedName name="IQ_DEF_TAX_ASSETS_LT">"c310"</definedName>
    <definedName name="IQ_DEF_TAX_ASSETS_LT_BNK">"c311"</definedName>
    <definedName name="IQ_DEF_TAX_LIAB_CURRENT">"c312"</definedName>
    <definedName name="IQ_DEF_TAX_LIAB_LT">"c313"</definedName>
    <definedName name="IQ_DEF_TAX_LIAB_LT_BNK">"c314"</definedName>
    <definedName name="IQ_DEF_TAX_LIAB_LT_BR">"c315"</definedName>
    <definedName name="IQ_DEF_TAX_LIAB_LT_FIN">"c316"</definedName>
    <definedName name="IQ_DEF_TAX_LIAB_LT_INS">"c317"</definedName>
    <definedName name="IQ_DEF_TAX_LIAB_LT_REIT">"c318"</definedName>
    <definedName name="IQ_DEF_TAX_LIAB_LT_UTI">"c319"</definedName>
    <definedName name="IQ_DEFERRED_DOMESTIC_TAXES">"c2077"</definedName>
    <definedName name="IQ_DEFERRED_FOREIGN_TAXES">"c2078"</definedName>
    <definedName name="IQ_DEFERRED_INC_TAX">"c1447"</definedName>
    <definedName name="IQ_DEFERRED_TAXES">"c1356"</definedName>
    <definedName name="IQ_DEMAND_DEP">"c320"</definedName>
    <definedName name="IQ_DEPOSITS_FIN">"c321"</definedName>
    <definedName name="IQ_DEPRE_AMORT">"c1360"</definedName>
    <definedName name="IQ_DEPRE_AMORT_SUPPL">"c1593"</definedName>
    <definedName name="IQ_DEPRE_DEPLE">"c1361"</definedName>
    <definedName name="IQ_DEPRE_SUPP">"c1443"</definedName>
    <definedName name="IQ_DESCRIPTION_LONG">"c1520"</definedName>
    <definedName name="IQ_DEVELOP_LAND">"c323"</definedName>
    <definedName name="IQ_DIFF_LASTCLOSE_TARGET_PRICE">"c1854"</definedName>
    <definedName name="IQ_DILUT_ADJUST">"c1621"</definedName>
    <definedName name="IQ_DILUT_EPS_EXCL">"c324"</definedName>
    <definedName name="IQ_DILUT_EPS_INCL">"c325"</definedName>
    <definedName name="IQ_DILUT_EPS_NORM">"c1903"</definedName>
    <definedName name="IQ_DILUT_NI">"c2079"</definedName>
    <definedName name="IQ_DILUT_NORMAL_EPS">"c1594"</definedName>
    <definedName name="IQ_DILUT_WEIGHT">"c326"</definedName>
    <definedName name="IQ_DISCONT_OPER">"c1367"</definedName>
    <definedName name="IQ_DISCOUNT_RATE_PENSION_DOMESTIC">"c327"</definedName>
    <definedName name="IQ_DISCOUNT_RATE_PENSION_FOREIGN">"c328"</definedName>
    <definedName name="IQ_DISTR_EXCESS_EARN">"c329"</definedName>
    <definedName name="IQ_DIV_PAYMENT_DATE">"c2106"</definedName>
    <definedName name="IQ_DIV_RECORD_DATE">"c2105"</definedName>
    <definedName name="IQ_DIV_SHARE">"c330"</definedName>
    <definedName name="IQ_DIVEST_CF">"c331"</definedName>
    <definedName name="IQ_DIVID_SHARE">"c1366"</definedName>
    <definedName name="IQ_DIVIDEND_YIELD">"c332"</definedName>
    <definedName name="IQ_DNTM" hidden="1">700000</definedName>
    <definedName name="IQ_DO">"c333"</definedName>
    <definedName name="IQ_DO_ASSETS_CURRENT">"c334"</definedName>
    <definedName name="IQ_DO_ASSETS_LT">"c335"</definedName>
    <definedName name="IQ_DO_CF">"c336"</definedName>
    <definedName name="IQ_DPS_10YR_ANN_GROWTH">"c337"</definedName>
    <definedName name="IQ_DPS_1YR_ANN_GROWTH">"c338"</definedName>
    <definedName name="IQ_DPS_2YR_ANN_GROWTH">"c339"</definedName>
    <definedName name="IQ_DPS_3YR_ANN_GROWTH">"c340"</definedName>
    <definedName name="IQ_DPS_5YR_ANN_GROWTH">"c341"</definedName>
    <definedName name="IQ_DPS_7YR_ANN_GROWTH">"c342"</definedName>
    <definedName name="IQ_EARNING_ASSET_YIELD">"c343"</definedName>
    <definedName name="IQ_EARNING_CO">"c344"</definedName>
    <definedName name="IQ_EARNING_CO_10YR_ANN_GROWTH">"c345"</definedName>
    <definedName name="IQ_EARNING_CO_1YR_ANN_GROWTH">"c346"</definedName>
    <definedName name="IQ_EARNING_CO_2YR_ANN_GROWTH">"c347"</definedName>
    <definedName name="IQ_EARNING_CO_3YR_ANN_GROWTH">"c348"</definedName>
    <definedName name="IQ_EARNING_CO_5YR_ANN_GROWTH">"c349"</definedName>
    <definedName name="IQ_EARNING_CO_7YR_ANN_GROWTH">"c350"</definedName>
    <definedName name="IQ_EARNING_CO_MARGIN">"c351"</definedName>
    <definedName name="IQ_EARNINGS_ANNOUNCE_DATE">"c1649"</definedName>
    <definedName name="IQ_EBIT">"c352"</definedName>
    <definedName name="IQ_EBIT_10YR_ANN_GROWTH">"c353"</definedName>
    <definedName name="IQ_EBIT_1YR_ANN_GROWTH">"c354"</definedName>
    <definedName name="IQ_EBIT_2YR_ANN_GROWTH">"c355"</definedName>
    <definedName name="IQ_EBIT_3YR_ANN_GROWTH">"c356"</definedName>
    <definedName name="IQ_EBIT_5YR_ANN_GROWTH">"c357"</definedName>
    <definedName name="IQ_EBIT_7YR_ANN_GROWTH">"c358"</definedName>
    <definedName name="IQ_EBIT_INT">"c360"</definedName>
    <definedName name="IQ_EBIT_MARGIN">"c359"</definedName>
    <definedName name="IQ_EBIT_OVER_IE">"c1369"</definedName>
    <definedName name="IQ_EBITA">"c1910"</definedName>
    <definedName name="IQ_EBITA_10YR_ANN_GROWTH">"c1954"</definedName>
    <definedName name="IQ_EBITA_1YR_ANN_GROWTH">"c1949"</definedName>
    <definedName name="IQ_EBITA_2YR_ANN_GROWTH">"c1950"</definedName>
    <definedName name="IQ_EBITA_3YR_ANN_GROWTH">"c1951"</definedName>
    <definedName name="IQ_EBITA_5YR_ANN_GROWTH">"c1952"</definedName>
    <definedName name="IQ_EBITA_7YR_ANN_GROWTH">"c1953"</definedName>
    <definedName name="IQ_EBITA_MARGIN">"c1963"</definedName>
    <definedName name="IQ_EBITDA">"c361"</definedName>
    <definedName name="IQ_EBITDA_10YR_ANN_GROWTH">"c362"</definedName>
    <definedName name="IQ_EBITDA_1YR_ANN_GROWTH">"c363"</definedName>
    <definedName name="IQ_EBITDA_2YR_ANN_GROWTH">"c364"</definedName>
    <definedName name="IQ_EBITDA_3YR_ANN_GROWTH">"c365"</definedName>
    <definedName name="IQ_EBITDA_5YR_ANN_GROWTH">"c366"</definedName>
    <definedName name="IQ_EBITDA_7YR_ANN_GROWTH">"c367"</definedName>
    <definedName name="IQ_EBITDA_CAPEX_INT">"c368"</definedName>
    <definedName name="IQ_EBITDA_CAPEX_OVER_TOTAL_IE">"c1370"</definedName>
    <definedName name="IQ_EBITDA_INT">"c373"</definedName>
    <definedName name="IQ_EBITDA_MARGIN">"c372"</definedName>
    <definedName name="IQ_EBITDA_OVER_TOTAL_IE">"c1371"</definedName>
    <definedName name="IQ_EBT">"c376"</definedName>
    <definedName name="IQ_EBT_BNK">"c377"</definedName>
    <definedName name="IQ_EBT_BR">"c378"</definedName>
    <definedName name="IQ_EBT_EXCL">"c379"</definedName>
    <definedName name="IQ_EBT_EXCL_BNK">"c380"</definedName>
    <definedName name="IQ_EBT_EXCL_BR">"c381"</definedName>
    <definedName name="IQ_EBT_EXCL_FIN">"c382"</definedName>
    <definedName name="IQ_EBT_EXCL_INS">"c383"</definedName>
    <definedName name="IQ_EBT_EXCL_MARGIN">"c1462"</definedName>
    <definedName name="IQ_EBT_EXCL_REIT">"c384"</definedName>
    <definedName name="IQ_EBT_EXCL_UTI">"c385"</definedName>
    <definedName name="IQ_EBT_FIN">"c386"</definedName>
    <definedName name="IQ_EBT_INCL_MARGIN">"c387"</definedName>
    <definedName name="IQ_EBT_INS">"c388"</definedName>
    <definedName name="IQ_EBT_REIT">"c389"</definedName>
    <definedName name="IQ_EBT_UTI">"c390"</definedName>
    <definedName name="IQ_EFFECT_SPECIAL_CHARGE">"c1595"</definedName>
    <definedName name="IQ_EFFECT_TAX_RATE">"c1899"</definedName>
    <definedName name="IQ_EFFICIENCY_RATIO">"c391"</definedName>
    <definedName name="IQ_EMPLOYEES">"c392"</definedName>
    <definedName name="IQ_ENTERPRISE_VALUE">"c1348"</definedName>
    <definedName name="IQ_EPS_10YR_ANN_GROWTH">"c393"</definedName>
    <definedName name="IQ_EPS_1YR_ANN_GROWTH">"c394"</definedName>
    <definedName name="IQ_EPS_2YR_ANN_GROWTH">"c395"</definedName>
    <definedName name="IQ_EPS_3YR_ANN_GROWTH">"c396"</definedName>
    <definedName name="IQ_EPS_5YR_ANN_GROWTH">"c397"</definedName>
    <definedName name="IQ_EPS_7YR_ANN_GROWTH">"c398"</definedName>
    <definedName name="IQ_EPS_EST">"c399"</definedName>
    <definedName name="IQ_EPS_HIGH_EST">"c400"</definedName>
    <definedName name="IQ_EPS_LOW_EST">"c401"</definedName>
    <definedName name="IQ_EPS_MEDIAN_EST">"c1661"</definedName>
    <definedName name="IQ_EPS_NORM">"c1902"</definedName>
    <definedName name="IQ_EPS_NUM_EST">"c402"</definedName>
    <definedName name="IQ_EPS_STDDEV_EST">"c403"</definedName>
    <definedName name="IQ_EQUITY_AFFIL">"c1451"</definedName>
    <definedName name="IQ_EQUITY_METHOD">"c404"</definedName>
    <definedName name="IQ_EQV_OVER_BV">"c1596"</definedName>
    <definedName name="IQ_EQV_OVER_LTM_PRETAX_INC">"c1390"</definedName>
    <definedName name="IQ_ESOP_DEBT">"c1597"</definedName>
    <definedName name="IQ_EST_ACT_EPS">"c1648"</definedName>
    <definedName name="IQ_EST_CURRENCY">"c2140"</definedName>
    <definedName name="IQ_EST_DATE">"c1634"</definedName>
    <definedName name="IQ_EST_EPS_DIFF">"c1864"</definedName>
    <definedName name="IQ_EST_EPS_GROWTH_1YR">"c1636"</definedName>
    <definedName name="IQ_EST_EPS_GROWTH_5YR">"c1655"</definedName>
    <definedName name="IQ_EST_EPS_GROWTH_Q_1YR">"c1641"</definedName>
    <definedName name="IQ_EV_OVER_EMPLOYEE">"c1428"</definedName>
    <definedName name="IQ_EV_OVER_LTM_EBIT">"c1426"</definedName>
    <definedName name="IQ_EV_OVER_LTM_EBITDA">"c1427"</definedName>
    <definedName name="IQ_EV_OVER_LTM_REVENUE">"c1429"</definedName>
    <definedName name="IQ_EXCHANGE">"c405"</definedName>
    <definedName name="IQ_EXERCISE_PRICE">"c1897"</definedName>
    <definedName name="IQ_EXERCISED">"c406"</definedName>
    <definedName name="IQ_EXP_RETURN_PENSION_DOMESTIC">"c407"</definedName>
    <definedName name="IQ_EXP_RETURN_PENSION_FOREIGN">"c408"</definedName>
    <definedName name="IQ_EXPLORE_DRILL">"c409"</definedName>
    <definedName name="IQ_EXTRA_ACC_ITEMS">"c410"</definedName>
    <definedName name="IQ_EXTRA_ACC_ITEMS_BNK">"c411"</definedName>
    <definedName name="IQ_EXTRA_ACC_ITEMS_BR">"c412"</definedName>
    <definedName name="IQ_EXTRA_ACC_ITEMS_FIN">"c413"</definedName>
    <definedName name="IQ_EXTRA_ACC_ITEMS_INS">"c414"</definedName>
    <definedName name="IQ_EXTRA_ACC_ITEMS_REIT">"c415"</definedName>
    <definedName name="IQ_EXTRA_ACC_ITEMS_UTI">"c416"</definedName>
    <definedName name="IQ_EXTRA_ITEMS">"c1459"</definedName>
    <definedName name="IQ_FDIC">"c417"</definedName>
    <definedName name="IQ_FFO">"c1574"</definedName>
    <definedName name="IQ_FH" hidden="1">100000</definedName>
    <definedName name="IQ_FHLB_DEBT">"c423"</definedName>
    <definedName name="IQ_FHLB_DUE_CY">"c2080"</definedName>
    <definedName name="IQ_FHLB_DUE_CY1">"c2081"</definedName>
    <definedName name="IQ_FHLB_DUE_CY2">"c2082"</definedName>
    <definedName name="IQ_FHLB_DUE_CY3">"c2083"</definedName>
    <definedName name="IQ_FHLB_DUE_CY4">"c2084"</definedName>
    <definedName name="IQ_FHLB_DUE_NEXT_FIVE">"c2085"</definedName>
    <definedName name="IQ_FILING_CURRENCY">"c2129"</definedName>
    <definedName name="IQ_FILINGDATE_BS">"c424"</definedName>
    <definedName name="IQ_FILINGDATE_CF">"c425"</definedName>
    <definedName name="IQ_FILINGDATE_IS">"c426"</definedName>
    <definedName name="IQ_FIN_DIV_ASSETS_CURRENT">"c427"</definedName>
    <definedName name="IQ_FIN_DIV_ASSETS_LT">"c428"</definedName>
    <definedName name="IQ_FIN_DIV_DEBT_CURRENT">"c429"</definedName>
    <definedName name="IQ_FIN_DIV_DEBT_LT">"c430"</definedName>
    <definedName name="IQ_FIN_DIV_EXP">"c431"</definedName>
    <definedName name="IQ_FIN_DIV_INT_EXP">"c432"</definedName>
    <definedName name="IQ_FIN_DIV_LIAB_CURRENT">"c433"</definedName>
    <definedName name="IQ_FIN_DIV_LIAB_LT">"c434"</definedName>
    <definedName name="IQ_FIN_DIV_LOANS_CURRENT">"c435"</definedName>
    <definedName name="IQ_FIN_DIV_LOANS_LT">"c436"</definedName>
    <definedName name="IQ_FIN_DIV_REV">"c437"</definedName>
    <definedName name="IQ_FINANCING_CASH">"c1405"</definedName>
    <definedName name="IQ_FINANCING_CASH_SUPPL">"c1406"</definedName>
    <definedName name="IQ_FINISHED_INV">"c438"</definedName>
    <definedName name="IQ_FIRST_YEAR_LIFE">"c439"</definedName>
    <definedName name="IQ_FISCAL_Q">"c440"</definedName>
    <definedName name="IQ_FISCAL_Y">"c441"</definedName>
    <definedName name="IQ_FIVE_PERCENT_OWNER">"c442"</definedName>
    <definedName name="IQ_FIVEPERCENT_PERCENT">"c443"</definedName>
    <definedName name="IQ_FIVEPERCENT_SHARES">"c444"</definedName>
    <definedName name="IQ_FIXED_ASSET_TURNS">"c445"</definedName>
    <definedName name="IQ_FLOAT_PERCENT">"c1575"</definedName>
    <definedName name="IQ_FOREIGN_DEP_IB">"c446"</definedName>
    <definedName name="IQ_FOREIGN_DEP_NON_IB">"c447"</definedName>
    <definedName name="IQ_FOREIGN_EXCHANGE">"c1376"</definedName>
    <definedName name="IQ_FOREIGN_LOANS">"c448"</definedName>
    <definedName name="IQ_FQ" hidden="1">500</definedName>
    <definedName name="IQ_FUEL">"c449"</definedName>
    <definedName name="IQ_FULL_TIME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>"c451"</definedName>
    <definedName name="IQ_FY" hidden="1">1000</definedName>
    <definedName name="IQ_GAIN_ASSETS">"c452"</definedName>
    <definedName name="IQ_GAIN_ASSETS_BNK">"c453"</definedName>
    <definedName name="IQ_GAIN_ASSETS_BR">"c454"</definedName>
    <definedName name="IQ_GAIN_ASSETS_CF">"c455"</definedName>
    <definedName name="IQ_GAIN_ASSETS_CF_BNK">"c456"</definedName>
    <definedName name="IQ_GAIN_ASSETS_CF_BR">"c457"</definedName>
    <definedName name="IQ_GAIN_ASSETS_CF_FIN">"c458"</definedName>
    <definedName name="IQ_GAIN_ASSETS_CF_INS">"c459"</definedName>
    <definedName name="IQ_GAIN_ASSETS_CF_REIT">"c460"</definedName>
    <definedName name="IQ_GAIN_ASSETS_CF_UTI">"c461"</definedName>
    <definedName name="IQ_GAIN_ASSETS_FIN">"c462"</definedName>
    <definedName name="IQ_GAIN_ASSETS_INS">"c463"</definedName>
    <definedName name="IQ_GAIN_ASSETS_REIT">"c471"</definedName>
    <definedName name="IQ_GAIN_ASSETS_REV">"c472"</definedName>
    <definedName name="IQ_GAIN_ASSETS_REV_BNK">"c473"</definedName>
    <definedName name="IQ_GAIN_ASSETS_REV_BR">"c474"</definedName>
    <definedName name="IQ_GAIN_ASSETS_REV_FIN">"c475"</definedName>
    <definedName name="IQ_GAIN_ASSETS_REV_INS">"c476"</definedName>
    <definedName name="IQ_GAIN_ASSETS_REV_REIT">"c477"</definedName>
    <definedName name="IQ_GAIN_ASSETS_REV_UTI">"c478"</definedName>
    <definedName name="IQ_GAIN_ASSETS_UTI">"c479"</definedName>
    <definedName name="IQ_GAIN_INVEST">"c1463"</definedName>
    <definedName name="IQ_GAIN_INVEST_BNK">"c1582"</definedName>
    <definedName name="IQ_GAIN_INVEST_BR">"c1464"</definedName>
    <definedName name="IQ_GAIN_INVEST_CF">"c480"</definedName>
    <definedName name="IQ_GAIN_INVEST_CF_BNK">"c481"</definedName>
    <definedName name="IQ_GAIN_INVEST_CF_BR">"c482"</definedName>
    <definedName name="IQ_GAIN_INVEST_CF_FIN">"c483"</definedName>
    <definedName name="IQ_GAIN_INVEST_CF_INS">"c484"</definedName>
    <definedName name="IQ_GAIN_INVEST_CF_REIT">"c485"</definedName>
    <definedName name="IQ_GAIN_INVEST_CF_UTI">"c486"</definedName>
    <definedName name="IQ_GAIN_INVEST_FIN">"c1465"</definedName>
    <definedName name="IQ_GAIN_INVEST_INS">"c1466"</definedName>
    <definedName name="IQ_GAIN_INVEST_REIT">"c1467"</definedName>
    <definedName name="IQ_GAIN_INVEST_REV">"c494"</definedName>
    <definedName name="IQ_GAIN_INVEST_REV_BNK">"c495"</definedName>
    <definedName name="IQ_GAIN_INVEST_REV_BR">"c496"</definedName>
    <definedName name="IQ_GAIN_INVEST_REV_FIN">"c497"</definedName>
    <definedName name="IQ_GAIN_INVEST_REV_INS">"c498"</definedName>
    <definedName name="IQ_GAIN_INVEST_REV_REIT">"c499"</definedName>
    <definedName name="IQ_GAIN_INVEST_REV_UTI">"c500"</definedName>
    <definedName name="IQ_GAIN_INVEST_UTI">"c1468"</definedName>
    <definedName name="IQ_GAIN_LOANS_REC">"c501"</definedName>
    <definedName name="IQ_GAIN_LOANS_RECEIV">"c502"</definedName>
    <definedName name="IQ_GAIN_LOANS_RECEIV_REV_FIN">"c503"</definedName>
    <definedName name="IQ_GAIN_LOANS_REV">"c504"</definedName>
    <definedName name="IQ_GAIN_SALE_ASSETS">"c1377"</definedName>
    <definedName name="IQ_GOODWILL_NET">"c1380"</definedName>
    <definedName name="IQ_GP">"c511"</definedName>
    <definedName name="IQ_GP_10YR_ANN_GROWTH">"c512"</definedName>
    <definedName name="IQ_GP_1YR_ANN_GROWTH">"c513"</definedName>
    <definedName name="IQ_GP_2YR_ANN_GROWTH">"c514"</definedName>
    <definedName name="IQ_GP_3YR_ANN_GROWTH">"c515"</definedName>
    <definedName name="IQ_GP_5YR_ANN_GROWTH">"c516"</definedName>
    <definedName name="IQ_GP_7YR_ANN_GROWTH">"c517"</definedName>
    <definedName name="IQ_GPPE">"c518"</definedName>
    <definedName name="IQ_GROSS_DIVID">"c1446"</definedName>
    <definedName name="IQ_GROSS_LOANS">"c521"</definedName>
    <definedName name="IQ_GROSS_LOANS_10YR_ANN_GROWTH">"c522"</definedName>
    <definedName name="IQ_GROSS_LOANS_1YR_ANN_GROWTH">"c523"</definedName>
    <definedName name="IQ_GROSS_LOANS_2YR_ANN_GROWTH">"c524"</definedName>
    <definedName name="IQ_GROSS_LOANS_3YR_ANN_GROWTH">"c525"</definedName>
    <definedName name="IQ_GROSS_LOANS_5YR_ANN_GROWTH">"c526"</definedName>
    <definedName name="IQ_GROSS_LOANS_7YR_ANN_GROWTH">"c527"</definedName>
    <definedName name="IQ_GROSS_LOANS_TOTAL_DEPOSITS">"c528"</definedName>
    <definedName name="IQ_GROSS_MARGIN">"c529"</definedName>
    <definedName name="IQ_GROSS_PROFIT">"c1378"</definedName>
    <definedName name="IQ_GW">"c530"</definedName>
    <definedName name="IQ_GW_AMORT_BR">"c532"</definedName>
    <definedName name="IQ_GW_AMORT_FIN">"c540"</definedName>
    <definedName name="IQ_GW_AMORT_INS">"c541"</definedName>
    <definedName name="IQ_GW_AMORT_REIT">"c542"</definedName>
    <definedName name="IQ_GW_AMORT_UTI">"c543"</definedName>
    <definedName name="IQ_GW_INTAN_AMORT">"c1469"</definedName>
    <definedName name="IQ_GW_INTAN_AMORT_BNK">"c544"</definedName>
    <definedName name="IQ_GW_INTAN_AMORT_BR">"c1470"</definedName>
    <definedName name="IQ_GW_INTAN_AMORT_CF">"c1471"</definedName>
    <definedName name="IQ_GW_INTAN_AMORT_CF_BNK">"c1472"</definedName>
    <definedName name="IQ_GW_INTAN_AMORT_CF_BR">"c1473"</definedName>
    <definedName name="IQ_GW_INTAN_AMORT_CF_FIN">"c1474"</definedName>
    <definedName name="IQ_GW_INTAN_AMORT_CF_INS">"c1475"</definedName>
    <definedName name="IQ_GW_INTAN_AMORT_CF_REIT">"c1476"</definedName>
    <definedName name="IQ_GW_INTAN_AMORT_CF_UTI">"c1477"</definedName>
    <definedName name="IQ_GW_INTAN_AMORT_FIN">"c1478"</definedName>
    <definedName name="IQ_GW_INTAN_AMORT_INS">"c1479"</definedName>
    <definedName name="IQ_GW_INTAN_AMORT_REIT">"c1480"</definedName>
    <definedName name="IQ_GW_INTAN_AMORT_UTI">"c1481"</definedName>
    <definedName name="IQ_HIGHPRICE">"c545"</definedName>
    <definedName name="IQ_HOMEOWNERS_WRITTEN">"c546"</definedName>
    <definedName name="IQ_IMPAIR_OIL">"c547"</definedName>
    <definedName name="IQ_IMPAIRMENT_GW">"c548"</definedName>
    <definedName name="IQ_INC_AFTER_TAX">"c1598"</definedName>
    <definedName name="IQ_INC_AVAIL_EXCL">"c1395"</definedName>
    <definedName name="IQ_INC_AVAIL_INCL">"c1396"</definedName>
    <definedName name="IQ_INC_BEFORE_TAX">"c1375"</definedName>
    <definedName name="IQ_INC_EQUITY">"c549"</definedName>
    <definedName name="IQ_INC_EQUITY_BR">"c550"</definedName>
    <definedName name="IQ_INC_EQUITY_CF">"c551"</definedName>
    <definedName name="IQ_INC_EQUITY_FIN">"c552"</definedName>
    <definedName name="IQ_INC_EQUITY_INS">"c553"</definedName>
    <definedName name="IQ_INC_EQUITY_REC_BNK">"c554"</definedName>
    <definedName name="IQ_INC_EQUITY_REIT">"c555"</definedName>
    <definedName name="IQ_INC_EQUITY_REV_BNK">"c556"</definedName>
    <definedName name="IQ_INC_EQUITY_UTI">"c557"</definedName>
    <definedName name="IQ_INC_REAL_ESTATE_REC">"c558"</definedName>
    <definedName name="IQ_INC_REAL_ESTATE_REV">"c559"</definedName>
    <definedName name="IQ_INC_TAX">"c560"</definedName>
    <definedName name="IQ_INC_TAX_EXCL">"c1599"</definedName>
    <definedName name="IQ_INC_TAX_PAY_CURRENT">"c561"</definedName>
    <definedName name="IQ_INC_TRADE_ACT">"c562"</definedName>
    <definedName name="IQ_INS_ANNUITY_LIAB">"c563"</definedName>
    <definedName name="IQ_INS_DIV_EXP">"c564"</definedName>
    <definedName name="IQ_INS_DIV_REV">"c565"</definedName>
    <definedName name="IQ_INS_IN_FORCE">"c566"</definedName>
    <definedName name="IQ_INS_LIAB">"c567"</definedName>
    <definedName name="IQ_INS_POLICY_EXP">"c568"</definedName>
    <definedName name="IQ_INS_REV">"c569"</definedName>
    <definedName name="IQ_INS_SETTLE">"c570"</definedName>
    <definedName name="IQ_INS_SETTLE_BNK">"c571"</definedName>
    <definedName name="IQ_INS_SETTLE_BR">"c572"</definedName>
    <definedName name="IQ_INS_SETTLE_FIN">"c573"</definedName>
    <definedName name="IQ_INS_SETTLE_INS">"c574"</definedName>
    <definedName name="IQ_INS_SETTLE_REIT">"c575"</definedName>
    <definedName name="IQ_INS_SETTLE_UTI">"c576"</definedName>
    <definedName name="IQ_INSIDER_3MTH_BOUGHT_PCT">"c1534"</definedName>
    <definedName name="IQ_INSIDER_3MTH_NET_PCT">"c1535"</definedName>
    <definedName name="IQ_INSIDER_3MTH_SOLD_PCT">"c1533"</definedName>
    <definedName name="IQ_INSIDER_6MTH_BOUGHT_PCT">"c1537"</definedName>
    <definedName name="IQ_INSIDER_6MTH_NET_PCT">"c1538"</definedName>
    <definedName name="IQ_INSIDER_6MTH_SOLD_PCT">"c1536"</definedName>
    <definedName name="IQ_INSIDER_OVER_TOTAL">"c1581"</definedName>
    <definedName name="IQ_INSIDER_OWNER">"c577"</definedName>
    <definedName name="IQ_INSIDER_PERCENT">"c578"</definedName>
    <definedName name="IQ_INSIDER_SHARES">"c579"</definedName>
    <definedName name="IQ_INSTITUTIONAL_OVER_TOTAL">"c1580"</definedName>
    <definedName name="IQ_INSTITUTIONAL_OWNER">"c580"</definedName>
    <definedName name="IQ_INSTITUTIONAL_PERCENT">"c581"</definedName>
    <definedName name="IQ_INSTITUTIONAL_SHARES">"c582"</definedName>
    <definedName name="IQ_INSUR_RECEIV">"c1600"</definedName>
    <definedName name="IQ_INT_BORROW">"c583"</definedName>
    <definedName name="IQ_INT_DEPOSITS">"c584"</definedName>
    <definedName name="IQ_INT_DIV_INC">"c585"</definedName>
    <definedName name="IQ_INT_EXP_BR">"c586"</definedName>
    <definedName name="IQ_INT_EXP_COVERAGE">"c587"</definedName>
    <definedName name="IQ_INT_EXP_FIN">"c588"</definedName>
    <definedName name="IQ_INT_EXP_INS">"c589"</definedName>
    <definedName name="IQ_INT_EXP_LTD">"c2086"</definedName>
    <definedName name="IQ_INT_EXP_REIT">"c590"</definedName>
    <definedName name="IQ_INT_EXP_TOTAL">"c591"</definedName>
    <definedName name="IQ_INT_EXP_UTI">"c592"</definedName>
    <definedName name="IQ_INT_INC_BR">"c593"</definedName>
    <definedName name="IQ_INT_INC_FIN">"c594"</definedName>
    <definedName name="IQ_INT_INC_INVEST">"c595"</definedName>
    <definedName name="IQ_INT_INC_LOANS">"c596"</definedName>
    <definedName name="IQ_INT_INC_REIT">"c597"</definedName>
    <definedName name="IQ_INT_INC_TOTAL">"c598"</definedName>
    <definedName name="IQ_INT_INC_UTI">"c599"</definedName>
    <definedName name="IQ_INT_INV_INC">"c600"</definedName>
    <definedName name="IQ_INT_INV_INC_REIT">"c601"</definedName>
    <definedName name="IQ_INT_INV_INC_UTI">"c602"</definedName>
    <definedName name="IQ_INT_ON_BORROWING_COVERAGE">"c603"</definedName>
    <definedName name="IQ_INT_RATE_SPREAD">"c604"</definedName>
    <definedName name="IQ_INTANGIBLES_NET">"c1407"</definedName>
    <definedName name="IQ_INTEREST_EXP">"c618"</definedName>
    <definedName name="IQ_INTEREST_EXP_NET">"c1450"</definedName>
    <definedName name="IQ_INTEREST_EXP_NON">"c1383"</definedName>
    <definedName name="IQ_INTEREST_EXP_SUPPL">"c1460"</definedName>
    <definedName name="IQ_INTEREST_INC">"c1393"</definedName>
    <definedName name="IQ_INTEREST_INC_NON">"c1384"</definedName>
    <definedName name="IQ_INTEREST_INVEST_INC">"c619"</definedName>
    <definedName name="IQ_INV_10YR_ANN_GROWTH">"c1930"</definedName>
    <definedName name="IQ_INV_1YR_ANN_GROWTH">"c1925"</definedName>
    <definedName name="IQ_INV_2YR_ANN_GROWTH">"c1926"</definedName>
    <definedName name="IQ_INV_3YR_ANN_GROWTH">"c1927"</definedName>
    <definedName name="IQ_INV_5YR_ANN_GROWTH">"c1928"</definedName>
    <definedName name="IQ_INV_7YR_ANN_GROWTH">"c1929"</definedName>
    <definedName name="IQ_INV_BANKING_FEE">"c620"</definedName>
    <definedName name="IQ_INV_METHOD">"c621"</definedName>
    <definedName name="IQ_INVENTORY">"c622"</definedName>
    <definedName name="IQ_INVENTORY_TURNS">"c623"</definedName>
    <definedName name="IQ_INVENTORY_UTI">"c624"</definedName>
    <definedName name="IQ_INVEST_DEBT">"c625"</definedName>
    <definedName name="IQ_INVEST_EQUITY_PREF">"c626"</definedName>
    <definedName name="IQ_INVEST_FHLB">"c627"</definedName>
    <definedName name="IQ_INVEST_LOANS_CF">"c628"</definedName>
    <definedName name="IQ_INVEST_LOANS_CF_BNK">"c629"</definedName>
    <definedName name="IQ_INVEST_LOANS_CF_BR">"c630"</definedName>
    <definedName name="IQ_INVEST_LOANS_CF_FIN">"c631"</definedName>
    <definedName name="IQ_INVEST_LOANS_CF_INS">"c632"</definedName>
    <definedName name="IQ_INVEST_LOANS_CF_REIT">"c633"</definedName>
    <definedName name="IQ_INVEST_LOANS_CF_UTI">"c634"</definedName>
    <definedName name="IQ_INVEST_REAL_ESTATE">"c635"</definedName>
    <definedName name="IQ_INVEST_SECURITY">"c636"</definedName>
    <definedName name="IQ_INVEST_SECURITY_CF">"c637"</definedName>
    <definedName name="IQ_INVEST_SECURITY_CF_BNK">"c638"</definedName>
    <definedName name="IQ_INVEST_SECURITY_CF_BR">"c639"</definedName>
    <definedName name="IQ_INVEST_SECURITY_CF_FIN">"c640"</definedName>
    <definedName name="IQ_INVEST_SECURITY_CF_INS">"c641"</definedName>
    <definedName name="IQ_INVEST_SECURITY_CF_REIT">"c642"</definedName>
    <definedName name="IQ_INVEST_SECURITY_CF_UTI">"c643"</definedName>
    <definedName name="IQ_IPRD">"c644"</definedName>
    <definedName name="IQ_ISS_DEBT_NET">"c1391"</definedName>
    <definedName name="IQ_ISS_STOCK_NET">"c1601"</definedName>
    <definedName name="IQ_LAND">"c645"</definedName>
    <definedName name="IQ_LAST_SPLIT_DATE">"c2095"</definedName>
    <definedName name="IQ_LAST_SPLIT_FACTOR">"c2093"</definedName>
    <definedName name="IQ_LASTSALEPRICE">"c646"</definedName>
    <definedName name="IQ_LASTSALEPRICE_DATE">"c2109"</definedName>
    <definedName name="IQ_LATESTK" hidden="1">1000</definedName>
    <definedName name="IQ_LATESTQ" hidden="1">500</definedName>
    <definedName name="IQ_LEGAL_SETTLE">"c647"</definedName>
    <definedName name="IQ_LEGAL_SETTLE_BNK">"c648"</definedName>
    <definedName name="IQ_LEGAL_SETTLE_BR">"c649"</definedName>
    <definedName name="IQ_LEGAL_SETTLE_FIN">"c650"</definedName>
    <definedName name="IQ_LEGAL_SETTLE_INS">"c651"</definedName>
    <definedName name="IQ_LEGAL_SETTLE_REIT">"c652"</definedName>
    <definedName name="IQ_LEGAL_SETTLE_UTI">"c653"</definedName>
    <definedName name="IQ_LEVERAGE_RATIO">"c654"</definedName>
    <definedName name="IQ_LEVERED_FCF">"c1907"</definedName>
    <definedName name="IQ_LFCF_10YR_ANN_GROWTH">"c1942"</definedName>
    <definedName name="IQ_LFCF_1YR_ANN_GROWTH">"c1937"</definedName>
    <definedName name="IQ_LFCF_2YR_ANN_GROWTH">"c1938"</definedName>
    <definedName name="IQ_LFCF_3YR_ANN_GROWTH">"c1939"</definedName>
    <definedName name="IQ_LFCF_5YR_ANN_GROWTH">"c1940"</definedName>
    <definedName name="IQ_LFCF_7YR_ANN_GROWTH">"c1941"</definedName>
    <definedName name="IQ_LFCF_MARGIN">"c1961"</definedName>
    <definedName name="IQ_LICENSED_POPS">"c2123"</definedName>
    <definedName name="IQ_LIFOR">"c655"</definedName>
    <definedName name="IQ_LL">"c656"</definedName>
    <definedName name="IQ_LOAN_LEASE_RECEIV">"c657"</definedName>
    <definedName name="IQ_LOAN_LOSS">"c1386"</definedName>
    <definedName name="IQ_LOAN_SERVICE_REV">"c658"</definedName>
    <definedName name="IQ_LOANS_CF">"c659"</definedName>
    <definedName name="IQ_LOANS_CF_BNK">"c660"</definedName>
    <definedName name="IQ_LOANS_CF_BR">"c661"</definedName>
    <definedName name="IQ_LOANS_CF_FIN">"c662"</definedName>
    <definedName name="IQ_LOANS_CF_INS">"c663"</definedName>
    <definedName name="IQ_LOANS_CF_REIT">"c664"</definedName>
    <definedName name="IQ_LOANS_CF_UTI">"c665"</definedName>
    <definedName name="IQ_LOANS_FOR_SALE">"c666"</definedName>
    <definedName name="IQ_LOANS_PAST_DUE">"c667"</definedName>
    <definedName name="IQ_LOANS_RECEIV_CURRENT">"c668"</definedName>
    <definedName name="IQ_LOANS_RECEIV_LT">"c669"</definedName>
    <definedName name="IQ_LOANS_RECEIV_LT_UTI">"c670"</definedName>
    <definedName name="IQ_LONG_TERM_DEBT">"c1387"</definedName>
    <definedName name="IQ_LONG_TERM_DEBT_OVER_TOTAL_CAP">"c1388"</definedName>
    <definedName name="IQ_LONG_TERM_GROWTH">"c671"</definedName>
    <definedName name="IQ_LONG_TERM_INV">"c1389"</definedName>
    <definedName name="IQ_LOSS_LOSS_EXP">"c672"</definedName>
    <definedName name="IQ_LOWPRICE">"c673"</definedName>
    <definedName name="IQ_LT_DEBT">"c674"</definedName>
    <definedName name="IQ_LT_DEBT_BNK">"c675"</definedName>
    <definedName name="IQ_LT_DEBT_BR">"c676"</definedName>
    <definedName name="IQ_LT_DEBT_CAPITAL">"c677"</definedName>
    <definedName name="IQ_LT_DEBT_EQUITY">"c678"</definedName>
    <definedName name="IQ_LT_DEBT_FIN">"c679"</definedName>
    <definedName name="IQ_LT_DEBT_INS">"c680"</definedName>
    <definedName name="IQ_LT_DEBT_ISSUED">"c681"</definedName>
    <definedName name="IQ_LT_DEBT_ISSUED_BNK">"c682"</definedName>
    <definedName name="IQ_LT_DEBT_ISSUED_BR">"c683"</definedName>
    <definedName name="IQ_LT_DEBT_ISSUED_FIN">"c684"</definedName>
    <definedName name="IQ_LT_DEBT_ISSUED_INS">"c685"</definedName>
    <definedName name="IQ_LT_DEBT_ISSUED_REIT">"c686"</definedName>
    <definedName name="IQ_LT_DEBT_ISSUED_UTI">"c687"</definedName>
    <definedName name="IQ_LT_DEBT_REIT">"c688"</definedName>
    <definedName name="IQ_LT_DEBT_REPAID">"c689"</definedName>
    <definedName name="IQ_LT_DEBT_REPAID_BNK">"c690"</definedName>
    <definedName name="IQ_LT_DEBT_REPAID_BR">"c691"</definedName>
    <definedName name="IQ_LT_DEBT_REPAID_FIN">"c692"</definedName>
    <definedName name="IQ_LT_DEBT_REPAID_INS">"c693"</definedName>
    <definedName name="IQ_LT_DEBT_REPAID_REIT">"c694"</definedName>
    <definedName name="IQ_LT_DEBT_REPAID_UTI">"c695"</definedName>
    <definedName name="IQ_LT_DEBT_UTI">"c696"</definedName>
    <definedName name="IQ_LT_INVEST">"c697"</definedName>
    <definedName name="IQ_LT_INVEST_BR">"c698"</definedName>
    <definedName name="IQ_LT_INVEST_FIN">"c699"</definedName>
    <definedName name="IQ_LT_INVEST_REIT">"c700"</definedName>
    <definedName name="IQ_LT_INVEST_UTI">"c701"</definedName>
    <definedName name="IQ_LT_NOTE_RECEIV">"c1602"</definedName>
    <definedName name="IQ_LTD_DUE_AFTER_FIVE">"c704"</definedName>
    <definedName name="IQ_LTD_DUE_CY">"c705"</definedName>
    <definedName name="IQ_LTD_DUE_CY1">"c706"</definedName>
    <definedName name="IQ_LTD_DUE_CY2">"c707"</definedName>
    <definedName name="IQ_LTD_DUE_CY3">"c708"</definedName>
    <definedName name="IQ_LTD_DUE_CY4">"c709"</definedName>
    <definedName name="IQ_LTD_DUE_NEXT_FIVE">"c710"</definedName>
    <definedName name="IQ_LTM" hidden="1">2000</definedName>
    <definedName name="IQ_LTM_REVENUE_OVER_EMPLOYEES">"c1437"</definedName>
    <definedName name="IQ_LTMMONTH" hidden="1">120000</definedName>
    <definedName name="IQ_MACHINERY">"c711"</definedName>
    <definedName name="IQ_MAINT_REPAIR">"c2087"</definedName>
    <definedName name="IQ_MARKETCAP">"c712"</definedName>
    <definedName name="IQ_MERGER">"c713"</definedName>
    <definedName name="IQ_MERGER_BNK">"c714"</definedName>
    <definedName name="IQ_MERGER_BR">"c715"</definedName>
    <definedName name="IQ_MERGER_FIN">"c716"</definedName>
    <definedName name="IQ_MERGER_INS">"c717"</definedName>
    <definedName name="IQ_MERGER_REIT">"c718"</definedName>
    <definedName name="IQ_MERGER_RESTRUCTURE">"c719"</definedName>
    <definedName name="IQ_MERGER_RESTRUCTURE_BNK">"c720"</definedName>
    <definedName name="IQ_MERGER_RESTRUCTURE_BR">"c721"</definedName>
    <definedName name="IQ_MERGER_RESTRUCTURE_FIN">"c722"</definedName>
    <definedName name="IQ_MERGER_RESTRUCTURE_INS">"c723"</definedName>
    <definedName name="IQ_MERGER_RESTRUCTURE_REIT">"c724"</definedName>
    <definedName name="IQ_MERGER_RESTRUCTURE_UTI">"c725"</definedName>
    <definedName name="IQ_MERGER_UTI">"c726"</definedName>
    <definedName name="IQ_MINORITY_INTEREST">"c727"</definedName>
    <definedName name="IQ_MINORITY_INTEREST_BNK">"c728"</definedName>
    <definedName name="IQ_MINORITY_INTEREST_BR">"c729"</definedName>
    <definedName name="IQ_MINORITY_INTEREST_CF">"c730"</definedName>
    <definedName name="IQ_MINORITY_INTEREST_FIN">"c731"</definedName>
    <definedName name="IQ_MINORITY_INTEREST_INS">"c732"</definedName>
    <definedName name="IQ_MINORITY_INTEREST_IS">"c733"</definedName>
    <definedName name="IQ_MINORITY_INTEREST_REIT">"c734"</definedName>
    <definedName name="IQ_MINORITY_INTEREST_TOTAL">"c1905"</definedName>
    <definedName name="IQ_MINORITY_INTEREST_UTI">"c735"</definedName>
    <definedName name="IQ_MISC_ADJUST_CF">"c736"</definedName>
    <definedName name="IQ_MISC_EARN_ADJ">"c1603"</definedName>
    <definedName name="IQ_MKTCAP_EBT_EXCL">"c737"</definedName>
    <definedName name="IQ_MKTCAP_EBT_EXCL_AVG">"c738"</definedName>
    <definedName name="IQ_MKTCAP_EBT_INCL_AVG">"c739"</definedName>
    <definedName name="IQ_MKTCAP_TOTAL_REV">"c740"</definedName>
    <definedName name="IQ_MKTCAP_TOTAL_REV_AVG">"c741"</definedName>
    <definedName name="IQ_MM_ACCOUNT">"c743"</definedName>
    <definedName name="IQ_MONTH" hidden="1">15000</definedName>
    <definedName name="IQ_MORT_BANK_ACT">"c744"</definedName>
    <definedName name="IQ_MORT_BANKING_FEE">"c745"</definedName>
    <definedName name="IQ_MORT_INT_INC">"c746"</definedName>
    <definedName name="IQ_MORT_LOANS">"c747"</definedName>
    <definedName name="IQ_MORT_SECURITY">"c748"</definedName>
    <definedName name="IQ_MTD" hidden="1">800000</definedName>
    <definedName name="IQ_NAMES_REVISION_DATE_" hidden="1">40218.5134375</definedName>
    <definedName name="IQ_NET_CHANGE">"c749"</definedName>
    <definedName name="IQ_NET_DEBT">"c1584"</definedName>
    <definedName name="IQ_NET_DEBT_EBITDA">"c750"</definedName>
    <definedName name="IQ_NET_DEBT_ISSUED">"c751"</definedName>
    <definedName name="IQ_NET_DEBT_ISSUED_BNK">"c752"</definedName>
    <definedName name="IQ_NET_DEBT_ISSUED_BR">"c753"</definedName>
    <definedName name="IQ_NET_DEBT_ISSUED_FIN">"c754"</definedName>
    <definedName name="IQ_NET_DEBT_ISSUED_INS">"c755"</definedName>
    <definedName name="IQ_NET_DEBT_ISSUED_REIT">"c756"</definedName>
    <definedName name="IQ_NET_DEBT_ISSUED_UTI">"c757"</definedName>
    <definedName name="IQ_NET_INC">"c1394"</definedName>
    <definedName name="IQ_NET_INC_BEFORE">"c1368"</definedName>
    <definedName name="IQ_NET_INC_CF">"c1397"</definedName>
    <definedName name="IQ_NET_INC_MARGIN">"c1398"</definedName>
    <definedName name="IQ_NET_INT_INC_10YR_ANN_GROWTH">"c758"</definedName>
    <definedName name="IQ_NET_INT_INC_1YR_ANN_GROWTH">"c759"</definedName>
    <definedName name="IQ_NET_INT_INC_2YR_ANN_GROWTH">"c760"</definedName>
    <definedName name="IQ_NET_INT_INC_3YR_ANN_GROWTH">"c761"</definedName>
    <definedName name="IQ_NET_INT_INC_5YR_ANN_GROWTH">"c762"</definedName>
    <definedName name="IQ_NET_INT_INC_7YR_ANN_GROWTH">"c763"</definedName>
    <definedName name="IQ_NET_INT_INC_BNK">"c764"</definedName>
    <definedName name="IQ_NET_INT_INC_BR">"c765"</definedName>
    <definedName name="IQ_NET_INT_INC_FIN">"c766"</definedName>
    <definedName name="IQ_NET_INT_INC_TOTAL_REV">"c767"</definedName>
    <definedName name="IQ_NET_INT_MARGIN">"c768"</definedName>
    <definedName name="IQ_NET_INTEREST_EXP">"c769"</definedName>
    <definedName name="IQ_NET_INTEREST_EXP_REIT">"c770"</definedName>
    <definedName name="IQ_NET_INTEREST_EXP_UTI">"c771"</definedName>
    <definedName name="IQ_NET_INTEREST_INC">"c1392"</definedName>
    <definedName name="IQ_NET_INTEREST_INC_AFTER_LL">"c1604"</definedName>
    <definedName name="IQ_NET_LOANS">"c772"</definedName>
    <definedName name="IQ_NET_LOANS_10YR_ANN_GROWTH">"c773"</definedName>
    <definedName name="IQ_NET_LOANS_1YR_ANN_GROWTH">"c774"</definedName>
    <definedName name="IQ_NET_LOANS_2YR_ANN_GROWTH">"c775"</definedName>
    <definedName name="IQ_NET_LOANS_3YR_ANN_GROWTH">"c776"</definedName>
    <definedName name="IQ_NET_LOANS_5YR_ANN_GROWTH">"c777"</definedName>
    <definedName name="IQ_NET_LOANS_7YR_ANN_GROWTH">"c778"</definedName>
    <definedName name="IQ_NET_LOANS_TOTAL_DEPOSITS">"c779"</definedName>
    <definedName name="IQ_NET_RENTAL_EXP_FN">"c780"</definedName>
    <definedName name="IQ_NI">"c781"</definedName>
    <definedName name="IQ_NI_10YR_ANN_GROWTH">"c782"</definedName>
    <definedName name="IQ_NI_1YR_ANN_GROWTH">"c783"</definedName>
    <definedName name="IQ_NI_2YR_ANN_GROWTH">"c784"</definedName>
    <definedName name="IQ_NI_3YR_ANN_GROWTH">"c785"</definedName>
    <definedName name="IQ_NI_5YR_ANN_GROWTH">"c786"</definedName>
    <definedName name="IQ_NI_7YR_ANN_GROWTH">"c787"</definedName>
    <definedName name="IQ_NI_AFTER_CAPITALIZED">"c788"</definedName>
    <definedName name="IQ_NI_AVAIL_EXCL">"c789"</definedName>
    <definedName name="IQ_NI_AVAIL_EXCL_MARGIN">"c790"</definedName>
    <definedName name="IQ_NI_AVAIL_INCL">"c791"</definedName>
    <definedName name="IQ_NI_BEFORE_CAPITALIZED">"c792"</definedName>
    <definedName name="IQ_NI_CF">"c793"</definedName>
    <definedName name="IQ_NI_MARGIN">"c794"</definedName>
    <definedName name="IQ_NI_NORM">"c1901"</definedName>
    <definedName name="IQ_NI_NORM_10YR_ANN_GROWTH">"c1960"</definedName>
    <definedName name="IQ_NI_NORM_1YR_ANN_GROWTH">"c1955"</definedName>
    <definedName name="IQ_NI_NORM_2YR_ANN_GROWTH">"c1956"</definedName>
    <definedName name="IQ_NI_NORM_3YR_ANN_GROWTH">"c1957"</definedName>
    <definedName name="IQ_NI_NORM_5YR_ANN_GROWTH">"c1958"</definedName>
    <definedName name="IQ_NI_NORM_7YR_ANN_GROWTH">"c1959"</definedName>
    <definedName name="IQ_NI_NORM_MARGIN">"c1964"</definedName>
    <definedName name="IQ_NI_SFAS">"c795"</definedName>
    <definedName name="IQ_NON_ACCRUAL_LOANS">"c796"</definedName>
    <definedName name="IQ_NON_CASH">"c1399"</definedName>
    <definedName name="IQ_NON_CASH_ITEMS">"c797"</definedName>
    <definedName name="IQ_NON_INS_EXP">"c798"</definedName>
    <definedName name="IQ_NON_INS_REV">"c799"</definedName>
    <definedName name="IQ_NON_INT_BEAR_CD">"c800"</definedName>
    <definedName name="IQ_NON_INT_EXP">"c801"</definedName>
    <definedName name="IQ_NON_INT_INC">"c802"</definedName>
    <definedName name="IQ_NON_INT_INC_10YR_ANN_GROWTH">"c803"</definedName>
    <definedName name="IQ_NON_INT_INC_1YR_ANN_GROWTH">"c804"</definedName>
    <definedName name="IQ_NON_INT_INC_2YR_ANN_GROWTH">"c805"</definedName>
    <definedName name="IQ_NON_INT_INC_3YR_ANN_GROWTH">"c806"</definedName>
    <definedName name="IQ_NON_INT_INC_5YR_ANN_GROWTH">"c807"</definedName>
    <definedName name="IQ_NON_INT_INC_7YR_ANN_GROWTH">"c808"</definedName>
    <definedName name="IQ_NON_INTEREST_EXP">"c1400"</definedName>
    <definedName name="IQ_NON_INTEREST_INC">"c1401"</definedName>
    <definedName name="IQ_NON_OPER_EXP">"c809"</definedName>
    <definedName name="IQ_NON_OPER_INC">"c810"</definedName>
    <definedName name="IQ_NON_PERF_ASSETS_10YR_ANN_GROWTH">"c811"</definedName>
    <definedName name="IQ_NON_PERF_ASSETS_1YR_ANN_GROWTH">"c812"</definedName>
    <definedName name="IQ_NON_PERF_ASSETS_2YR_ANN_GROWTH">"c813"</definedName>
    <definedName name="IQ_NON_PERF_ASSETS_3YR_ANN_GROWTH">"c814"</definedName>
    <definedName name="IQ_NON_PERF_ASSETS_5YR_ANN_GROWTH">"c815"</definedName>
    <definedName name="IQ_NON_PERF_ASSETS_7YR_ANN_GROWTH">"c816"</definedName>
    <definedName name="IQ_NON_PERF_ASSETS_TOTAL_ASSETS">"c817"</definedName>
    <definedName name="IQ_NON_PERF_LOANS_10YR_ANN_GROWTH">"c818"</definedName>
    <definedName name="IQ_NON_PERF_LOANS_1YR_ANN_GROWTH">"c819"</definedName>
    <definedName name="IQ_NON_PERF_LOANS_2YR_ANN_GROWTH">"c820"</definedName>
    <definedName name="IQ_NON_PERF_LOANS_3YR_ANN_GROWTH">"c821"</definedName>
    <definedName name="IQ_NON_PERF_LOANS_5YR_ANN_GROWTH">"c822"</definedName>
    <definedName name="IQ_NON_PERF_LOANS_7YR_ANN_GROWTH">"c823"</definedName>
    <definedName name="IQ_NON_PERF_LOANS_TOTAL_ASSETS">"c824"</definedName>
    <definedName name="IQ_NON_PERF_LOANS_TOTAL_LOANS">"c825"</definedName>
    <definedName name="IQ_NON_PERFORMING_ASSETS">"c826"</definedName>
    <definedName name="IQ_NON_PERFORMING_LOANS">"c827"</definedName>
    <definedName name="IQ_NONUTIL_REV">"c2089"</definedName>
    <definedName name="IQ_NORMAL_INC_AFTER">"c1605"</definedName>
    <definedName name="IQ_NORMAL_INC_AVAIL">"c1606"</definedName>
    <definedName name="IQ_NORMAL_INC_BEFORE">"c1607"</definedName>
    <definedName name="IQ_NOTES_PAY">"c1423"</definedName>
    <definedName name="IQ_NOW_ACCOUNT">"c828"</definedName>
    <definedName name="IQ_NPPE">"c829"</definedName>
    <definedName name="IQ_NPPE_10YR_ANN_GROWTH">"c830"</definedName>
    <definedName name="IQ_NPPE_1YR_ANN_GROWTH">"c831"</definedName>
    <definedName name="IQ_NPPE_2YR_ANN_GROWTH">"c832"</definedName>
    <definedName name="IQ_NPPE_3YR_ANN_GROWTH">"c833"</definedName>
    <definedName name="IQ_NPPE_5YR_ANN_GROWTH">"c834"</definedName>
    <definedName name="IQ_NPPE_7YR_ANN_GROWTH">"c835"</definedName>
    <definedName name="IQ_NTM" hidden="1">6000</definedName>
    <definedName name="IQ_NUKE">"c836"</definedName>
    <definedName name="IQ_NUKE_CF">"c837"</definedName>
    <definedName name="IQ_NUKE_CONTR">"c838"</definedName>
    <definedName name="IQ_NUM_BRANCHES">"c2088"</definedName>
    <definedName name="IQ_NUMBER_ADRHOLDERS">"c1970"</definedName>
    <definedName name="IQ_NUMBER_DAYS">"c1904"</definedName>
    <definedName name="IQ_NUMBER_SHAREHOLDERS">"c1967"</definedName>
    <definedName name="IQ_NUMBER_SHAREHOLDERS_CLASSA">"c1968"</definedName>
    <definedName name="IQ_NUMBER_SHAREHOLDERS_OTHER">"c1969"</definedName>
    <definedName name="IQ_OCCUPY_EXP">"c839"</definedName>
    <definedName name="IQ_OG_10DISC">"c1998"</definedName>
    <definedName name="IQ_OG_10DISC_GAS">"c2018"</definedName>
    <definedName name="IQ_OG_10DISC_OIL">"c2008"</definedName>
    <definedName name="IQ_OG_ACQ_COST_PROVED">"c1975"</definedName>
    <definedName name="IQ_OG_ACQ_COST_PROVED_GAS">"c1987"</definedName>
    <definedName name="IQ_OG_ACQ_COST_PROVED_OIL">"c1981"</definedName>
    <definedName name="IQ_OG_ACQ_COST_UNPROVED">"c1976"</definedName>
    <definedName name="IQ_OG_ACQ_COST_UNPROVED_GAS">"c1988"</definedName>
    <definedName name="IQ_OG_ACQ_COST_UNPROVED_OIL">"c1982"</definedName>
    <definedName name="IQ_OG_CLOSE_BALANCE_GAS">"c2049"</definedName>
    <definedName name="IQ_OG_CLOSE_BALANCE_OIL">"c2037"</definedName>
    <definedName name="IQ_OG_DCF_BEFORE_TAXES">"c2023"</definedName>
    <definedName name="IQ_OG_DCF_BEFORE_TAXES_GAS">"c2025"</definedName>
    <definedName name="IQ_OG_DCF_BEFORE_TAXES_OIL">"c2024"</definedName>
    <definedName name="IQ_OG_DEVELOPED_RESERVES_GAS">"c2053"</definedName>
    <definedName name="IQ_OG_DEVELOPED_RESERVES_OIL">"c2054"</definedName>
    <definedName name="IQ_OG_DEVELOPMENT_COSTS">"c1978"</definedName>
    <definedName name="IQ_OG_DEVELOPMENT_COSTS_GAS">"c1990"</definedName>
    <definedName name="IQ_OG_DEVELOPMENT_COSTS_OIL">"c1984"</definedName>
    <definedName name="IQ_OG_EQUITY_DCF">"c2002"</definedName>
    <definedName name="IQ_OG_EQUITY_DCF_GAS">"c2022"</definedName>
    <definedName name="IQ_OG_EQUITY_DCF_OIL">"c2012"</definedName>
    <definedName name="IQ_OG_EQUTY_RESERVES_GAS">"c2050"</definedName>
    <definedName name="IQ_OG_EQUTY_RESERVES_OIL">"c2038"</definedName>
    <definedName name="IQ_OG_EXPLORATION_COSTS">"c1977"</definedName>
    <definedName name="IQ_OG_EXPLORATION_COSTS_GAS">"c1989"</definedName>
    <definedName name="IQ_OG_EXPLORATION_COSTS_OIL">"c1983"</definedName>
    <definedName name="IQ_OG_EXT_DISC_GAS">"c2043"</definedName>
    <definedName name="IQ_OG_EXT_DISC_OIL">"c2031"</definedName>
    <definedName name="IQ_OG_FUTURE_CASH_INFLOWS">"c1993"</definedName>
    <definedName name="IQ_OG_FUTURE_CASH_INFLOWS_GAS">"c2013"</definedName>
    <definedName name="IQ_OG_FUTURE_CASH_INFLOWS_OIL">"c2003"</definedName>
    <definedName name="IQ_OG_FUTURE_DEVELOPMENT_COSTS">"c1995"</definedName>
    <definedName name="IQ_OG_FUTURE_DEVELOPMENT_COSTS_GAS">"c2015"</definedName>
    <definedName name="IQ_OG_FUTURE_DEVELOPMENT_COSTS_OIL">"c2005"</definedName>
    <definedName name="IQ_OG_FUTURE_INC_TAXES">"c1997"</definedName>
    <definedName name="IQ_OG_FUTURE_INC_TAXES_GAS">"c2017"</definedName>
    <definedName name="IQ_OG_FUTURE_INC_TAXES_OIL">"c2007"</definedName>
    <definedName name="IQ_OG_FUTURE_PRODUCTION_COSTS">"c1994"</definedName>
    <definedName name="IQ_OG_FUTURE_PRODUCTION_COSTS_GAS">"c2014"</definedName>
    <definedName name="IQ_OG_FUTURE_PRODUCTION_COSTS_OIL">"c2004"</definedName>
    <definedName name="IQ_OG_GAS_PRICE_HEDGED">"c2056"</definedName>
    <definedName name="IQ_OG_GAS_PRICE_UNHEDGED">"c2058"</definedName>
    <definedName name="IQ_OG_IMPROVED_RECOVERY_GAS">"c2044"</definedName>
    <definedName name="IQ_OG_IMPROVED_RECOVERY_OIL">"c2032"</definedName>
    <definedName name="IQ_OG_NET_FUTURE_CASH_FLOWS">"c1996"</definedName>
    <definedName name="IQ_OG_NET_FUTURE_CASH_FLOWS_GAS">"c2016"</definedName>
    <definedName name="IQ_OG_NET_FUTURE_CASH_FLOWS_OIL">"c2006"</definedName>
    <definedName name="IQ_OG_OIL_PRICE_HEDGED">"c2055"</definedName>
    <definedName name="IQ_OG_OIL_PRICE_UNHEDGED">"c2057"</definedName>
    <definedName name="IQ_OG_OPEN_BALANCE_GAS">"c2041"</definedName>
    <definedName name="IQ_OG_OPEN_BALANCE_OIL">"c2029"</definedName>
    <definedName name="IQ_OG_OTHER_ADJ_FCF">"c1999"</definedName>
    <definedName name="IQ_OG_OTHER_ADJ_FCF_GAS">"c2019"</definedName>
    <definedName name="IQ_OG_OTHER_ADJ_FCF_OIL">"c2009"</definedName>
    <definedName name="IQ_OG_OTHER_ADJ_GAS">"c2048"</definedName>
    <definedName name="IQ_OG_OTHER_ADJ_OIL">"c2036"</definedName>
    <definedName name="IQ_OG_OTHER_COSTS">"c1979"</definedName>
    <definedName name="IQ_OG_OTHER_COSTS_GAS">"c1991"</definedName>
    <definedName name="IQ_OG_OTHER_COSTS_OIL">"c1985"</definedName>
    <definedName name="IQ_OG_PRODUCTION_GAS">"c2047"</definedName>
    <definedName name="IQ_OG_PRODUCTION_OIL">"c2035"</definedName>
    <definedName name="IQ_OG_PURCHASES_GAS">"c2045"</definedName>
    <definedName name="IQ_OG_PURCHASES_OIL">"c2033"</definedName>
    <definedName name="IQ_OG_REVISIONS_GAS">"c2042"</definedName>
    <definedName name="IQ_OG_REVISIONS_OIL">"c2030"</definedName>
    <definedName name="IQ_OG_SALES_IN_PLACE_GAS">"c2046"</definedName>
    <definedName name="IQ_OG_SALES_IN_PLACE_OIL">"c2034"</definedName>
    <definedName name="IQ_OG_STANDARDIZED_DCF">"c2000"</definedName>
    <definedName name="IQ_OG_STANDARDIZED_DCF_GAS">"c2020"</definedName>
    <definedName name="IQ_OG_STANDARDIZED_DCF_HEDGED">"c2001"</definedName>
    <definedName name="IQ_OG_STANDARDIZED_DCF_HEDGED_GAS">"c2021"</definedName>
    <definedName name="IQ_OG_STANDARDIZED_DCF_HEDGED_OIL">"c2011"</definedName>
    <definedName name="IQ_OG_STANDARDIZED_DCF_OIL">"c2010"</definedName>
    <definedName name="IQ_OG_TAXES">"c2026"</definedName>
    <definedName name="IQ_OG_TAXES_GAS">"c2028"</definedName>
    <definedName name="IQ_OG_TAXES_OIL">"c2027"</definedName>
    <definedName name="IQ_OG_TOTAL_COSTS">"c1980"</definedName>
    <definedName name="IQ_OG_TOTAL_COSTS_GAS">"c1992"</definedName>
    <definedName name="IQ_OG_TOTAL_COSTS_OIL">"c1986"</definedName>
    <definedName name="IQ_OG_TOTAL_EST_PROVED_RESERVES_GAS">"c2052"</definedName>
    <definedName name="IQ_OG_TOTAL_GAS_PRODUCTION">"c2060"</definedName>
    <definedName name="IQ_OG_TOTAL_OIL_PRODUCTON">"c2059"</definedName>
    <definedName name="IQ_OG_UNDEVELOPED_RESERVES_GAS">"c2051"</definedName>
    <definedName name="IQ_OG_UNDEVELOPED_RESERVES_OIL">"c2039"</definedName>
    <definedName name="IQ_OIL_IMPAIR">"c840"</definedName>
    <definedName name="IQ_OL_COMM_AFTER_FIVE">"c841"</definedName>
    <definedName name="IQ_OL_COMM_CY">"c842"</definedName>
    <definedName name="IQ_OL_COMM_CY1">"c843"</definedName>
    <definedName name="IQ_OL_COMM_CY2">"c844"</definedName>
    <definedName name="IQ_OL_COMM_CY3">"c845"</definedName>
    <definedName name="IQ_OL_COMM_CY4">"c846"</definedName>
    <definedName name="IQ_OL_COMM_NEXT_FIVE">"c847"</definedName>
    <definedName name="IQ_OPENPRICE">"c848"</definedName>
    <definedName name="IQ_OPER_INC">"c849"</definedName>
    <definedName name="IQ_OPER_INC_BR">"c850"</definedName>
    <definedName name="IQ_OPER_INC_FIN">"c851"</definedName>
    <definedName name="IQ_OPER_INC_INS">"c852"</definedName>
    <definedName name="IQ_OPER_INC_MARGIN">"c1448"</definedName>
    <definedName name="IQ_OPER_INC_REIT">"c853"</definedName>
    <definedName name="IQ_OPER_INC_UTI">"c854"</definedName>
    <definedName name="IQ_OPERATIONS_EXP">"c855"</definedName>
    <definedName name="IQ_OPTIONS_BEG_OS">"c1572"</definedName>
    <definedName name="IQ_OPTIONS_CANCELLED">"c856"</definedName>
    <definedName name="IQ_OPTIONS_END_OS">"c1573"</definedName>
    <definedName name="IQ_OPTIONS_EXERCISED">"c2116"</definedName>
    <definedName name="IQ_OPTIONS_ISSUED">"c857"</definedName>
    <definedName name="IQ_ORDER_BACKLOG">"c2090"</definedName>
    <definedName name="IQ_OTHER_ADJUST_GROSS_LOANS">"c859"</definedName>
    <definedName name="IQ_OTHER_ASSETS">"c860"</definedName>
    <definedName name="IQ_OTHER_ASSETS_BNK">"c861"</definedName>
    <definedName name="IQ_OTHER_ASSETS_BR">"c862"</definedName>
    <definedName name="IQ_OTHER_ASSETS_FIN">"c863"</definedName>
    <definedName name="IQ_OTHER_ASSETS_INS">"c864"</definedName>
    <definedName name="IQ_OTHER_ASSETS_REIT">"c865"</definedName>
    <definedName name="IQ_OTHER_ASSETS_UTI">"c866"</definedName>
    <definedName name="IQ_OTHER_BEARING_LIAB">"c1608"</definedName>
    <definedName name="IQ_OTHER_BENEFITS_OBLIGATION">"c867"</definedName>
    <definedName name="IQ_OTHER_CA">"c868"</definedName>
    <definedName name="IQ_OTHER_CA_SUPPL">"c869"</definedName>
    <definedName name="IQ_OTHER_CA_SUPPL_BNK">"c870"</definedName>
    <definedName name="IQ_OTHER_CA_SUPPL_BR">"c871"</definedName>
    <definedName name="IQ_OTHER_CA_SUPPL_FIN">"c872"</definedName>
    <definedName name="IQ_OTHER_CA_SUPPL_INS">"c873"</definedName>
    <definedName name="IQ_OTHER_CA_SUPPL_REIT">"c874"</definedName>
    <definedName name="IQ_OTHER_CA_SUPPL_UTI">"c875"</definedName>
    <definedName name="IQ_OTHER_CA_UTI">"c876"</definedName>
    <definedName name="IQ_OTHER_CL">"c877"</definedName>
    <definedName name="IQ_OTHER_CL_SUPPL">"c878"</definedName>
    <definedName name="IQ_OTHER_CL_SUPPL_BNK">"c879"</definedName>
    <definedName name="IQ_OTHER_CL_SUPPL_BR">"c880"</definedName>
    <definedName name="IQ_OTHER_CL_SUPPL_FIN">"c881"</definedName>
    <definedName name="IQ_OTHER_CL_SUPPL_REIT">"c882"</definedName>
    <definedName name="IQ_OTHER_CL_SUPPL_UTI">"c883"</definedName>
    <definedName name="IQ_OTHER_CL_UTI">"c884"</definedName>
    <definedName name="IQ_OTHER_CURRENT_ASSETS">"c1403"</definedName>
    <definedName name="IQ_OTHER_CURRENT_LIAB">"c1404"</definedName>
    <definedName name="IQ_OTHER_DEP">"c885"</definedName>
    <definedName name="IQ_OTHER_EARNING">"c1609"</definedName>
    <definedName name="IQ_OTHER_EQUITY">"c886"</definedName>
    <definedName name="IQ_OTHER_EQUITY_BNK">"c887"</definedName>
    <definedName name="IQ_OTHER_EQUITY_BR">"c888"</definedName>
    <definedName name="IQ_OTHER_EQUITY_FIN">"c889"</definedName>
    <definedName name="IQ_OTHER_EQUITY_INS">"c890"</definedName>
    <definedName name="IQ_OTHER_EQUITY_REIT">"c891"</definedName>
    <definedName name="IQ_OTHER_EQUITY_UTI">"c892"</definedName>
    <definedName name="IQ_OTHER_FINANCE_ACT">"c893"</definedName>
    <definedName name="IQ_OTHER_FINANCE_ACT_BNK">"c894"</definedName>
    <definedName name="IQ_OTHER_FINANCE_ACT_BR">"c895"</definedName>
    <definedName name="IQ_OTHER_FINANCE_ACT_FIN">"c896"</definedName>
    <definedName name="IQ_OTHER_FINANCE_ACT_INS">"c897"</definedName>
    <definedName name="IQ_OTHER_FINANCE_ACT_REIT">"c898"</definedName>
    <definedName name="IQ_OTHER_FINANCE_ACT_SUPPL">"c899"</definedName>
    <definedName name="IQ_OTHER_FINANCE_ACT_SUPPL_BNK">"c900"</definedName>
    <definedName name="IQ_OTHER_FINANCE_ACT_SUPPL_BR">"c901"</definedName>
    <definedName name="IQ_OTHER_FINANCE_ACT_SUPPL_FIN">"c902"</definedName>
    <definedName name="IQ_OTHER_FINANCE_ACT_SUPPL_INS">"c903"</definedName>
    <definedName name="IQ_OTHER_FINANCE_ACT_SUPPL_REIT">"c904"</definedName>
    <definedName name="IQ_OTHER_FINANCE_ACT_SUPPL_UTI">"c905"</definedName>
    <definedName name="IQ_OTHER_FINANCE_ACT_UTI">"c906"</definedName>
    <definedName name="IQ_OTHER_INTAN">"c907"</definedName>
    <definedName name="IQ_OTHER_INTAN_BNK">"c908"</definedName>
    <definedName name="IQ_OTHER_INTAN_BR">"c909"</definedName>
    <definedName name="IQ_OTHER_INTAN_FIN">"c910"</definedName>
    <definedName name="IQ_OTHER_INTAN_INS">"c911"</definedName>
    <definedName name="IQ_OTHER_INTAN_REIT">"c912"</definedName>
    <definedName name="IQ_OTHER_INTAN_UTI">"c913"</definedName>
    <definedName name="IQ_OTHER_INV">"c914"</definedName>
    <definedName name="IQ_OTHER_INVEST">"c915"</definedName>
    <definedName name="IQ_OTHER_INVEST_ACT">"c916"</definedName>
    <definedName name="IQ_OTHER_INVEST_ACT_BNK">"c917"</definedName>
    <definedName name="IQ_OTHER_INVEST_ACT_BR">"c918"</definedName>
    <definedName name="IQ_OTHER_INVEST_ACT_FIN">"c919"</definedName>
    <definedName name="IQ_OTHER_INVEST_ACT_INS">"c920"</definedName>
    <definedName name="IQ_OTHER_INVEST_ACT_REIT">"c921"</definedName>
    <definedName name="IQ_OTHER_INVEST_ACT_SUPPL">"c922"</definedName>
    <definedName name="IQ_OTHER_INVEST_ACT_SUPPL_BNK">"c923"</definedName>
    <definedName name="IQ_OTHER_INVEST_ACT_SUPPL_BR">"c924"</definedName>
    <definedName name="IQ_OTHER_INVEST_ACT_SUPPL_FIN">"c925"</definedName>
    <definedName name="IQ_OTHER_INVEST_ACT_SUPPL_INS">"c926"</definedName>
    <definedName name="IQ_OTHER_INVEST_ACT_SUPPL_REIT">"c927"</definedName>
    <definedName name="IQ_OTHER_INVEST_ACT_SUPPL_UTI">"c928"</definedName>
    <definedName name="IQ_OTHER_INVEST_ACT_UTI">"c929"</definedName>
    <definedName name="IQ_OTHER_INVESTING">"c1408"</definedName>
    <definedName name="IQ_OTHER_LIAB">"c930"</definedName>
    <definedName name="IQ_OTHER_LIAB_BNK">"c931"</definedName>
    <definedName name="IQ_OTHER_LIAB_BR">"c932"</definedName>
    <definedName name="IQ_OTHER_LIAB_FIN">"c933"</definedName>
    <definedName name="IQ_OTHER_LIAB_INS">"c934"</definedName>
    <definedName name="IQ_OTHER_LIAB_LT">"c935"</definedName>
    <definedName name="IQ_OTHER_LIAB_LT_BNK">"c936"</definedName>
    <definedName name="IQ_OTHER_LIAB_LT_BR">"c937"</definedName>
    <definedName name="IQ_OTHER_LIAB_LT_FIN">"c938"</definedName>
    <definedName name="IQ_OTHER_LIAB_LT_INS">"c939"</definedName>
    <definedName name="IQ_OTHER_LIAB_LT_REIT">"c940"</definedName>
    <definedName name="IQ_OTHER_LIAB_LT_UTI">"c941"</definedName>
    <definedName name="IQ_OTHER_LIAB_REIT">"c942"</definedName>
    <definedName name="IQ_OTHER_LIAB_UTI">"c943"</definedName>
    <definedName name="IQ_OTHER_LIAB_WRITTEN">"c944"</definedName>
    <definedName name="IQ_OTHER_LOANS">"c945"</definedName>
    <definedName name="IQ_OTHER_LONG_TERM">"c1409"</definedName>
    <definedName name="IQ_OTHER_LT_ASSETS">"c946"</definedName>
    <definedName name="IQ_OTHER_LT_ASSETS_BNK">"c947"</definedName>
    <definedName name="IQ_OTHER_LT_ASSETS_BR">"c948"</definedName>
    <definedName name="IQ_OTHER_LT_ASSETS_FIN">"c949"</definedName>
    <definedName name="IQ_OTHER_LT_ASSETS_INS">"c950"</definedName>
    <definedName name="IQ_OTHER_LT_ASSETS_REIT">"c951"</definedName>
    <definedName name="IQ_OTHER_LT_ASSETS_UTI">"c952"</definedName>
    <definedName name="IQ_OTHER_NET">"c1453"</definedName>
    <definedName name="IQ_OTHER_NON_INT_EXP">"c953"</definedName>
    <definedName name="IQ_OTHER_NON_INT_EXP_TOTAL">"c954"</definedName>
    <definedName name="IQ_OTHER_NON_INT_INC">"c955"</definedName>
    <definedName name="IQ_OTHER_NON_OPER_EXP">"c956"</definedName>
    <definedName name="IQ_OTHER_NON_OPER_EXP_BR">"c957"</definedName>
    <definedName name="IQ_OTHER_NON_OPER_EXP_FIN">"c958"</definedName>
    <definedName name="IQ_OTHER_NON_OPER_EXP_INS">"c959"</definedName>
    <definedName name="IQ_OTHER_NON_OPER_EXP_REIT">"c960"</definedName>
    <definedName name="IQ_OTHER_NON_OPER_EXP_SUPPL">"c961"</definedName>
    <definedName name="IQ_OTHER_NON_OPER_EXP_SUPPL_BR">"c962"</definedName>
    <definedName name="IQ_OTHER_NON_OPER_EXP_SUPPL_FIN">"c963"</definedName>
    <definedName name="IQ_OTHER_NON_OPER_EXP_SUPPL_INS">"c964"</definedName>
    <definedName name="IQ_OTHER_NON_OPER_EXP_SUPPL_REIT">"c965"</definedName>
    <definedName name="IQ_OTHER_NON_OPER_EXP_SUPPL_UTI">"c966"</definedName>
    <definedName name="IQ_OTHER_NON_OPER_EXP_UTI">"c967"</definedName>
    <definedName name="IQ_OTHER_OPER">"c982"</definedName>
    <definedName name="IQ_OTHER_OPER_ACT">"c983"</definedName>
    <definedName name="IQ_OTHER_OPER_ACT_BNK">"c984"</definedName>
    <definedName name="IQ_OTHER_OPER_ACT_BR">"c985"</definedName>
    <definedName name="IQ_OTHER_OPER_ACT_FIN">"c986"</definedName>
    <definedName name="IQ_OTHER_OPER_ACT_INS">"c987"</definedName>
    <definedName name="IQ_OTHER_OPER_ACT_REIT">"c988"</definedName>
    <definedName name="IQ_OTHER_OPER_ACT_UTI">"c989"</definedName>
    <definedName name="IQ_OTHER_OPER_BR">"c990"</definedName>
    <definedName name="IQ_OTHER_OPER_FIN">"c991"</definedName>
    <definedName name="IQ_OTHER_OPER_INS">"c992"</definedName>
    <definedName name="IQ_OTHER_OPER_REIT">"c993"</definedName>
    <definedName name="IQ_OTHER_OPER_SUPPL_BR">"c994"</definedName>
    <definedName name="IQ_OTHER_OPER_SUPPL_FIN">"c995"</definedName>
    <definedName name="IQ_OTHER_OPER_SUPPL_INS">"c996"</definedName>
    <definedName name="IQ_OTHER_OPER_SUPPL_REIT">"c997"</definedName>
    <definedName name="IQ_OTHER_OPER_SUPPL_UTI">"c998"</definedName>
    <definedName name="IQ_OTHER_OPER_TOT_BNK">"c999"</definedName>
    <definedName name="IQ_OTHER_OPER_TOT_BR">"c1000"</definedName>
    <definedName name="IQ_OTHER_OPER_TOT_FIN">"c1001"</definedName>
    <definedName name="IQ_OTHER_OPER_TOT_INS">"c1002"</definedName>
    <definedName name="IQ_OTHER_OPER_TOT_REIT">"c1003"</definedName>
    <definedName name="IQ_OTHER_OPER_TOT_UTI">"c1004"</definedName>
    <definedName name="IQ_OTHER_OPER_UTI">"c1005"</definedName>
    <definedName name="IQ_OTHER_OUTSTANDING_BS_DATE">"c1972"</definedName>
    <definedName name="IQ_OTHER_OUTSTANDING_FILING_DATE">"c1974"</definedName>
    <definedName name="IQ_OTHER_PC_WRITTEN">"c1006"</definedName>
    <definedName name="IQ_OTHER_REAL_ESTATE">"c1007"</definedName>
    <definedName name="IQ_OTHER_RECEIV">"c1008"</definedName>
    <definedName name="IQ_OTHER_RECEIV_INS">"c1009"</definedName>
    <definedName name="IQ_OTHER_REV">"c1010"</definedName>
    <definedName name="IQ_OTHER_REV_BR">"c1011"</definedName>
    <definedName name="IQ_OTHER_REV_FIN">"c1012"</definedName>
    <definedName name="IQ_OTHER_REV_INS">"c1013"</definedName>
    <definedName name="IQ_OTHER_REV_REIT">"c1014"</definedName>
    <definedName name="IQ_OTHER_REV_SUPPL">"c1015"</definedName>
    <definedName name="IQ_OTHER_REV_SUPPL_BR">"c1016"</definedName>
    <definedName name="IQ_OTHER_REV_SUPPL_FIN">"c1017"</definedName>
    <definedName name="IQ_OTHER_REV_SUPPL_INS">"c1018"</definedName>
    <definedName name="IQ_OTHER_REV_SUPPL_REIT">"c1019"</definedName>
    <definedName name="IQ_OTHER_REV_SUPPL_UTI">"c1020"</definedName>
    <definedName name="IQ_OTHER_REV_UTI">"c1021"</definedName>
    <definedName name="IQ_OTHER_REVENUE">"c1410"</definedName>
    <definedName name="IQ_OTHER_UNUSUAL">"c1488"</definedName>
    <definedName name="IQ_OTHER_UNUSUAL_BNK">"c1560"</definedName>
    <definedName name="IQ_OTHER_UNUSUAL_BR">"c1561"</definedName>
    <definedName name="IQ_OTHER_UNUSUAL_FIN">"c1562"</definedName>
    <definedName name="IQ_OTHER_UNUSUAL_INS">"c1563"</definedName>
    <definedName name="IQ_OTHER_UNUSUAL_REIT">"c1564"</definedName>
    <definedName name="IQ_OTHER_UNUSUAL_SUPPL">"c1494"</definedName>
    <definedName name="IQ_OTHER_UNUSUAL_SUPPL_BNK">"c1495"</definedName>
    <definedName name="IQ_OTHER_UNUSUAL_SUPPL_BR">"c1496"</definedName>
    <definedName name="IQ_OTHER_UNUSUAL_SUPPL_FIN">"c1497"</definedName>
    <definedName name="IQ_OTHER_UNUSUAL_SUPPL_INS">"c1498"</definedName>
    <definedName name="IQ_OTHER_UNUSUAL_SUPPL_REIT">"c1499"</definedName>
    <definedName name="IQ_OTHER_UNUSUAL_SUPPL_UTI">"c1500"</definedName>
    <definedName name="IQ_OTHER_UNUSUAL_UTI">"c1565"</definedName>
    <definedName name="IQ_OUTSTANDING_BS_DATE">"c2128"</definedName>
    <definedName name="IQ_OUTSTANDING_FILING_DATE">"c2127"</definedName>
    <definedName name="IQ_PART_TIME">"c1024"</definedName>
    <definedName name="IQ_PAY_ACCRUED">"c1457"</definedName>
    <definedName name="IQ_PAYOUT_RATIO">"c1900"</definedName>
    <definedName name="IQ_PBV">"c1025"</definedName>
    <definedName name="IQ_PBV_AVG">"c1026"</definedName>
    <definedName name="IQ_PC_WRITTEN">"c1027"</definedName>
    <definedName name="IQ_PE_EXCL">"c1028"</definedName>
    <definedName name="IQ_PE_EXCL_AVG">"c1029"</definedName>
    <definedName name="IQ_PE_EXCL_FWD">"c1030"</definedName>
    <definedName name="IQ_PE_RATIO">"c1610"</definedName>
    <definedName name="IQ_PENSION">"c1031"</definedName>
    <definedName name="IQ_PERIODDATE">"c1414"</definedName>
    <definedName name="IQ_PERIODDATE_BS">"c1032"</definedName>
    <definedName name="IQ_PERIODDATE_CF">"c1033"</definedName>
    <definedName name="IQ_PERIODDATE_IS">"c1034"</definedName>
    <definedName name="IQ_PERIODLENGTH_CF">"c1502"</definedName>
    <definedName name="IQ_PERIODLENGTH_IS">"c1503"</definedName>
    <definedName name="IQ_PERTYPE">"c1611"</definedName>
    <definedName name="IQ_PLL">"c2114"</definedName>
    <definedName name="IQ_POLICY_BENEFITS">"c1036"</definedName>
    <definedName name="IQ_POLICY_COST">"c1037"</definedName>
    <definedName name="IQ_POLICY_LIAB">"c1612"</definedName>
    <definedName name="IQ_POLICY_LOANS">"c1038"</definedName>
    <definedName name="IQ_POST_RETIRE_EXP">"c1039"</definedName>
    <definedName name="IQ_POSTPAID_CHURN">"c2121"</definedName>
    <definedName name="IQ_POSTPAID_SUBS">"c2118"</definedName>
    <definedName name="IQ_PRE_OPEN_COST">"c1040"</definedName>
    <definedName name="IQ_PREF_CONVERT">"c1041"</definedName>
    <definedName name="IQ_PREF_DIV_CF">"c1042"</definedName>
    <definedName name="IQ_PREF_DIV_OTHER">"c1043"</definedName>
    <definedName name="IQ_PREF_DIVID">"c1461"</definedName>
    <definedName name="IQ_PREF_EQUITY">"c1044"</definedName>
    <definedName name="IQ_PREF_ISSUED">"c1045"</definedName>
    <definedName name="IQ_PREF_ISSUED_BNK">"c1046"</definedName>
    <definedName name="IQ_PREF_ISSUED_BR">"c1047"</definedName>
    <definedName name="IQ_PREF_ISSUED_FIN">"c1048"</definedName>
    <definedName name="IQ_PREF_ISSUED_INS">"c1049"</definedName>
    <definedName name="IQ_PREF_ISSUED_REIT">"c1050"</definedName>
    <definedName name="IQ_PREF_ISSUED_UTI">"c1051"</definedName>
    <definedName name="IQ_PREF_NON_REDEEM">"c1052"</definedName>
    <definedName name="IQ_PREF_OTHER">"c1053"</definedName>
    <definedName name="IQ_PREF_OTHER_BNK">"c1054"</definedName>
    <definedName name="IQ_PREF_OTHER_BR">"c1055"</definedName>
    <definedName name="IQ_PREF_OTHER_FIN">"c1056"</definedName>
    <definedName name="IQ_PREF_OTHER_INS">"c1057"</definedName>
    <definedName name="IQ_PREF_OTHER_REIT">"c1058"</definedName>
    <definedName name="IQ_PREF_REDEEM">"c1059"</definedName>
    <definedName name="IQ_PREF_REP">"c1060"</definedName>
    <definedName name="IQ_PREF_REP_BNK">"c1061"</definedName>
    <definedName name="IQ_PREF_REP_BR">"c1062"</definedName>
    <definedName name="IQ_PREF_REP_FIN">"c1063"</definedName>
    <definedName name="IQ_PREF_REP_INS">"c1064"</definedName>
    <definedName name="IQ_PREF_REP_REIT">"c1065"</definedName>
    <definedName name="IQ_PREF_REP_UTI">"c1066"</definedName>
    <definedName name="IQ_PREF_STOCK">"c1416"</definedName>
    <definedName name="IQ_PREF_TOT">"c1415"</definedName>
    <definedName name="IQ_PREMIUMS_ANNUITY_REV">"c1067"</definedName>
    <definedName name="IQ_PREPAID_CHURN">"c2120"</definedName>
    <definedName name="IQ_PREPAID_EXP">"c1068"</definedName>
    <definedName name="IQ_PREPAID_EXPEN">"c1418"</definedName>
    <definedName name="IQ_PREPAID_SUBS">"c2117"</definedName>
    <definedName name="IQ_PRICE_OVER_BVPS">"c1412"</definedName>
    <definedName name="IQ_PRICE_OVER_LTM_EPS">"c1413"</definedName>
    <definedName name="IQ_PRICE_TARGET">"c82"</definedName>
    <definedName name="IQ_PRICEDATE">"c1069"</definedName>
    <definedName name="IQ_PRICING_DATE">"c1613"</definedName>
    <definedName name="IQ_PRIMARY_INDUSTRY">"c1070"</definedName>
    <definedName name="IQ_PRO_FORMA_BASIC_EPS">"c1614"</definedName>
    <definedName name="IQ_PRO_FORMA_DILUT_EPS">"c1615"</definedName>
    <definedName name="IQ_PRO_FORMA_NET_INC">"c1452"</definedName>
    <definedName name="IQ_PROFESSIONAL">"c1071"</definedName>
    <definedName name="IQ_PROFESSIONAL_TITLE">"c1072"</definedName>
    <definedName name="IQ_PROPERTY_EXP">"c1073"</definedName>
    <definedName name="IQ_PROPERTY_GROSS">"c1379"</definedName>
    <definedName name="IQ_PROPERTY_MGMT_FEE">"c1074"</definedName>
    <definedName name="IQ_PROPERTY_NET">"c1402"</definedName>
    <definedName name="IQ_PROV_BAD_DEBTS">"c1075"</definedName>
    <definedName name="IQ_PROV_BAD_DEBTS_CF">"c1076"</definedName>
    <definedName name="IQ_PROVISION_10YR_ANN_GROWTH">"c1077"</definedName>
    <definedName name="IQ_PROVISION_1YR_ANN_GROWTH">"c1078"</definedName>
    <definedName name="IQ_PROVISION_2YR_ANN_GROWTH">"c1079"</definedName>
    <definedName name="IQ_PROVISION_3YR_ANN_GROWTH">"c1080"</definedName>
    <definedName name="IQ_PROVISION_5YR_ANN_GROWTH">"c1081"</definedName>
    <definedName name="IQ_PROVISION_7YR_ANN_GROWTH">"c1082"</definedName>
    <definedName name="IQ_PROVISION_CHARGE_OFFS">"c1083"</definedName>
    <definedName name="IQ_PTBV">"c1084"</definedName>
    <definedName name="IQ_PTBV_AVG">"c1085"</definedName>
    <definedName name="IQ_QTD" hidden="1">750000</definedName>
    <definedName name="IQ_QUICK_RATIO">"c1086"</definedName>
    <definedName name="IQ_RATE_COMP_GROWTH_DOMESTIC">"c1087"</definedName>
    <definedName name="IQ_RATE_COMP_GROWTH_FOREIGN">"c1088"</definedName>
    <definedName name="IQ_RAW_INV">"c1089"</definedName>
    <definedName name="IQ_RD_EXP">"c1090"</definedName>
    <definedName name="IQ_RD_EXP_FN">"c1091"</definedName>
    <definedName name="IQ_RE">"c1092"</definedName>
    <definedName name="IQ_REAL_ESTATE">"c1093"</definedName>
    <definedName name="IQ_REAL_ESTATE_ASSETS">"c1094"</definedName>
    <definedName name="IQ_REDEEM_PREF_STOCK">"c1417"</definedName>
    <definedName name="IQ_REG_ASSETS">"c1095"</definedName>
    <definedName name="IQ_REINSUR_PAY">"c1096"</definedName>
    <definedName name="IQ_REINSUR_PAY_CF">"c1097"</definedName>
    <definedName name="IQ_REINSUR_RECOVER">"c1098"</definedName>
    <definedName name="IQ_REINSUR_RECOVER_CF">"c1099"</definedName>
    <definedName name="IQ_REINSURANCE">"c1100"</definedName>
    <definedName name="IQ_RENTAL_REV">"c1101"</definedName>
    <definedName name="IQ_RESEARCH_DEV">"c1419"</definedName>
    <definedName name="IQ_RESIDENTIAL_LOANS">"c1102"</definedName>
    <definedName name="IQ_RESTATEMENT_BS">"c1643"</definedName>
    <definedName name="IQ_RESTATEMENT_CF">"c1644"</definedName>
    <definedName name="IQ_RESTATEMENT_IS">"c1642"</definedName>
    <definedName name="IQ_RESTRICTED_CASH">"c1103"</definedName>
    <definedName name="IQ_RESTRUCTURE">"c1104"</definedName>
    <definedName name="IQ_RESTRUCTURE_BNK">"c1105"</definedName>
    <definedName name="IQ_RESTRUCTURE_BR">"c1106"</definedName>
    <definedName name="IQ_RESTRUCTURE_CF">"c1107"</definedName>
    <definedName name="IQ_RESTRUCTURE_FIN">"c1108"</definedName>
    <definedName name="IQ_RESTRUCTURE_INS">"c1109"</definedName>
    <definedName name="IQ_RESTRUCTURE_REIT">"c1110"</definedName>
    <definedName name="IQ_RESTRUCTURE_UTI">"c1111"</definedName>
    <definedName name="IQ_RESTRUCTURED_LOANS">"c1112"</definedName>
    <definedName name="IQ_RETAIL_AVG_STORE_SIZE_GROSS">"c2066"</definedName>
    <definedName name="IQ_RETAIL_AVG_STORE_SIZE_NET">"c2067"</definedName>
    <definedName name="IQ_RETAIL_CLOSED_STORES">"c2063"</definedName>
    <definedName name="IQ_RETAIL_OPENED_STORES">"c2062"</definedName>
    <definedName name="IQ_RETAIL_SALES_SQFT_ALL_GROSS">"c2138"</definedName>
    <definedName name="IQ_RETAIL_SALES_SQFT_ALL_NET">"c2139"</definedName>
    <definedName name="IQ_RETAIL_SALES_SQFT_COMPARABLE_GROSS">"c2136"</definedName>
    <definedName name="IQ_RETAIL_SALES_SQFT_COMPARABLE_NET">"c2137"</definedName>
    <definedName name="IQ_RETAIL_SALES_SQFT_OWNED_GROSS">"c2134"</definedName>
    <definedName name="IQ_RETAIL_SALES_SQFT_OWNED_NET">"c2135"</definedName>
    <definedName name="IQ_RETAIL_SQ_FOOTAGE">"c2064"</definedName>
    <definedName name="IQ_RETAIL_STORE_SELLING_AREA">"c2065"</definedName>
    <definedName name="IQ_RETAIL_TOTAL_STORES">"c2061"</definedName>
    <definedName name="IQ_RETAINED_EARN">"c1420"</definedName>
    <definedName name="IQ_RETURN_ASSETS">"c1113"</definedName>
    <definedName name="IQ_RETURN_ASSETS_BANK">"c1114"</definedName>
    <definedName name="IQ_RETURN_ASSETS_BROK">"c1115"</definedName>
    <definedName name="IQ_RETURN_ASSETS_FS">"c1116"</definedName>
    <definedName name="IQ_RETURN_CAPITAL">"c1117"</definedName>
    <definedName name="IQ_RETURN_EQUITY">"c1118"</definedName>
    <definedName name="IQ_RETURN_EQUITY_BANK">"c1119"</definedName>
    <definedName name="IQ_RETURN_EQUITY_BROK">"c1120"</definedName>
    <definedName name="IQ_RETURN_EQUITY_FS">"c1121"</definedName>
    <definedName name="IQ_RETURN_INVESTMENT">"c1421"</definedName>
    <definedName name="IQ_REV">"c1122"</definedName>
    <definedName name="IQ_REV_BEFORE_LL">"c1123"</definedName>
    <definedName name="IQ_REV_UTI">"c1125"</definedName>
    <definedName name="IQ_REVENUE">"c1422"</definedName>
    <definedName name="IQ_SALARY">"c1130"</definedName>
    <definedName name="IQ_SALE_INTAN_CF">"c1131"</definedName>
    <definedName name="IQ_SALE_INTAN_CF_BNK">"c1132"</definedName>
    <definedName name="IQ_SALE_INTAN_CF_BR">"c1133"</definedName>
    <definedName name="IQ_SALE_INTAN_CF_FIN">"c1134"</definedName>
    <definedName name="IQ_SALE_INTAN_CF_INS">"c1135"</definedName>
    <definedName name="IQ_SALE_INTAN_CF_REIT">"c1627"</definedName>
    <definedName name="IQ_SALE_INTAN_CF_UTI">"c1136"</definedName>
    <definedName name="IQ_SALE_PPE_CF">"c1137"</definedName>
    <definedName name="IQ_SALE_PPE_CF_BNK">"c1138"</definedName>
    <definedName name="IQ_SALE_PPE_CF_BR">"c1139"</definedName>
    <definedName name="IQ_SALE_PPE_CF_FIN">"c1140"</definedName>
    <definedName name="IQ_SALE_PPE_CF_INS">"c1141"</definedName>
    <definedName name="IQ_SALE_PPE_CF_UTI">"c1142"</definedName>
    <definedName name="IQ_SALE_RE_ASSETS">"c1629"</definedName>
    <definedName name="IQ_SALE_REAL_ESTATE_CF">"c1143"</definedName>
    <definedName name="IQ_SALE_REAL_ESTATE_CF_BNK">"c1144"</definedName>
    <definedName name="IQ_SALE_REAL_ESTATE_CF_BR">"c1145"</definedName>
    <definedName name="IQ_SALE_REAL_ESTATE_CF_FIN">"c1146"</definedName>
    <definedName name="IQ_SALE_REAL_ESTATE_CF_INS">"c1147"</definedName>
    <definedName name="IQ_SALE_REAL_ESTATE_CF_UTI">"c1148"</definedName>
    <definedName name="IQ_SAME_STORE">"c1149"</definedName>
    <definedName name="IQ_SAVING_DEP">"c1150"</definedName>
    <definedName name="IQ_SECUR_RECEIV">"c1151"</definedName>
    <definedName name="IQ_SECURITY_BORROW">"c1152"</definedName>
    <definedName name="IQ_SECURITY_OWN">"c1153"</definedName>
    <definedName name="IQ_SECURITY_RESELL">"c1154"</definedName>
    <definedName name="IQ_SEPARATE_ACCT_ASSETS">"c1155"</definedName>
    <definedName name="IQ_SEPARATE_ACCT_LIAB">"c1156"</definedName>
    <definedName name="IQ_SERV_CHARGE_DEPOSITS">"c1157"</definedName>
    <definedName name="IQ_SGA">"c1158"</definedName>
    <definedName name="IQ_SGA_BNK">"c1159"</definedName>
    <definedName name="IQ_SGA_INS">"c1160"</definedName>
    <definedName name="IQ_SGA_MARGIN">"c1898"</definedName>
    <definedName name="IQ_SGA_REIT">"c1161"</definedName>
    <definedName name="IQ_SGA_SUPPL">"c1162"</definedName>
    <definedName name="IQ_SGA_UTI">"c1163"</definedName>
    <definedName name="IQ_SHAREOUTSTANDING">"c1347"</definedName>
    <definedName name="IQ_SHARESOUTSTANDING">"c1164"</definedName>
    <definedName name="IQ_SHORT_INTEREST">"c1165"</definedName>
    <definedName name="IQ_SHORT_INTEREST_OVER_FLOAT">"c1577"</definedName>
    <definedName name="IQ_SHORT_INTEREST_PERCENT">"c1576"</definedName>
    <definedName name="IQ_SHORT_TERM_INVEST">"c1425"</definedName>
    <definedName name="IQ_SMALL_INT_BEAR_CD">"c1166"</definedName>
    <definedName name="IQ_SOFTWARE">"c1167"</definedName>
    <definedName name="IQ_SOURCE">"c1168"</definedName>
    <definedName name="IQ_SPECIAL_DIV_CF">"c1169"</definedName>
    <definedName name="IQ_SPECIAL_DIV_CF_BNK">"c1170"</definedName>
    <definedName name="IQ_SPECIAL_DIV_CF_BR">"c1171"</definedName>
    <definedName name="IQ_SPECIAL_DIV_CF_FIN">"c1172"</definedName>
    <definedName name="IQ_SPECIAL_DIV_CF_INS">"c1173"</definedName>
    <definedName name="IQ_SPECIAL_DIV_CF_REIT">"c1174"</definedName>
    <definedName name="IQ_SPECIAL_DIV_CF_UTI">"c1175"</definedName>
    <definedName name="IQ_ST_DEBT">"c1176"</definedName>
    <definedName name="IQ_ST_DEBT_BNK">"c1177"</definedName>
    <definedName name="IQ_ST_DEBT_BR">"c1178"</definedName>
    <definedName name="IQ_ST_DEBT_FIN">"c1179"</definedName>
    <definedName name="IQ_ST_DEBT_INS">"c1180"</definedName>
    <definedName name="IQ_ST_DEBT_ISSUED">"c1181"</definedName>
    <definedName name="IQ_ST_DEBT_ISSUED_BNK">"c1182"</definedName>
    <definedName name="IQ_ST_DEBT_ISSUED_BR">"c1183"</definedName>
    <definedName name="IQ_ST_DEBT_ISSUED_FIN">"c1184"</definedName>
    <definedName name="IQ_ST_DEBT_ISSUED_INS">"c1185"</definedName>
    <definedName name="IQ_ST_DEBT_ISSUED_REIT">"c1186"</definedName>
    <definedName name="IQ_ST_DEBT_ISSUED_UTI">"c1187"</definedName>
    <definedName name="IQ_ST_DEBT_REIT">"c1188"</definedName>
    <definedName name="IQ_ST_DEBT_REPAID">"c1189"</definedName>
    <definedName name="IQ_ST_DEBT_REPAID_BNK">"c1190"</definedName>
    <definedName name="IQ_ST_DEBT_REPAID_BR">"c1191"</definedName>
    <definedName name="IQ_ST_DEBT_REPAID_FIN">"c1192"</definedName>
    <definedName name="IQ_ST_DEBT_REPAID_INS">"c1193"</definedName>
    <definedName name="IQ_ST_DEBT_REPAID_REIT">"c1194"</definedName>
    <definedName name="IQ_ST_DEBT_REPAID_UTI">"c1195"</definedName>
    <definedName name="IQ_ST_DEBT_UTI">"c1196"</definedName>
    <definedName name="IQ_ST_INVEST">"c1197"</definedName>
    <definedName name="IQ_ST_INVEST_UTI">"c1198"</definedName>
    <definedName name="IQ_ST_NOTE_RECEIV">"c1199"</definedName>
    <definedName name="IQ_STATE">"c1200"</definedName>
    <definedName name="IQ_STATUTORY_SURPLUS">"c1201"</definedName>
    <definedName name="IQ_STOCK_BASED">"c1202"</definedName>
    <definedName name="IQ_STOCK_BASED_CF">"c1203"</definedName>
    <definedName name="IQ_STRIKE_PRICE_ISSUED">"c1645"</definedName>
    <definedName name="IQ_STRIKE_PRICE_OS">"c1646"</definedName>
    <definedName name="IQ_SUB_LEASE_AFTER_FIVE">"c1207"</definedName>
    <definedName name="IQ_SUB_LEASE_INC_CY">"c1208"</definedName>
    <definedName name="IQ_SUB_LEASE_INC_CY1">"c1209"</definedName>
    <definedName name="IQ_SUB_LEASE_INC_CY2">"c1210"</definedName>
    <definedName name="IQ_SUB_LEASE_INC_CY3">"c1211"</definedName>
    <definedName name="IQ_SUB_LEASE_INC_CY4">"c1212"</definedName>
    <definedName name="IQ_SUB_LEASE_NEXT_FIVE">"c1213"</definedName>
    <definedName name="IQ_SVA">"c1214"</definedName>
    <definedName name="IQ_TAX_BENEFIT_OPTIONS">"c1215"</definedName>
    <definedName name="IQ_TAX_EQUIV_NET_INT_INC">"c1216"</definedName>
    <definedName name="IQ_TBV">"c1906"</definedName>
    <definedName name="IQ_TBV_10YR_ANN_GROWTH">"c1936"</definedName>
    <definedName name="IQ_TBV_1YR_ANN_GROWTH">"c1931"</definedName>
    <definedName name="IQ_TBV_2YR_ANN_GROWTH">"c1932"</definedName>
    <definedName name="IQ_TBV_3YR_ANN_GROWTH">"c1933"</definedName>
    <definedName name="IQ_TBV_5YR_ANN_GROWTH">"c1934"</definedName>
    <definedName name="IQ_TBV_7YR_ANN_GROWTH">"c1935"</definedName>
    <definedName name="IQ_TBV_SHARE">"c1217"</definedName>
    <definedName name="IQ_TEMPLATE">"c1521"</definedName>
    <definedName name="IQ_TENANT">"c1218"</definedName>
    <definedName name="IQ_TEV">"c1219"</definedName>
    <definedName name="IQ_TEV_EBIT">"c1220"</definedName>
    <definedName name="IQ_TEV_EBIT_AVG">"c1221"</definedName>
    <definedName name="IQ_TEV_EBITDA">"c1222"</definedName>
    <definedName name="IQ_TEV_EBITDA_AVG">"c1223"</definedName>
    <definedName name="IQ_TEV_EMPLOYEE_AVG">"c1225"</definedName>
    <definedName name="IQ_TEV_TOTAL_REV">"c1226"</definedName>
    <definedName name="IQ_TEV_TOTAL_REV_AVG">"c1227"</definedName>
    <definedName name="IQ_TIER_ONE_RATIO">"c1229"</definedName>
    <definedName name="IQ_TIME_DEP">"c1230"</definedName>
    <definedName name="IQ_TODAY" hidden="1">0</definedName>
    <definedName name="IQ_TOT_ADJ_INC">"c1616"</definedName>
    <definedName name="IQ_TOTAL_AR_BR">"c1231"</definedName>
    <definedName name="IQ_TOTAL_AR_REIT">"c1232"</definedName>
    <definedName name="IQ_TOTAL_AR_UTI">"c1233"</definedName>
    <definedName name="IQ_TOTAL_ASSETS">"c1234"</definedName>
    <definedName name="IQ_TOTAL_ASSETS_10YR_ANN_GROWTH">"c1235"</definedName>
    <definedName name="IQ_TOTAL_ASSETS_1YR_ANN_GROWTH">"c1236"</definedName>
    <definedName name="IQ_TOTAL_ASSETS_2YR_ANN_GROWTH">"c1237"</definedName>
    <definedName name="IQ_TOTAL_ASSETS_3YR_ANN_GROWTH">"c1238"</definedName>
    <definedName name="IQ_TOTAL_ASSETS_5YR_ANN_GROWTH">"c1239"</definedName>
    <definedName name="IQ_TOTAL_ASSETS_7YR_ANN_GROWTH">"c1240"</definedName>
    <definedName name="IQ_TOTAL_AVG_CE_TOTAL_AVG_ASSETS">"c1241"</definedName>
    <definedName name="IQ_TOTAL_AVG_EQUITY_TOTAL_AVG_ASSETS">"c1242"</definedName>
    <definedName name="IQ_TOTAL_CA">"c1243"</definedName>
    <definedName name="IQ_TOTAL_CAP">"c1507"</definedName>
    <definedName name="IQ_TOTAL_CAPITAL_RATIO">"c1244"</definedName>
    <definedName name="IQ_TOTAL_CASH_DIVID">"c1455"</definedName>
    <definedName name="IQ_TOTAL_CASH_FINAN">"c1352"</definedName>
    <definedName name="IQ_TOTAL_CASH_INVEST">"c1353"</definedName>
    <definedName name="IQ_TOTAL_CASH_OPER">"c1354"</definedName>
    <definedName name="IQ_TOTAL_CHURN">"c2122"</definedName>
    <definedName name="IQ_TOTAL_CL">"c1245"</definedName>
    <definedName name="IQ_TOTAL_COMMON">"c1411"</definedName>
    <definedName name="IQ_TOTAL_COMMON_EQUITY">"c1246"</definedName>
    <definedName name="IQ_TOTAL_CURRENT_ASSETS">"c1430"</definedName>
    <definedName name="IQ_TOTAL_CURRENT_LIAB">"c1431"</definedName>
    <definedName name="IQ_TOTAL_DEBT">"c1247"</definedName>
    <definedName name="IQ_TOTAL_DEBT_CAPITAL">"c1248"</definedName>
    <definedName name="IQ_TOTAL_DEBT_EBITDA">"c1249"</definedName>
    <definedName name="IQ_TOTAL_DEBT_EQUITY">"c1250"</definedName>
    <definedName name="IQ_TOTAL_DEBT_ISSUED">"c1251"</definedName>
    <definedName name="IQ_TOTAL_DEBT_ISSUED_BNK">"c1252"</definedName>
    <definedName name="IQ_TOTAL_DEBT_ISSUED_BR">"c1253"</definedName>
    <definedName name="IQ_TOTAL_DEBT_ISSUED_FIN">"c1254"</definedName>
    <definedName name="IQ_TOTAL_DEBT_ISSUED_REIT">"c1255"</definedName>
    <definedName name="IQ_TOTAL_DEBT_ISSUED_UTI">"c1256"</definedName>
    <definedName name="IQ_TOTAL_DEBT_ISSUES_INS">"c1257"</definedName>
    <definedName name="IQ_TOTAL_DEBT_OVER_EBITDA">"c1433"</definedName>
    <definedName name="IQ_TOTAL_DEBT_OVER_TOTAL_BV">"c1434"</definedName>
    <definedName name="IQ_TOTAL_DEBT_OVER_TOTAL_CAP">"c1432"</definedName>
    <definedName name="IQ_TOTAL_DEBT_REPAID">"c1258"</definedName>
    <definedName name="IQ_TOTAL_DEBT_REPAID_BNK">"c1259"</definedName>
    <definedName name="IQ_TOTAL_DEBT_REPAID_BR">"c1260"</definedName>
    <definedName name="IQ_TOTAL_DEBT_REPAID_FIN">"c1261"</definedName>
    <definedName name="IQ_TOTAL_DEBT_REPAID_INS">"c1262"</definedName>
    <definedName name="IQ_TOTAL_DEBT_REPAID_REIT">"c1263"</definedName>
    <definedName name="IQ_TOTAL_DEBT_REPAID_UTI">"c1264"</definedName>
    <definedName name="IQ_TOTAL_DEPOSITS">"c1265"</definedName>
    <definedName name="IQ_TOTAL_DIV_PAID_CF">"c1266"</definedName>
    <definedName name="IQ_TOTAL_EMPLOYEES">"c1522"</definedName>
    <definedName name="IQ_TOTAL_EQUITY">"c1267"</definedName>
    <definedName name="IQ_TOTAL_EQUITY_10YR_ANN_GROWTH">"c1268"</definedName>
    <definedName name="IQ_TOTAL_EQUITY_1YR_ANN_GROWTH">"c1269"</definedName>
    <definedName name="IQ_TOTAL_EQUITY_2YR_ANN_GROWTH">"c1270"</definedName>
    <definedName name="IQ_TOTAL_EQUITY_3YR_ANN_GROWTH">"c1271"</definedName>
    <definedName name="IQ_TOTAL_EQUITY_5YR_ANN_GROWTH">"c1272"</definedName>
    <definedName name="IQ_TOTAL_EQUITY_7YR_ANN_GROWTH">"c1273"</definedName>
    <definedName name="IQ_TOTAL_EQUITY_ALLOWANCE_TOTAL_LOANS">"c1274"</definedName>
    <definedName name="IQ_TOTAL_INTEREST_EXP">"c1382"</definedName>
    <definedName name="IQ_TOTAL_INVENTORY">"c1385"</definedName>
    <definedName name="IQ_TOTAL_INVEST">"c1275"</definedName>
    <definedName name="IQ_TOTAL_LIAB">"c1276"</definedName>
    <definedName name="IQ_TOTAL_LIAB_BNK">"c1277"</definedName>
    <definedName name="IQ_TOTAL_LIAB_BR">"c1278"</definedName>
    <definedName name="IQ_TOTAL_LIAB_EQUITY">"c1279"</definedName>
    <definedName name="IQ_TOTAL_LIAB_FIN">"c1280"</definedName>
    <definedName name="IQ_TOTAL_LIAB_INS">"c1281"</definedName>
    <definedName name="IQ_TOTAL_LIAB_REIT">"c1282"</definedName>
    <definedName name="IQ_TOTAL_LIAB_SHAREHOLD">"c1435"</definedName>
    <definedName name="IQ_TOTAL_LIAB_TOTAL_ASSETS">"c1283"</definedName>
    <definedName name="IQ_TOTAL_LONG_DEBT">"c1617"</definedName>
    <definedName name="IQ_TOTAL_NON_REC">"c1444"</definedName>
    <definedName name="IQ_TOTAL_OPER_EXP_BR">"c1284"</definedName>
    <definedName name="IQ_TOTAL_OPER_EXP_FIN">"c1285"</definedName>
    <definedName name="IQ_TOTAL_OPER_EXP_INS">"c1286"</definedName>
    <definedName name="IQ_TOTAL_OPER_EXP_REIT">"c1287"</definedName>
    <definedName name="IQ_TOTAL_OPER_EXP_UTI">"c1288"</definedName>
    <definedName name="IQ_TOTAL_OPER_EXPEN">"c1445"</definedName>
    <definedName name="IQ_TOTAL_OTHER_OPER">"c1289"</definedName>
    <definedName name="IQ_TOTAL_OUTSTANDING_BS_DATE">"c1022"</definedName>
    <definedName name="IQ_TOTAL_OUTSTANDING_FILING_DATE">"c2107"</definedName>
    <definedName name="IQ_TOTAL_PENSION_ASSETS">"c1290"</definedName>
    <definedName name="IQ_TOTAL_PENSION_EXP">"c1291"</definedName>
    <definedName name="IQ_TOTAL_PENSION_OBLIGATION">"c1292"</definedName>
    <definedName name="IQ_TOTAL_PROVED_RESERVES_OIL">"c2040"</definedName>
    <definedName name="IQ_TOTAL_RECEIV">"c1293"</definedName>
    <definedName name="IQ_TOTAL_REV">"c1294"</definedName>
    <definedName name="IQ_TOTAL_REV_10YR_ANN_GROWTH">"c1295"</definedName>
    <definedName name="IQ_TOTAL_REV_1YR_ANN_GROWTH">"c1296"</definedName>
    <definedName name="IQ_TOTAL_REV_2YR_ANN_GROWTH">"c1297"</definedName>
    <definedName name="IQ_TOTAL_REV_3YR_ANN_GROWTH">"c1298"</definedName>
    <definedName name="IQ_TOTAL_REV_5YR_ANN_GROWTH">"c1299"</definedName>
    <definedName name="IQ_TOTAL_REV_7YR_ANN_GROWTH">"c1300"</definedName>
    <definedName name="IQ_TOTAL_REV_AS_REPORTED">"c1301"</definedName>
    <definedName name="IQ_TOTAL_REV_BNK">"c1302"</definedName>
    <definedName name="IQ_TOTAL_REV_BR">"c1303"</definedName>
    <definedName name="IQ_TOTAL_REV_EMPLOYEE">"c1304"</definedName>
    <definedName name="IQ_TOTAL_REV_FIN">"c1305"</definedName>
    <definedName name="IQ_TOTAL_REV_INS">"c1306"</definedName>
    <definedName name="IQ_TOTAL_REV_REIT">"c1307"</definedName>
    <definedName name="IQ_TOTAL_REV_SHARE">"c1912"</definedName>
    <definedName name="IQ_TOTAL_REV_UTI">"c1308"</definedName>
    <definedName name="IQ_TOTAL_REVENUE">"c1436"</definedName>
    <definedName name="IQ_TOTAL_SPECIAL">"c1618"</definedName>
    <definedName name="IQ_TOTAL_ST_BORROW">"c1424"</definedName>
    <definedName name="IQ_TOTAL_SUBS">"c2119"</definedName>
    <definedName name="IQ_TOTAL_UNUSUAL">"c1508"</definedName>
    <definedName name="IQ_TRADE_AR">"c1345"</definedName>
    <definedName name="IQ_TRADE_PRINCIPAL">"c1309"</definedName>
    <definedName name="IQ_TRADING_ASSETS">"c1310"</definedName>
    <definedName name="IQ_TREASURY">"c1311"</definedName>
    <definedName name="IQ_TREASURY_OTHER_EQUITY">"c1312"</definedName>
    <definedName name="IQ_TREASURY_OTHER_EQUITY_BNK">"c1313"</definedName>
    <definedName name="IQ_TREASURY_OTHER_EQUITY_BR">"c1314"</definedName>
    <definedName name="IQ_TREASURY_OTHER_EQUITY_FIN">"c1315"</definedName>
    <definedName name="IQ_TREASURY_OTHER_EQUITY_INS">"c1316"</definedName>
    <definedName name="IQ_TREASURY_OTHER_EQUITY_REIT">"c1317"</definedName>
    <definedName name="IQ_TREASURY_OTHER_EQUITY_UTI">"c1318"</definedName>
    <definedName name="IQ_TREASURY_STOCK">"c1438"</definedName>
    <definedName name="IQ_TRUST_INC">"c1319"</definedName>
    <definedName name="IQ_TRUST_PREF">"c1320"</definedName>
    <definedName name="IQ_UFCF_10YR_ANN_GROWTH">"c1948"</definedName>
    <definedName name="IQ_UFCF_1YR_ANN_GROWTH">"c1943"</definedName>
    <definedName name="IQ_UFCF_2YR_ANN_GROWTH">"c1944"</definedName>
    <definedName name="IQ_UFCF_3YR_ANN_GROWTH">"c1945"</definedName>
    <definedName name="IQ_UFCF_5YR_ANN_GROWTH">"c1946"</definedName>
    <definedName name="IQ_UFCF_7YR_ANN_GROWTH">"c1947"</definedName>
    <definedName name="IQ_UFCF_MARGIN">"c1962"</definedName>
    <definedName name="IQ_UNEARN_PREMIUM">"c1321"</definedName>
    <definedName name="IQ_UNEARN_REV_CURRENT">"c1322"</definedName>
    <definedName name="IQ_UNEARN_REV_CURRENT_BNK">"c1323"</definedName>
    <definedName name="IQ_UNEARN_REV_CURRENT_BR">"c1324"</definedName>
    <definedName name="IQ_UNEARN_REV_CURRENT_FIN">"c1325"</definedName>
    <definedName name="IQ_UNEARN_REV_CURRENT_INS">"c1326"</definedName>
    <definedName name="IQ_UNEARN_REV_CURRENT_REIT">"c1327"</definedName>
    <definedName name="IQ_UNEARN_REV_CURRENT_UTI">"c1328"</definedName>
    <definedName name="IQ_UNEARN_REV_LT">"c1329"</definedName>
    <definedName name="IQ_UNLEVERED_FCF">"c1908"</definedName>
    <definedName name="IQ_UNPAID_CLAIMS">"c1330"</definedName>
    <definedName name="IQ_UNREALIZED_GAIN">"c1619"</definedName>
    <definedName name="IQ_UNUSUAL_EXP">"c1456"</definedName>
    <definedName name="IQ_US_GAAP">"c1331"</definedName>
    <definedName name="IQ_UTIL_PPE_NET">"c1620"</definedName>
    <definedName name="IQ_UTIL_REV">"c2091"</definedName>
    <definedName name="IQ_UV_PENSION_LIAB">"c1332"</definedName>
    <definedName name="IQ_VALUE_TRADED_LAST_3MTH">"c1530"</definedName>
    <definedName name="IQ_VALUE_TRADED_LAST_6MTH">"c1531"</definedName>
    <definedName name="IQ_VALUE_TRADED_LAST_MTH">"c1529"</definedName>
    <definedName name="IQ_VALUE_TRADED_LAST_WK">"c1528"</definedName>
    <definedName name="IQ_VALUE_TRADED_LAST_YR">"c1532"</definedName>
    <definedName name="IQ_VOL_LAST_3MTH">"c1525"</definedName>
    <definedName name="IQ_VOL_LAST_6MTH">"c1526"</definedName>
    <definedName name="IQ_VOL_LAST_MTH">"c1524"</definedName>
    <definedName name="IQ_VOL_LAST_WK">"c1523"</definedName>
    <definedName name="IQ_VOL_LAST_YR">"c1527"</definedName>
    <definedName name="IQ_VOLUME">"c1333"</definedName>
    <definedName name="IQ_WEEK" hidden="1">50000</definedName>
    <definedName name="IQ_WEIGHTED_AVG_PRICE">"c1334"</definedName>
    <definedName name="IQ_WIP_INV">"c1335"</definedName>
    <definedName name="IQ_WORKMEN_WRITTEN">"c1336"</definedName>
    <definedName name="IQ_XDIV_DATE">"c2104"</definedName>
    <definedName name="IQ_YEARHIGH">"c1337"</definedName>
    <definedName name="IQ_YEARLOW">"c1338"</definedName>
    <definedName name="IQ_YTD" hidden="1">3000</definedName>
    <definedName name="IQ_YTDMONTH" hidden="1">130000</definedName>
    <definedName name="IQ_Z_SCORE">"c1339"</definedName>
    <definedName name="IsGroupWorkbook" hidden="1">TRUE</definedName>
    <definedName name="Jan" localSheetId="5">#REF!</definedName>
    <definedName name="Jan" localSheetId="4">#REF!</definedName>
    <definedName name="Jan">#REF!</definedName>
    <definedName name="jlkjl" localSheetId="14" hidden="1">{#N/A,#N/A,FALSE,"Aging Summary";#N/A,#N/A,FALSE,"Ratio Analysis";#N/A,#N/A,FALSE,"Test 120 Day Accts";#N/A,#N/A,FALSE,"Tickmarks"}</definedName>
    <definedName name="jlkjl" localSheetId="13" hidden="1">{#N/A,#N/A,FALSE,"Aging Summary";#N/A,#N/A,FALSE,"Ratio Analysis";#N/A,#N/A,FALSE,"Test 120 Day Accts";#N/A,#N/A,FALSE,"Tickmarks"}</definedName>
    <definedName name="jlkjl" localSheetId="7" hidden="1">{#N/A,#N/A,FALSE,"Aging Summary";#N/A,#N/A,FALSE,"Ratio Analysis";#N/A,#N/A,FALSE,"Test 120 Day Accts";#N/A,#N/A,FALSE,"Tickmarks"}</definedName>
    <definedName name="jlkjl" localSheetId="12" hidden="1">{#N/A,#N/A,FALSE,"Aging Summary";#N/A,#N/A,FALSE,"Ratio Analysis";#N/A,#N/A,FALSE,"Test 120 Day Accts";#N/A,#N/A,FALSE,"Tickmarks"}</definedName>
    <definedName name="jlkjl" localSheetId="9" hidden="1">{#N/A,#N/A,FALSE,"Aging Summary";#N/A,#N/A,FALSE,"Ratio Analysis";#N/A,#N/A,FALSE,"Test 120 Day Accts";#N/A,#N/A,FALSE,"Tickmarks"}</definedName>
    <definedName name="jlkjl" localSheetId="8" hidden="1">{#N/A,#N/A,FALSE,"Aging Summary";#N/A,#N/A,FALSE,"Ratio Analysis";#N/A,#N/A,FALSE,"Test 120 Day Accts";#N/A,#N/A,FALSE,"Tickmarks"}</definedName>
    <definedName name="jlkjl" localSheetId="6" hidden="1">{#N/A,#N/A,FALSE,"Aging Summary";#N/A,#N/A,FALSE,"Ratio Analysis";#N/A,#N/A,FALSE,"Test 120 Day Accts";#N/A,#N/A,FALSE,"Tickmarks"}</definedName>
    <definedName name="jlkjl" localSheetId="10" hidden="1">{#N/A,#N/A,FALSE,"Aging Summary";#N/A,#N/A,FALSE,"Ratio Analysis";#N/A,#N/A,FALSE,"Test 120 Day Accts";#N/A,#N/A,FALSE,"Tickmarks"}</definedName>
    <definedName name="jlkjl" localSheetId="5" hidden="1">{#N/A,#N/A,FALSE,"Aging Summary";#N/A,#N/A,FALSE,"Ratio Analysis";#N/A,#N/A,FALSE,"Test 120 Day Accts";#N/A,#N/A,FALSE,"Tickmarks"}</definedName>
    <definedName name="jlkjl" localSheetId="4" hidden="1">{#N/A,#N/A,FALSE,"Aging Summary";#N/A,#N/A,FALSE,"Ratio Analysis";#N/A,#N/A,FALSE,"Test 120 Day Accts";#N/A,#N/A,FALSE,"Tickmarks"}</definedName>
    <definedName name="jlkjl" localSheetId="11" hidden="1">{#N/A,#N/A,FALSE,"Aging Summary";#N/A,#N/A,FALSE,"Ratio Analysis";#N/A,#N/A,FALSE,"Test 120 Day Accts";#N/A,#N/A,FALSE,"Tickmarks"}</definedName>
    <definedName name="jlkjl" hidden="1">{#N/A,#N/A,FALSE,"Aging Summary";#N/A,#N/A,FALSE,"Ratio Analysis";#N/A,#N/A,FALSE,"Test 120 Day Accts";#N/A,#N/A,FALSE,"Tickmarks"}</definedName>
    <definedName name="Jul" localSheetId="5">#REF!</definedName>
    <definedName name="Jul" localSheetId="4">#REF!</definedName>
    <definedName name="Jul">#REF!</definedName>
    <definedName name="Jun" localSheetId="5">#REF!</definedName>
    <definedName name="Jun" localSheetId="4">#REF!</definedName>
    <definedName name="Jun">#REF!</definedName>
    <definedName name="Karol" hidden="1">{#N/A,#N/A,TRUE,"EWAR";#N/A,#N/A,TRUE,"Sad";#N/A,#N/A,TRUE,"Yat";#N/A,#N/A,TRUE,"Nav";#N/A,#N/A,TRUE,"Mor";#N/A,#N/A,TRUE,"Geit"}</definedName>
    <definedName name="Karols" hidden="1">{#N/A,#N/A,TRUE,"EWAR";#N/A,#N/A,TRUE,"Sad";#N/A,#N/A,TRUE,"Yat";#N/A,#N/A,TRUE,"Nav";#N/A,#N/A,TRUE,"Mor";#N/A,#N/A,TRUE,"Geit"}</definedName>
    <definedName name="kkk" localSheetId="5" hidden="1">#REF!</definedName>
    <definedName name="kkk" localSheetId="4" hidden="1">#REF!</definedName>
    <definedName name="kkk" hidden="1">#REF!</definedName>
    <definedName name="LabUc">[23]Inputs!$J$208:$U$208</definedName>
    <definedName name="LANG">[24]EnFr!$D$4</definedName>
    <definedName name="Level">[18]Haulage_Detailed!$I:$I</definedName>
    <definedName name="limcount" localSheetId="5" hidden="1">1</definedName>
    <definedName name="limcount" localSheetId="4" hidden="1">1</definedName>
    <definedName name="limcount" hidden="1">2</definedName>
    <definedName name="LimnFFFFRange" localSheetId="5" hidden="1">#REF!</definedName>
    <definedName name="LimnFFFFRange" localSheetId="4" hidden="1">#REF!</definedName>
    <definedName name="LimnFFFFRange" hidden="1">#REF!</definedName>
    <definedName name="LimnPPP1Range" localSheetId="5" hidden="1">#REF!</definedName>
    <definedName name="LimnPPP1Range" localSheetId="4" hidden="1">#REF!</definedName>
    <definedName name="LimnPPP1Range" hidden="1">#REF!</definedName>
    <definedName name="LimnPPP2Range" localSheetId="5" hidden="1">#REF!</definedName>
    <definedName name="LimnPPP2Range" localSheetId="4" hidden="1">#REF!</definedName>
    <definedName name="LimnPPP2Range" hidden="1">#REF!</definedName>
    <definedName name="listBase" hidden="1">#REF!</definedName>
    <definedName name="ListSize" hidden="1">#REF!</definedName>
    <definedName name="ll" hidden="1">#REF!</definedName>
    <definedName name="LTIDaysLostList" localSheetId="18">OFFSET(DateList,0,17)</definedName>
    <definedName name="LTIDaysLostList" localSheetId="19">OFFSET(DateList,0,17)</definedName>
    <definedName name="LTIDaysLostList" localSheetId="14">OFFSET(DateList,0,17)</definedName>
    <definedName name="LTIDaysLostList" localSheetId="15">OFFSET(DateList,0,17)</definedName>
    <definedName name="LTIDaysLostList" localSheetId="13">OFFSET(DateList,0,17)</definedName>
    <definedName name="LTIDaysLostList" localSheetId="7">OFFSET(DateList,0,17)</definedName>
    <definedName name="LTIDaysLostList" localSheetId="16">OFFSET(DateList,0,17)</definedName>
    <definedName name="LTIDaysLostList" localSheetId="12">OFFSET(DateList,0,17)</definedName>
    <definedName name="LTIDaysLostList" localSheetId="9">OFFSET(DateList,0,17)</definedName>
    <definedName name="LTIDaysLostList" localSheetId="8">OFFSET(DateList,0,17)</definedName>
    <definedName name="LTIDaysLostList" localSheetId="20">OFFSET(DateList,0,17)</definedName>
    <definedName name="LTIDaysLostList" localSheetId="17">OFFSET(DateList,0,17)</definedName>
    <definedName name="LTIDaysLostList" localSheetId="6">OFFSET(DateList,0,17)</definedName>
    <definedName name="LTIDaysLostList" localSheetId="10">OFFSET(DateList,0,17)</definedName>
    <definedName name="LTIDaysLostList" localSheetId="5">OFFSET(DateList,0,17)</definedName>
    <definedName name="LTIDaysLostList" localSheetId="4">OFFSET(DateList,0,17)</definedName>
    <definedName name="LTIDaysLostList" localSheetId="11">OFFSET(DateList,0,17)</definedName>
    <definedName name="LTIDaysLostList">OFFSET(DateList,0,17)</definedName>
    <definedName name="LTIList" localSheetId="18">OFFSET(DateList,0,9)</definedName>
    <definedName name="LTIList" localSheetId="19">OFFSET(DateList,0,9)</definedName>
    <definedName name="LTIList" localSheetId="14">OFFSET(DateList,0,9)</definedName>
    <definedName name="LTIList" localSheetId="15">OFFSET(DateList,0,9)</definedName>
    <definedName name="LTIList" localSheetId="13">OFFSET(DateList,0,9)</definedName>
    <definedName name="LTIList" localSheetId="7">OFFSET(DateList,0,9)</definedName>
    <definedName name="LTIList" localSheetId="16">OFFSET(DateList,0,9)</definedName>
    <definedName name="LTIList" localSheetId="12">OFFSET(DateList,0,9)</definedName>
    <definedName name="LTIList" localSheetId="9">OFFSET(DateList,0,9)</definedName>
    <definedName name="LTIList" localSheetId="8">OFFSET(DateList,0,9)</definedName>
    <definedName name="LTIList" localSheetId="20">OFFSET(DateList,0,9)</definedName>
    <definedName name="LTIList" localSheetId="17">OFFSET(DateList,0,9)</definedName>
    <definedName name="LTIList" localSheetId="6">OFFSET(DateList,0,9)</definedName>
    <definedName name="LTIList" localSheetId="10">OFFSET(DateList,0,9)</definedName>
    <definedName name="LTIList" localSheetId="5">OFFSET(DateList,0,9)</definedName>
    <definedName name="LTIList" localSheetId="4">OFFSET(DateList,0,9)</definedName>
    <definedName name="LTIList" localSheetId="11">OFFSET(DateList,0,9)</definedName>
    <definedName name="LTIList">OFFSET(DateList,0,9)</definedName>
    <definedName name="m" localSheetId="14" hidden="1">{"Normalisation Journal",#N/A,FALSE,"Normalisation Jnl"}</definedName>
    <definedName name="m" localSheetId="13" hidden="1">{"Normalisation Journal",#N/A,FALSE,"Normalisation Jnl"}</definedName>
    <definedName name="m" localSheetId="7" hidden="1">{"Normalisation Journal",#N/A,FALSE,"Normalisation Jnl"}</definedName>
    <definedName name="m" localSheetId="12" hidden="1">{"Normalisation Journal",#N/A,FALSE,"Normalisation Jnl"}</definedName>
    <definedName name="m" localSheetId="9" hidden="1">{"Normalisation Journal",#N/A,FALSE,"Normalisation Jnl"}</definedName>
    <definedName name="m" localSheetId="8" hidden="1">{"Normalisation Journal",#N/A,FALSE,"Normalisation Jnl"}</definedName>
    <definedName name="m" localSheetId="6" hidden="1">{"Normalisation Journal",#N/A,FALSE,"Normalisation Jnl"}</definedName>
    <definedName name="m" localSheetId="10" hidden="1">{"Normalisation Journal",#N/A,FALSE,"Normalisation Jnl"}</definedName>
    <definedName name="m" localSheetId="5" hidden="1">{"Normalisation Journal",#N/A,FALSE,"Normalisation Jnl"}</definedName>
    <definedName name="m" localSheetId="4" hidden="1">{"Normalisation Journal",#N/A,FALSE,"Normalisation Jnl"}</definedName>
    <definedName name="m" localSheetId="11" hidden="1">{"Normalisation Journal",#N/A,FALSE,"Normalisation Jnl"}</definedName>
    <definedName name="m" hidden="1">{"Normalisation Journal",#N/A,FALSE,"Normalisation Jnl"}</definedName>
    <definedName name="Mar" localSheetId="5">#REF!</definedName>
    <definedName name="Mar" localSheetId="4">#REF!</definedName>
    <definedName name="Mar">#REF!</definedName>
    <definedName name="Mass">[18]Haulage_Detailed!$S:$S</definedName>
    <definedName name="MATERIAL" localSheetId="5">#REF!</definedName>
    <definedName name="MATERIAL" localSheetId="4">#REF!</definedName>
    <definedName name="MATERIAL">#REF!</definedName>
    <definedName name="May" localSheetId="5">#REF!</definedName>
    <definedName name="May" localSheetId="4">#REF!</definedName>
    <definedName name="May">#REF!</definedName>
    <definedName name="MenusNeedUpdate" hidden="1">TRUE</definedName>
    <definedName name="MerrillPrintIt" localSheetId="18" hidden="1">[15]!MerrillPrintIt</definedName>
    <definedName name="MerrillPrintIt" localSheetId="19" hidden="1">[15]!MerrillPrintIt</definedName>
    <definedName name="MerrillPrintIt" localSheetId="14" hidden="1">[15]!MerrillPrintIt</definedName>
    <definedName name="MerrillPrintIt" localSheetId="15" hidden="1">[15]!MerrillPrintIt</definedName>
    <definedName name="MerrillPrintIt" localSheetId="13" hidden="1">[15]!MerrillPrintIt</definedName>
    <definedName name="MerrillPrintIt" localSheetId="7" hidden="1">[15]!MerrillPrintIt</definedName>
    <definedName name="MerrillPrintIt" localSheetId="16" hidden="1">[15]!MerrillPrintIt</definedName>
    <definedName name="MerrillPrintIt" localSheetId="9" hidden="1">[15]!MerrillPrintIt</definedName>
    <definedName name="MerrillPrintIt" localSheetId="8" hidden="1">[15]!MerrillPrintIt</definedName>
    <definedName name="MerrillPrintIt" localSheetId="20" hidden="1">[15]!MerrillPrintIt</definedName>
    <definedName name="MerrillPrintIt" localSheetId="17" hidden="1">[15]!MerrillPrintIt</definedName>
    <definedName name="MerrillPrintIt" localSheetId="6" hidden="1">[15]!MerrillPrintIt</definedName>
    <definedName name="MerrillPrintIt" localSheetId="10" hidden="1">[15]!MerrillPrintIt</definedName>
    <definedName name="MerrillPrintIt" localSheetId="4" hidden="1">[15]!MerrillPrintIt</definedName>
    <definedName name="MerrillPrintIt" localSheetId="11" hidden="1">[15]!MerrillPrintIt</definedName>
    <definedName name="MerrillPrintIt" hidden="1">[15]!MerrillPrintIt</definedName>
    <definedName name="Mining_2010" localSheetId="14" hidden="1">{#N/A,#N/A,TRUE,"Cashflow"}</definedName>
    <definedName name="Mining_2010" localSheetId="13" hidden="1">{#N/A,#N/A,TRUE,"Cashflow"}</definedName>
    <definedName name="Mining_2010" localSheetId="7" hidden="1">{#N/A,#N/A,TRUE,"Cashflow"}</definedName>
    <definedName name="Mining_2010" localSheetId="12" hidden="1">{#N/A,#N/A,TRUE,"Cashflow"}</definedName>
    <definedName name="Mining_2010" localSheetId="9" hidden="1">{#N/A,#N/A,TRUE,"Cashflow"}</definedName>
    <definedName name="Mining_2010" localSheetId="8" hidden="1">{#N/A,#N/A,TRUE,"Cashflow"}</definedName>
    <definedName name="Mining_2010" localSheetId="6" hidden="1">{#N/A,#N/A,TRUE,"Cashflow"}</definedName>
    <definedName name="Mining_2010" localSheetId="10" hidden="1">{#N/A,#N/A,TRUE,"Cashflow"}</definedName>
    <definedName name="Mining_2010" localSheetId="5" hidden="1">{#N/A,#N/A,TRUE,"Cashflow"}</definedName>
    <definedName name="Mining_2010" localSheetId="4" hidden="1">{#N/A,#N/A,TRUE,"Cashflow"}</definedName>
    <definedName name="Mining_2010" localSheetId="11" hidden="1">{#N/A,#N/A,TRUE,"Cashflow"}</definedName>
    <definedName name="Mining_2010" hidden="1">{#N/A,#N/A,TRUE,"Cashflow"}</definedName>
    <definedName name="MiningLevel" localSheetId="5">#REF!</definedName>
    <definedName name="MiningLevel" localSheetId="4">#REF!</definedName>
    <definedName name="MiningLevel">#REF!</definedName>
    <definedName name="mk" localSheetId="14" hidden="1">{#N/A,#N/A,TRUE,"Cashflow"}</definedName>
    <definedName name="mk" localSheetId="13" hidden="1">{#N/A,#N/A,TRUE,"Cashflow"}</definedName>
    <definedName name="mk" localSheetId="7" hidden="1">{#N/A,#N/A,TRUE,"Cashflow"}</definedName>
    <definedName name="mk" localSheetId="12" hidden="1">{#N/A,#N/A,TRUE,"Cashflow"}</definedName>
    <definedName name="mk" localSheetId="9" hidden="1">{#N/A,#N/A,TRUE,"Cashflow"}</definedName>
    <definedName name="mk" localSheetId="8" hidden="1">{#N/A,#N/A,TRUE,"Cashflow"}</definedName>
    <definedName name="mk" localSheetId="6" hidden="1">{#N/A,#N/A,TRUE,"Cashflow"}</definedName>
    <definedName name="mk" localSheetId="10" hidden="1">{#N/A,#N/A,TRUE,"Cashflow"}</definedName>
    <definedName name="mk" localSheetId="5" hidden="1">{#N/A,#N/A,TRUE,"Cashflow"}</definedName>
    <definedName name="mk" localSheetId="4" hidden="1">{#N/A,#N/A,TRUE,"Cashflow"}</definedName>
    <definedName name="mk" localSheetId="11" hidden="1">{#N/A,#N/A,TRUE,"Cashflow"}</definedName>
    <definedName name="mk" hidden="1">{#N/A,#N/A,TRUE,"Cashflow"}</definedName>
    <definedName name="MoistureContent" localSheetId="5">#REF!</definedName>
    <definedName name="MoistureContent" localSheetId="4">#REF!</definedName>
    <definedName name="MoistureContent">#REF!</definedName>
    <definedName name="Month" localSheetId="5">#REF!</definedName>
    <definedName name="Month" localSheetId="4">#REF!</definedName>
    <definedName name="Month">#REF!</definedName>
    <definedName name="morethan1" hidden="1">{#N/A,#N/A,TRUE,"EWAR";#N/A,#N/A,TRUE,"Sad";#N/A,#N/A,TRUE,"Yat";#N/A,#N/A,TRUE,"Nav";#N/A,#N/A,TRUE,"Mor";#N/A,#N/A,TRUE,"Geit"}</definedName>
    <definedName name="MORUPULE_COLLIERY_LIMITED">#REF!</definedName>
    <definedName name="MOVE">#REF!</definedName>
    <definedName name="MTIList" localSheetId="18">OFFSET(DateList,0,7)</definedName>
    <definedName name="MTIList" localSheetId="19">OFFSET(DateList,0,7)</definedName>
    <definedName name="MTIList" localSheetId="14">OFFSET(DateList,0,7)</definedName>
    <definedName name="MTIList" localSheetId="15">OFFSET(DateList,0,7)</definedName>
    <definedName name="MTIList" localSheetId="13">OFFSET(DateList,0,7)</definedName>
    <definedName name="MTIList" localSheetId="7">OFFSET(DateList,0,7)</definedName>
    <definedName name="MTIList" localSheetId="16">OFFSET(DateList,0,7)</definedName>
    <definedName name="MTIList" localSheetId="12">OFFSET(DateList,0,7)</definedName>
    <definedName name="MTIList" localSheetId="9">OFFSET(DateList,0,7)</definedName>
    <definedName name="MTIList" localSheetId="8">OFFSET(DateList,0,7)</definedName>
    <definedName name="MTIList" localSheetId="20">OFFSET(DateList,0,7)</definedName>
    <definedName name="MTIList" localSheetId="17">OFFSET(DateList,0,7)</definedName>
    <definedName name="MTIList" localSheetId="6">OFFSET(DateList,0,7)</definedName>
    <definedName name="MTIList" localSheetId="10">OFFSET(DateList,0,7)</definedName>
    <definedName name="MTIList" localSheetId="5">OFFSET(DateList,0,7)</definedName>
    <definedName name="MTIList" localSheetId="4">OFFSET(DateList,0,7)</definedName>
    <definedName name="MTIList" localSheetId="11">OFFSET(DateList,0,7)</definedName>
    <definedName name="MTIList">OFFSET(DateList,0,7)</definedName>
    <definedName name="NewRange" localSheetId="18" hidden="1">[15]!NewRange</definedName>
    <definedName name="NewRange" localSheetId="19" hidden="1">[15]!NewRange</definedName>
    <definedName name="NewRange" localSheetId="14" hidden="1">[15]!NewRange</definedName>
    <definedName name="NewRange" localSheetId="15" hidden="1">[15]!NewRange</definedName>
    <definedName name="NewRange" localSheetId="13" hidden="1">[15]!NewRange</definedName>
    <definedName name="NewRange" localSheetId="7" hidden="1">[15]!NewRange</definedName>
    <definedName name="NewRange" localSheetId="16" hidden="1">[15]!NewRange</definedName>
    <definedName name="NewRange" localSheetId="9" hidden="1">[15]!NewRange</definedName>
    <definedName name="NewRange" localSheetId="8" hidden="1">[15]!NewRange</definedName>
    <definedName name="NewRange" localSheetId="20" hidden="1">[15]!NewRange</definedName>
    <definedName name="NewRange" localSheetId="17" hidden="1">[15]!NewRange</definedName>
    <definedName name="NewRange" localSheetId="6" hidden="1">[15]!NewRange</definedName>
    <definedName name="NewRange" localSheetId="10" hidden="1">[15]!NewRange</definedName>
    <definedName name="NewRange" localSheetId="4" hidden="1">[15]!NewRange</definedName>
    <definedName name="NewRange" localSheetId="11" hidden="1">[15]!NewRange</definedName>
    <definedName name="NewRange" hidden="1">[15]!NewRange</definedName>
    <definedName name="NightHrsList" localSheetId="18">OFFSET(DateList,0,5)</definedName>
    <definedName name="NightHrsList" localSheetId="19">OFFSET(DateList,0,5)</definedName>
    <definedName name="NightHrsList" localSheetId="14">OFFSET(DateList,0,5)</definedName>
    <definedName name="NightHrsList" localSheetId="15">OFFSET(DateList,0,5)</definedName>
    <definedName name="NightHrsList" localSheetId="13">OFFSET(DateList,0,5)</definedName>
    <definedName name="NightHrsList" localSheetId="7">OFFSET(DateList,0,5)</definedName>
    <definedName name="NightHrsList" localSheetId="16">OFFSET(DateList,0,5)</definedName>
    <definedName name="NightHrsList" localSheetId="12">OFFSET(DateList,0,5)</definedName>
    <definedName name="NightHrsList" localSheetId="9">OFFSET(DateList,0,5)</definedName>
    <definedName name="NightHrsList" localSheetId="8">OFFSET(DateList,0,5)</definedName>
    <definedName name="NightHrsList" localSheetId="20">OFFSET(DateList,0,5)</definedName>
    <definedName name="NightHrsList" localSheetId="17">OFFSET(DateList,0,5)</definedName>
    <definedName name="NightHrsList" localSheetId="6">OFFSET(DateList,0,5)</definedName>
    <definedName name="NightHrsList" localSheetId="10">OFFSET(DateList,0,5)</definedName>
    <definedName name="NightHrsList" localSheetId="5">OFFSET(DateList,0,5)</definedName>
    <definedName name="NightHrsList" localSheetId="4">OFFSET(DateList,0,5)</definedName>
    <definedName name="NightHrsList" localSheetId="11">OFFSET(DateList,0,5)</definedName>
    <definedName name="NightHrsList">OFFSET(DateList,0,5)</definedName>
    <definedName name="NMList" localSheetId="18">OFFSET(DateList,0,12)</definedName>
    <definedName name="NMList" localSheetId="19">OFFSET(DateList,0,12)</definedName>
    <definedName name="NMList" localSheetId="14">OFFSET(DateList,0,12)</definedName>
    <definedName name="NMList" localSheetId="15">OFFSET(DateList,0,12)</definedName>
    <definedName name="NMList" localSheetId="13">OFFSET(DateList,0,12)</definedName>
    <definedName name="NMList" localSheetId="7">OFFSET(DateList,0,12)</definedName>
    <definedName name="NMList" localSheetId="16">OFFSET(DateList,0,12)</definedName>
    <definedName name="NMList" localSheetId="12">OFFSET(DateList,0,12)</definedName>
    <definedName name="NMList" localSheetId="9">OFFSET(DateList,0,12)</definedName>
    <definedName name="NMList" localSheetId="8">OFFSET(DateList,0,12)</definedName>
    <definedName name="NMList" localSheetId="20">OFFSET(DateList,0,12)</definedName>
    <definedName name="NMList" localSheetId="17">OFFSET(DateList,0,12)</definedName>
    <definedName name="NMList" localSheetId="6">OFFSET(DateList,0,12)</definedName>
    <definedName name="NMList" localSheetId="10">OFFSET(DateList,0,12)</definedName>
    <definedName name="NMList" localSheetId="5">OFFSET(DateList,0,12)</definedName>
    <definedName name="NMList" localSheetId="4">OFFSET(DateList,0,12)</definedName>
    <definedName name="NMList" localSheetId="11">OFFSET(DateList,0,12)</definedName>
    <definedName name="NMList">OFFSET(DateList,0,12)</definedName>
    <definedName name="NormalHrsList" localSheetId="18">OFFSET(DateList,0,4)</definedName>
    <definedName name="NormalHrsList" localSheetId="19">OFFSET(DateList,0,4)</definedName>
    <definedName name="NormalHrsList" localSheetId="14">OFFSET(DateList,0,4)</definedName>
    <definedName name="NormalHrsList" localSheetId="15">OFFSET(DateList,0,4)</definedName>
    <definedName name="NormalHrsList" localSheetId="13">OFFSET(DateList,0,4)</definedName>
    <definedName name="NormalHrsList" localSheetId="7">OFFSET(DateList,0,4)</definedName>
    <definedName name="NormalHrsList" localSheetId="16">OFFSET(DateList,0,4)</definedName>
    <definedName name="NormalHrsList" localSheetId="12">OFFSET(DateList,0,4)</definedName>
    <definedName name="NormalHrsList" localSheetId="9">OFFSET(DateList,0,4)</definedName>
    <definedName name="NormalHrsList" localSheetId="8">OFFSET(DateList,0,4)</definedName>
    <definedName name="NormalHrsList" localSheetId="20">OFFSET(DateList,0,4)</definedName>
    <definedName name="NormalHrsList" localSheetId="17">OFFSET(DateList,0,4)</definedName>
    <definedName name="NormalHrsList" localSheetId="6">OFFSET(DateList,0,4)</definedName>
    <definedName name="NormalHrsList" localSheetId="10">OFFSET(DateList,0,4)</definedName>
    <definedName name="NormalHrsList" localSheetId="5">OFFSET(DateList,0,4)</definedName>
    <definedName name="NormalHrsList" localSheetId="4">OFFSET(DateList,0,4)</definedName>
    <definedName name="NormalHrsList" localSheetId="11">OFFSET(DateList,0,4)</definedName>
    <definedName name="NormalHrsList">OFFSET(DateList,0,4)</definedName>
    <definedName name="Nov" localSheetId="5">#REF!</definedName>
    <definedName name="Nov" localSheetId="4">#REF!</definedName>
    <definedName name="Nov">#REF!</definedName>
    <definedName name="NOVERTIME" localSheetId="5">#REF!</definedName>
    <definedName name="NOVERTIME" localSheetId="4">#REF!</definedName>
    <definedName name="NOVERTIME">#REF!</definedName>
    <definedName name="Oct" localSheetId="5">#REF!</definedName>
    <definedName name="Oct" localSheetId="4">#REF!</definedName>
    <definedName name="Oct">#REF!</definedName>
    <definedName name="odActual" hidden="1">0</definedName>
    <definedName name="odBudget" hidden="1">1</definedName>
    <definedName name="odExternal" hidden="1">3</definedName>
    <definedName name="odForecast" hidden="1">2</definedName>
    <definedName name="odPercentOfBudget" hidden="1">200</definedName>
    <definedName name="odPercentOfForecast" hidden="1">210</definedName>
    <definedName name="odPercentVarianceOnBudget" hidden="1">220</definedName>
    <definedName name="odPercentVarianceOnForecast" hidden="1">320</definedName>
    <definedName name="odVarianceOnBudget" hidden="1">300</definedName>
    <definedName name="odVarianceOnForecast" hidden="1">310</definedName>
    <definedName name="ORE_MOISTURE" localSheetId="5">'[25]Units&amp;Instructions'!$D$4</definedName>
    <definedName name="ORE_MOISTURE" localSheetId="4">'[25]Units&amp;Instructions'!$D$4</definedName>
    <definedName name="ORE_MOISTURE">'[26]Units&amp;Instructions'!$D$4</definedName>
    <definedName name="othercosts" localSheetId="14" hidden="1">{#N/A,#N/A,FALSE,"Aging Summary";#N/A,#N/A,FALSE,"Ratio Analysis";#N/A,#N/A,FALSE,"Test 120 Day Accts";#N/A,#N/A,FALSE,"Tickmarks"}</definedName>
    <definedName name="othercosts" localSheetId="13" hidden="1">{#N/A,#N/A,FALSE,"Aging Summary";#N/A,#N/A,FALSE,"Ratio Analysis";#N/A,#N/A,FALSE,"Test 120 Day Accts";#N/A,#N/A,FALSE,"Tickmarks"}</definedName>
    <definedName name="othercosts" localSheetId="7" hidden="1">{#N/A,#N/A,FALSE,"Aging Summary";#N/A,#N/A,FALSE,"Ratio Analysis";#N/A,#N/A,FALSE,"Test 120 Day Accts";#N/A,#N/A,FALSE,"Tickmarks"}</definedName>
    <definedName name="othercosts" localSheetId="12" hidden="1">{#N/A,#N/A,FALSE,"Aging Summary";#N/A,#N/A,FALSE,"Ratio Analysis";#N/A,#N/A,FALSE,"Test 120 Day Accts";#N/A,#N/A,FALSE,"Tickmarks"}</definedName>
    <definedName name="othercosts" localSheetId="9" hidden="1">{#N/A,#N/A,FALSE,"Aging Summary";#N/A,#N/A,FALSE,"Ratio Analysis";#N/A,#N/A,FALSE,"Test 120 Day Accts";#N/A,#N/A,FALSE,"Tickmarks"}</definedName>
    <definedName name="othercosts" localSheetId="8" hidden="1">{#N/A,#N/A,FALSE,"Aging Summary";#N/A,#N/A,FALSE,"Ratio Analysis";#N/A,#N/A,FALSE,"Test 120 Day Accts";#N/A,#N/A,FALSE,"Tickmarks"}</definedName>
    <definedName name="othercosts" localSheetId="6" hidden="1">{#N/A,#N/A,FALSE,"Aging Summary";#N/A,#N/A,FALSE,"Ratio Analysis";#N/A,#N/A,FALSE,"Test 120 Day Accts";#N/A,#N/A,FALSE,"Tickmarks"}</definedName>
    <definedName name="othercosts" localSheetId="10" hidden="1">{#N/A,#N/A,FALSE,"Aging Summary";#N/A,#N/A,FALSE,"Ratio Analysis";#N/A,#N/A,FALSE,"Test 120 Day Accts";#N/A,#N/A,FALSE,"Tickmarks"}</definedName>
    <definedName name="othercosts" localSheetId="5" hidden="1">{#N/A,#N/A,FALSE,"Aging Summary";#N/A,#N/A,FALSE,"Ratio Analysis";#N/A,#N/A,FALSE,"Test 120 Day Accts";#N/A,#N/A,FALSE,"Tickmarks"}</definedName>
    <definedName name="othercosts" localSheetId="4" hidden="1">{#N/A,#N/A,FALSE,"Aging Summary";#N/A,#N/A,FALSE,"Ratio Analysis";#N/A,#N/A,FALSE,"Test 120 Day Accts";#N/A,#N/A,FALSE,"Tickmarks"}</definedName>
    <definedName name="othercosts" localSheetId="11" hidden="1">{#N/A,#N/A,FALSE,"Aging Summary";#N/A,#N/A,FALSE,"Ratio Analysis";#N/A,#N/A,FALSE,"Test 120 Day Accts";#N/A,#N/A,FALSE,"Tickmarks"}</definedName>
    <definedName name="othercosts" hidden="1">{#N/A,#N/A,FALSE,"Aging Summary";#N/A,#N/A,FALSE,"Ratio Analysis";#N/A,#N/A,FALSE,"Test 120 Day Accts";#N/A,#N/A,FALSE,"Tickmarks"}</definedName>
    <definedName name="OvertimeHrsList" localSheetId="18">OFFSET(DateList,0,5)</definedName>
    <definedName name="OvertimeHrsList" localSheetId="19">OFFSET(DateList,0,5)</definedName>
    <definedName name="OvertimeHrsList" localSheetId="14">OFFSET(DateList,0,5)</definedName>
    <definedName name="OvertimeHrsList" localSheetId="15">OFFSET(DateList,0,5)</definedName>
    <definedName name="OvertimeHrsList" localSheetId="13">OFFSET(DateList,0,5)</definedName>
    <definedName name="OvertimeHrsList" localSheetId="7">OFFSET(DateList,0,5)</definedName>
    <definedName name="OvertimeHrsList" localSheetId="16">OFFSET(DateList,0,5)</definedName>
    <definedName name="OvertimeHrsList" localSheetId="12">OFFSET(DateList,0,5)</definedName>
    <definedName name="OvertimeHrsList" localSheetId="9">OFFSET(DateList,0,5)</definedName>
    <definedName name="OvertimeHrsList" localSheetId="8">OFFSET(DateList,0,5)</definedName>
    <definedName name="OvertimeHrsList" localSheetId="20">OFFSET(DateList,0,5)</definedName>
    <definedName name="OvertimeHrsList" localSheetId="17">OFFSET(DateList,0,5)</definedName>
    <definedName name="OvertimeHrsList" localSheetId="6">OFFSET(DateList,0,5)</definedName>
    <definedName name="OvertimeHrsList" localSheetId="10">OFFSET(DateList,0,5)</definedName>
    <definedName name="OvertimeHrsList" localSheetId="5">OFFSET(DateList,0,5)</definedName>
    <definedName name="OvertimeHrsList" localSheetId="4">OFFSET(DateList,0,5)</definedName>
    <definedName name="OvertimeHrsList" localSheetId="11">OFFSET(DateList,0,5)</definedName>
    <definedName name="OvertimeHrsList">OFFSET(DateList,0,5)</definedName>
    <definedName name="Pal_Workbook_GUID" hidden="1">"F4CH9UNIUBURSBRSUWXUR3MK"</definedName>
    <definedName name="PDList" localSheetId="18">OFFSET(DateList,0,11)</definedName>
    <definedName name="PDList" localSheetId="19">OFFSET(DateList,0,11)</definedName>
    <definedName name="PDList" localSheetId="14">OFFSET(DateList,0,11)</definedName>
    <definedName name="PDList" localSheetId="15">OFFSET(DateList,0,11)</definedName>
    <definedName name="PDList" localSheetId="13">OFFSET(DateList,0,11)</definedName>
    <definedName name="PDList" localSheetId="7">OFFSET(DateList,0,11)</definedName>
    <definedName name="PDList" localSheetId="16">OFFSET(DateList,0,11)</definedName>
    <definedName name="PDList" localSheetId="12">OFFSET(DateList,0,11)</definedName>
    <definedName name="PDList" localSheetId="9">OFFSET(DateList,0,11)</definedName>
    <definedName name="PDList" localSheetId="8">OFFSET(DateList,0,11)</definedName>
    <definedName name="PDList" localSheetId="20">OFFSET(DateList,0,11)</definedName>
    <definedName name="PDList" localSheetId="17">OFFSET(DateList,0,11)</definedName>
    <definedName name="PDList" localSheetId="6">OFFSET(DateList,0,11)</definedName>
    <definedName name="PDList" localSheetId="10">OFFSET(DateList,0,11)</definedName>
    <definedName name="PDList" localSheetId="5">OFFSET(DateList,0,11)</definedName>
    <definedName name="PDList" localSheetId="4">OFFSET(DateList,0,11)</definedName>
    <definedName name="PDList" localSheetId="11">OFFSET(DateList,0,11)</definedName>
    <definedName name="PDList">OFFSET(DateList,0,11)</definedName>
    <definedName name="Perc_var" localSheetId="5">#REF!</definedName>
    <definedName name="Perc_var" localSheetId="4">#REF!</definedName>
    <definedName name="Perc_var">#REF!</definedName>
    <definedName name="Pit_ID">[18]Haulage_Detailed!$D:$D</definedName>
    <definedName name="PIT_TO_EF_DOWNHILL_FACTOR">'[16]Rise and Run Matrices'!$H$7</definedName>
    <definedName name="PIT_TO_ROM_DOWNHILL_FACTOR">'[16]Rise and Run Matrices'!$H$6</definedName>
    <definedName name="POWER" localSheetId="5">#REF!</definedName>
    <definedName name="POWER" localSheetId="4">#REF!</definedName>
    <definedName name="POWER">#REF!</definedName>
    <definedName name="_xlnm.Print_Area" localSheetId="3">'Summary Equip'!$A$1:$W$57</definedName>
    <definedName name="_xlnm.Print_Area">'[7]98stats'!$A$2:$P$65</definedName>
    <definedName name="Prod777">111</definedName>
    <definedName name="Prod948">477</definedName>
    <definedName name="ProdEH1700">120</definedName>
    <definedName name="Product" localSheetId="5">#REF!</definedName>
    <definedName name="Product" localSheetId="4">#REF!</definedName>
    <definedName name="Product">#REF!</definedName>
    <definedName name="ProjectName" localSheetId="14">{"Client Name or Project Name"}</definedName>
    <definedName name="ProjectName" localSheetId="13">{"Client Name or Project Name"}</definedName>
    <definedName name="ProjectName" localSheetId="7">{"Client Name or Project Name"}</definedName>
    <definedName name="ProjectName" localSheetId="12">{"Client Name or Project Name"}</definedName>
    <definedName name="ProjectName" localSheetId="9">{"Client Name or Project Name"}</definedName>
    <definedName name="ProjectName" localSheetId="8">{"Client Name or Project Name"}</definedName>
    <definedName name="ProjectName" localSheetId="6">{"Client Name or Project Name"}</definedName>
    <definedName name="ProjectName" localSheetId="10">{"Client Name or Project Name"}</definedName>
    <definedName name="ProjectName" localSheetId="5">{"Client Name or Project Name"}</definedName>
    <definedName name="ProjectName" localSheetId="4">{"Client Name or Project Name"}</definedName>
    <definedName name="ProjectName" localSheetId="11">{"Client Name or Project Name"}</definedName>
    <definedName name="ProjectName">{"Client Name or Project Name"}</definedName>
    <definedName name="PYTD1">#REF!</definedName>
    <definedName name="PYTD2">#REF!</definedName>
    <definedName name="PYTD3">#REF!</definedName>
    <definedName name="PYTD4">#REF!</definedName>
    <definedName name="PYTD5">#REF!</definedName>
    <definedName name="PYTD6">#REF!</definedName>
    <definedName name="qgq" localSheetId="18" hidden="1">[15]!qgq</definedName>
    <definedName name="qgq" localSheetId="19" hidden="1">[15]!qgq</definedName>
    <definedName name="qgq" localSheetId="14" hidden="1">[15]!qgq</definedName>
    <definedName name="qgq" localSheetId="15" hidden="1">[15]!qgq</definedName>
    <definedName name="qgq" localSheetId="13" hidden="1">[15]!qgq</definedName>
    <definedName name="qgq" localSheetId="7" hidden="1">[15]!qgq</definedName>
    <definedName name="qgq" localSheetId="16" hidden="1">[15]!qgq</definedName>
    <definedName name="qgq" localSheetId="9" hidden="1">[15]!qgq</definedName>
    <definedName name="qgq" localSheetId="8" hidden="1">[15]!qgq</definedName>
    <definedName name="qgq" localSheetId="20" hidden="1">[15]!qgq</definedName>
    <definedName name="qgq" localSheetId="17" hidden="1">[15]!qgq</definedName>
    <definedName name="qgq" localSheetId="6" hidden="1">[15]!qgq</definedName>
    <definedName name="qgq" localSheetId="10" hidden="1">[15]!qgq</definedName>
    <definedName name="qgq" localSheetId="4" hidden="1">[15]!qgq</definedName>
    <definedName name="qgq" localSheetId="11" hidden="1">[15]!qgq</definedName>
    <definedName name="qgq" hidden="1">[15]!qgq</definedName>
    <definedName name="QQ" hidden="1">{#N/A,#N/A,TRUE,"EWAR";#N/A,#N/A,TRUE,"Sad";#N/A,#N/A,TRUE,"Yat";#N/A,#N/A,TRUE,"Nav";#N/A,#N/A,TRUE,"Mor";#N/A,#N/A,TRUE,"Geit"}</definedName>
    <definedName name="RAINFALL" localSheetId="5">#REF!</definedName>
    <definedName name="RAINFALL" localSheetId="4">#REF!</definedName>
    <definedName name="RAINFALL">#REF!</definedName>
    <definedName name="ReclaimCLS">'[20]Reclaim Downtime'!$B$4:$B$34,'[20]Reclaim Downtime'!$D$4:$D$34,'[20]Reclaim Downtime'!$D$4:$E$34,'[20]Reclaim Downtime'!$G$4:$H$34,'[20]Reclaim Downtime'!$J$4:$K$34,'[20]Reclaim Downtime'!$M$4:$N$34,'[20]Reclaim Downtime'!$P$4:$Q$34,'[20]Reclaim Downtime'!$S$4:$T$34,'[20]Reclaim Downtime'!$V$4:$V$34</definedName>
    <definedName name="RedefinePrintTableRange" localSheetId="18" hidden="1">[15]!RedefinePrintTableRange</definedName>
    <definedName name="RedefinePrintTableRange" localSheetId="19" hidden="1">[15]!RedefinePrintTableRange</definedName>
    <definedName name="RedefinePrintTableRange" localSheetId="14" hidden="1">[15]!RedefinePrintTableRange</definedName>
    <definedName name="RedefinePrintTableRange" localSheetId="15" hidden="1">[15]!RedefinePrintTableRange</definedName>
    <definedName name="RedefinePrintTableRange" localSheetId="13" hidden="1">[15]!RedefinePrintTableRange</definedName>
    <definedName name="RedefinePrintTableRange" localSheetId="7" hidden="1">[15]!RedefinePrintTableRange</definedName>
    <definedName name="RedefinePrintTableRange" localSheetId="16" hidden="1">[15]!RedefinePrintTableRange</definedName>
    <definedName name="RedefinePrintTableRange" localSheetId="9" hidden="1">[15]!RedefinePrintTableRange</definedName>
    <definedName name="RedefinePrintTableRange" localSheetId="8" hidden="1">[15]!RedefinePrintTableRange</definedName>
    <definedName name="RedefinePrintTableRange" localSheetId="20" hidden="1">[15]!RedefinePrintTableRange</definedName>
    <definedName name="RedefinePrintTableRange" localSheetId="17" hidden="1">[15]!RedefinePrintTableRange</definedName>
    <definedName name="RedefinePrintTableRange" localSheetId="6" hidden="1">[15]!RedefinePrintTableRange</definedName>
    <definedName name="RedefinePrintTableRange" localSheetId="10" hidden="1">[15]!RedefinePrintTableRange</definedName>
    <definedName name="RedefinePrintTableRange" localSheetId="4" hidden="1">[15]!RedefinePrintTableRange</definedName>
    <definedName name="RedefinePrintTableRange" localSheetId="11" hidden="1">[15]!RedefinePrintTableRange</definedName>
    <definedName name="RedefinePrintTableRange" hidden="1">[15]!RedefinePrintTableRange</definedName>
    <definedName name="REIMBURSE" localSheetId="5">#REF!</definedName>
    <definedName name="REIMBURSE" localSheetId="4">#REF!</definedName>
    <definedName name="REIMBURSE">#REF!</definedName>
    <definedName name="Report_Version_3">"A1"</definedName>
    <definedName name="Report_Version_4">"A1"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>0</definedName>
    <definedName name="RiskExcelReportsGoInNewWorkbook">TRUE</definedName>
    <definedName name="RiskExcelReportsToGenerate">2048</definedName>
    <definedName name="RiskFixedSeed">3860</definedName>
    <definedName name="RiskGenerateExcelReportsAtEndOfSimulation">TRUE</definedName>
    <definedName name="RiskHasSettings">TRUE</definedName>
    <definedName name="RiskIsInput" hidden="1">FALSE</definedName>
    <definedName name="RiskIsOptimization" hidden="1">FALSE</definedName>
    <definedName name="RiskIsOutput" hidden="1">FALSE</definedName>
    <definedName name="RiskIsStatistics" hidden="1">FALSE</definedName>
    <definedName name="RiskMinimizeOnStart">FALSE</definedName>
    <definedName name="RiskMonitorConvergence">FALSE</definedName>
    <definedName name="RiskMultipleCPUSupportEnabled" hidden="1">TRUE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1</definedName>
    <definedName name="RiskTemplateSheetName">"myTemplate"</definedName>
    <definedName name="RiskUpdateDisplay">TRUE</definedName>
    <definedName name="RiskUseDifferentSeedForEachSim">FALSE</definedName>
    <definedName name="RiskUseFixedSeed">TRUE</definedName>
    <definedName name="RiskUseMultipleCPUs">FALSE</definedName>
    <definedName name="ROM_TO_EF_DOWNHILL_FACTOR">'[16]Rise and Run Matrices'!$H$8</definedName>
    <definedName name="ROYALTY1" localSheetId="5">#REF!</definedName>
    <definedName name="ROYALTY1" localSheetId="4">#REF!</definedName>
    <definedName name="ROYALTY1">#REF!</definedName>
    <definedName name="ROYALTY2" localSheetId="5">#REF!</definedName>
    <definedName name="ROYALTY2" localSheetId="4">#REF!</definedName>
    <definedName name="ROYALTY2">#REF!</definedName>
    <definedName name="RWIDaysLostList" localSheetId="18">OFFSET(DateList,0,18)</definedName>
    <definedName name="RWIDaysLostList" localSheetId="19">OFFSET(DateList,0,18)</definedName>
    <definedName name="RWIDaysLostList" localSheetId="14">OFFSET(DateList,0,18)</definedName>
    <definedName name="RWIDaysLostList" localSheetId="15">OFFSET(DateList,0,18)</definedName>
    <definedName name="RWIDaysLostList" localSheetId="13">OFFSET(DateList,0,18)</definedName>
    <definedName name="RWIDaysLostList" localSheetId="7">OFFSET(DateList,0,18)</definedName>
    <definedName name="RWIDaysLostList" localSheetId="16">OFFSET(DateList,0,18)</definedName>
    <definedName name="RWIDaysLostList" localSheetId="12">OFFSET(DateList,0,18)</definedName>
    <definedName name="RWIDaysLostList" localSheetId="9">OFFSET(DateList,0,18)</definedName>
    <definedName name="RWIDaysLostList" localSheetId="8">OFFSET(DateList,0,18)</definedName>
    <definedName name="RWIDaysLostList" localSheetId="20">OFFSET(DateList,0,18)</definedName>
    <definedName name="RWIDaysLostList" localSheetId="17">OFFSET(DateList,0,18)</definedName>
    <definedName name="RWIDaysLostList" localSheetId="6">OFFSET(DateList,0,18)</definedName>
    <definedName name="RWIDaysLostList" localSheetId="10">OFFSET(DateList,0,18)</definedName>
    <definedName name="RWIDaysLostList" localSheetId="5">OFFSET(DateList,0,18)</definedName>
    <definedName name="RWIDaysLostList" localSheetId="4">OFFSET(DateList,0,18)</definedName>
    <definedName name="RWIDaysLostList" localSheetId="11">OFFSET(DateList,0,18)</definedName>
    <definedName name="RWIDaysLostList">OFFSET(DateList,0,18)</definedName>
    <definedName name="RWIList" localSheetId="18">OFFSET(DateList,0,8)</definedName>
    <definedName name="RWIList" localSheetId="19">OFFSET(DateList,0,8)</definedName>
    <definedName name="RWIList" localSheetId="14">OFFSET(DateList,0,8)</definedName>
    <definedName name="RWIList" localSheetId="15">OFFSET(DateList,0,8)</definedName>
    <definedName name="RWIList" localSheetId="13">OFFSET(DateList,0,8)</definedName>
    <definedName name="RWIList" localSheetId="7">OFFSET(DateList,0,8)</definedName>
    <definedName name="RWIList" localSheetId="16">OFFSET(DateList,0,8)</definedName>
    <definedName name="RWIList" localSheetId="12">OFFSET(DateList,0,8)</definedName>
    <definedName name="RWIList" localSheetId="9">OFFSET(DateList,0,8)</definedName>
    <definedName name="RWIList" localSheetId="8">OFFSET(DateList,0,8)</definedName>
    <definedName name="RWIList" localSheetId="20">OFFSET(DateList,0,8)</definedName>
    <definedName name="RWIList" localSheetId="17">OFFSET(DateList,0,8)</definedName>
    <definedName name="RWIList" localSheetId="6">OFFSET(DateList,0,8)</definedName>
    <definedName name="RWIList" localSheetId="10">OFFSET(DateList,0,8)</definedName>
    <definedName name="RWIList" localSheetId="5">OFFSET(DateList,0,8)</definedName>
    <definedName name="RWIList" localSheetId="4">OFFSET(DateList,0,8)</definedName>
    <definedName name="RWIList" localSheetId="11">OFFSET(DateList,0,8)</definedName>
    <definedName name="RWIList">OFFSET(DateList,0,8)</definedName>
    <definedName name="Salary_Costs_Increase_from_Base_Dec_2005">"feb+TB!$H$7:$H$288"</definedName>
    <definedName name="SameAccidentList" localSheetId="18">OFFSET(DateList,0,16)</definedName>
    <definedName name="SameAccidentList" localSheetId="19">OFFSET(DateList,0,16)</definedName>
    <definedName name="SameAccidentList" localSheetId="14">OFFSET(DateList,0,16)</definedName>
    <definedName name="SameAccidentList" localSheetId="15">OFFSET(DateList,0,16)</definedName>
    <definedName name="SameAccidentList" localSheetId="13">OFFSET(DateList,0,16)</definedName>
    <definedName name="SameAccidentList" localSheetId="7">OFFSET(DateList,0,16)</definedName>
    <definedName name="SameAccidentList" localSheetId="16">OFFSET(DateList,0,16)</definedName>
    <definedName name="SameAccidentList" localSheetId="12">OFFSET(DateList,0,16)</definedName>
    <definedName name="SameAccidentList" localSheetId="9">OFFSET(DateList,0,16)</definedName>
    <definedName name="SameAccidentList" localSheetId="8">OFFSET(DateList,0,16)</definedName>
    <definedName name="SameAccidentList" localSheetId="20">OFFSET(DateList,0,16)</definedName>
    <definedName name="SameAccidentList" localSheetId="17">OFFSET(DateList,0,16)</definedName>
    <definedName name="SameAccidentList" localSheetId="6">OFFSET(DateList,0,16)</definedName>
    <definedName name="SameAccidentList" localSheetId="10">OFFSET(DateList,0,16)</definedName>
    <definedName name="SameAccidentList" localSheetId="5">OFFSET(DateList,0,16)</definedName>
    <definedName name="SameAccidentList" localSheetId="4">OFFSET(DateList,0,16)</definedName>
    <definedName name="SameAccidentList" localSheetId="11">OFFSET(DateList,0,16)</definedName>
    <definedName name="SameAccidentList">OFFSET(DateList,0,16)</definedName>
    <definedName name="SAPBEXdnldView" hidden="1">"5UUXOFH4SL7BA3GVRMCA47TAL"</definedName>
    <definedName name="SAPBEXsysID" hidden="1">"BWP"</definedName>
    <definedName name="sched_al" localSheetId="5">'[25]Schedule - Periods'!#REF!</definedName>
    <definedName name="sched_al" localSheetId="4">'[25]Schedule - Periods'!#REF!</definedName>
    <definedName name="sched_al">'[26]Schedule - Periods'!#REF!</definedName>
    <definedName name="sched_al_1" localSheetId="5">'[25]Schedule - Periods'!#REF!</definedName>
    <definedName name="sched_al_1" localSheetId="4">'[25]Schedule - Periods'!#REF!</definedName>
    <definedName name="sched_al_1">'[26]Schedule - Periods'!#REF!</definedName>
    <definedName name="sched_al_10" localSheetId="5">'[25]Schedule - Periods'!#REF!</definedName>
    <definedName name="sched_al_10" localSheetId="4">'[25]Schedule - Periods'!#REF!</definedName>
    <definedName name="sched_al_10">'[26]Schedule - Periods'!#REF!</definedName>
    <definedName name="sched_al_11" localSheetId="5">'[25]Schedule - Periods'!#REF!</definedName>
    <definedName name="sched_al_11" localSheetId="4">'[25]Schedule - Periods'!#REF!</definedName>
    <definedName name="sched_al_11">'[26]Schedule - Periods'!#REF!</definedName>
    <definedName name="sched_al_2" localSheetId="5">'[25]Schedule - Periods'!#REF!</definedName>
    <definedName name="sched_al_2" localSheetId="4">'[25]Schedule - Periods'!#REF!</definedName>
    <definedName name="sched_al_2">'[26]Schedule - Periods'!#REF!</definedName>
    <definedName name="sched_al_3" localSheetId="5">'[25]Schedule - Periods'!#REF!</definedName>
    <definedName name="sched_al_3" localSheetId="4">'[25]Schedule - Periods'!#REF!</definedName>
    <definedName name="sched_al_3">'[26]Schedule - Periods'!#REF!</definedName>
    <definedName name="sched_al_4" localSheetId="5">'[25]Schedule - Periods'!#REF!</definedName>
    <definedName name="sched_al_4" localSheetId="4">'[25]Schedule - Periods'!#REF!</definedName>
    <definedName name="sched_al_4">'[26]Schedule - Periods'!#REF!</definedName>
    <definedName name="sched_al_5" localSheetId="5">'[25]Schedule - Periods'!#REF!</definedName>
    <definedName name="sched_al_5" localSheetId="4">'[25]Schedule - Periods'!#REF!</definedName>
    <definedName name="sched_al_5">'[26]Schedule - Periods'!#REF!</definedName>
    <definedName name="sched_al_6" localSheetId="5">'[25]Schedule - Periods'!#REF!</definedName>
    <definedName name="sched_al_6" localSheetId="4">'[25]Schedule - Periods'!#REF!</definedName>
    <definedName name="sched_al_6">'[26]Schedule - Periods'!#REF!</definedName>
    <definedName name="sched_al_7" localSheetId="5">'[25]Schedule - Periods'!#REF!</definedName>
    <definedName name="sched_al_7" localSheetId="4">'[25]Schedule - Periods'!#REF!</definedName>
    <definedName name="sched_al_7">'[26]Schedule - Periods'!#REF!</definedName>
    <definedName name="sched_al_8" localSheetId="5">'[25]Schedule - Periods'!#REF!</definedName>
    <definedName name="sched_al_8" localSheetId="4">'[25]Schedule - Periods'!#REF!</definedName>
    <definedName name="sched_al_8">'[26]Schedule - Periods'!#REF!</definedName>
    <definedName name="sched_al_9" localSheetId="5">'[25]Schedule - Periods'!#REF!</definedName>
    <definedName name="sched_al_9" localSheetId="4">'[25]Schedule - Periods'!#REF!</definedName>
    <definedName name="sched_al_9">'[26]Schedule - Periods'!#REF!</definedName>
    <definedName name="sched_block">'[26]Schedule - Periods'!#REF!</definedName>
    <definedName name="sched_bx_wet" localSheetId="5">'[25]Schedule - Periods'!#REF!</definedName>
    <definedName name="sched_bx_wet" localSheetId="4">'[25]Schedule - Periods'!#REF!</definedName>
    <definedName name="sched_bx_wet">'[26]Schedule - Periods'!#REF!</definedName>
    <definedName name="sched_ore" localSheetId="5">'[25]Schedule - Periods'!#REF!</definedName>
    <definedName name="sched_ore" localSheetId="4">'[25]Schedule - Periods'!#REF!</definedName>
    <definedName name="sched_ore">'[26]Schedule - Periods'!#REF!</definedName>
    <definedName name="sched_ore_1" localSheetId="5">'[25]Schedule - Periods'!#REF!</definedName>
    <definedName name="sched_ore_1" localSheetId="4">'[25]Schedule - Periods'!#REF!</definedName>
    <definedName name="sched_ore_1">'[26]Schedule - Periods'!#REF!</definedName>
    <definedName name="sched_ore_10" localSheetId="5">'[25]Schedule - Periods'!#REF!</definedName>
    <definedName name="sched_ore_10" localSheetId="4">'[25]Schedule - Periods'!#REF!</definedName>
    <definedName name="sched_ore_10">'[26]Schedule - Periods'!#REF!</definedName>
    <definedName name="sched_ore_11" localSheetId="5">'[25]Schedule - Periods'!#REF!</definedName>
    <definedName name="sched_ore_11" localSheetId="4">'[25]Schedule - Periods'!#REF!</definedName>
    <definedName name="sched_ore_11">'[26]Schedule - Periods'!#REF!</definedName>
    <definedName name="sched_orE_2" localSheetId="5">'[25]Schedule - Periods'!#REF!</definedName>
    <definedName name="sched_orE_2" localSheetId="4">'[25]Schedule - Periods'!#REF!</definedName>
    <definedName name="sched_orE_2">'[26]Schedule - Periods'!#REF!</definedName>
    <definedName name="sched_ore_3" localSheetId="5">'[25]Schedule - Periods'!#REF!</definedName>
    <definedName name="sched_ore_3" localSheetId="4">'[25]Schedule - Periods'!#REF!</definedName>
    <definedName name="sched_ore_3">'[26]Schedule - Periods'!#REF!</definedName>
    <definedName name="sched_ore_4" localSheetId="5">'[25]Schedule - Periods'!#REF!</definedName>
    <definedName name="sched_ore_4" localSheetId="4">'[25]Schedule - Periods'!#REF!</definedName>
    <definedName name="sched_ore_4">'[26]Schedule - Periods'!#REF!</definedName>
    <definedName name="sched_orE_5" localSheetId="5">'[25]Schedule - Periods'!#REF!</definedName>
    <definedName name="sched_orE_5" localSheetId="4">'[25]Schedule - Periods'!#REF!</definedName>
    <definedName name="sched_orE_5">'[26]Schedule - Periods'!#REF!</definedName>
    <definedName name="sched_ore_6" localSheetId="5">'[25]Schedule - Periods'!#REF!</definedName>
    <definedName name="sched_ore_6" localSheetId="4">'[25]Schedule - Periods'!#REF!</definedName>
    <definedName name="sched_ore_6">'[26]Schedule - Periods'!#REF!</definedName>
    <definedName name="sched_ore_7" localSheetId="5">'[25]Schedule - Periods'!#REF!</definedName>
    <definedName name="sched_ore_7" localSheetId="4">'[25]Schedule - Periods'!#REF!</definedName>
    <definedName name="sched_ore_7">'[26]Schedule - Periods'!#REF!</definedName>
    <definedName name="sched_ore_8" localSheetId="5">'[25]Schedule - Periods'!#REF!</definedName>
    <definedName name="sched_ore_8" localSheetId="4">'[25]Schedule - Periods'!#REF!</definedName>
    <definedName name="sched_ore_8">'[26]Schedule - Periods'!#REF!</definedName>
    <definedName name="sched_ore_9" localSheetId="5">'[25]Schedule - Periods'!#REF!</definedName>
    <definedName name="sched_ore_9" localSheetId="4">'[25]Schedule - Periods'!#REF!</definedName>
    <definedName name="sched_ore_9">'[26]Schedule - Periods'!#REF!</definedName>
    <definedName name="sched_ore_hg" localSheetId="5">'[25]Schedule - Periods'!#REF!</definedName>
    <definedName name="sched_ore_hg" localSheetId="4">'[25]Schedule - Periods'!#REF!</definedName>
    <definedName name="sched_ore_hg">'[26]Schedule - Periods'!#REF!</definedName>
    <definedName name="sched_orE_lg" localSheetId="5">'[25]Schedule - Periods'!#REF!</definedName>
    <definedName name="sched_orE_lg" localSheetId="4">'[25]Schedule - Periods'!#REF!</definedName>
    <definedName name="sched_orE_lg">'[26]Schedule - Periods'!#REF!</definedName>
    <definedName name="sched_prod" localSheetId="5">'[25]Schedule - Periods'!#REF!</definedName>
    <definedName name="sched_prod" localSheetId="4">'[25]Schedule - Periods'!#REF!</definedName>
    <definedName name="sched_prod">'[26]Schedule - Periods'!#REF!</definedName>
    <definedName name="sched_si" localSheetId="5">'[25]Schedule - Periods'!#REF!</definedName>
    <definedName name="sched_si" localSheetId="4">'[25]Schedule - Periods'!#REF!</definedName>
    <definedName name="sched_si">'[26]Schedule - Periods'!#REF!</definedName>
    <definedName name="sched_si_1" localSheetId="5">'[25]Schedule - Periods'!#REF!</definedName>
    <definedName name="sched_si_1" localSheetId="4">'[25]Schedule - Periods'!#REF!</definedName>
    <definedName name="sched_si_1">'[26]Schedule - Periods'!#REF!</definedName>
    <definedName name="sched_si_10" localSheetId="5">'[25]Schedule - Periods'!#REF!</definedName>
    <definedName name="sched_si_10" localSheetId="4">'[25]Schedule - Periods'!#REF!</definedName>
    <definedName name="sched_si_10">'[26]Schedule - Periods'!#REF!</definedName>
    <definedName name="sched_si_11" localSheetId="5">'[25]Schedule - Periods'!#REF!</definedName>
    <definedName name="sched_si_11" localSheetId="4">'[25]Schedule - Periods'!#REF!</definedName>
    <definedName name="sched_si_11">'[26]Schedule - Periods'!#REF!</definedName>
    <definedName name="sched_si_2" localSheetId="5">'[25]Schedule - Periods'!#REF!</definedName>
    <definedName name="sched_si_2" localSheetId="4">'[25]Schedule - Periods'!#REF!</definedName>
    <definedName name="sched_si_2">'[26]Schedule - Periods'!#REF!</definedName>
    <definedName name="sched_si_3" localSheetId="5">'[25]Schedule - Periods'!#REF!</definedName>
    <definedName name="sched_si_3" localSheetId="4">'[25]Schedule - Periods'!#REF!</definedName>
    <definedName name="sched_si_3">'[26]Schedule - Periods'!#REF!</definedName>
    <definedName name="sched_si_4" localSheetId="5">'[25]Schedule - Periods'!#REF!</definedName>
    <definedName name="sched_si_4" localSheetId="4">'[25]Schedule - Periods'!#REF!</definedName>
    <definedName name="sched_si_4">'[26]Schedule - Periods'!#REF!</definedName>
    <definedName name="sched_si_5" localSheetId="5">'[25]Schedule - Periods'!#REF!</definedName>
    <definedName name="sched_si_5" localSheetId="4">'[25]Schedule - Periods'!#REF!</definedName>
    <definedName name="sched_si_5">'[26]Schedule - Periods'!#REF!</definedName>
    <definedName name="scheD_si_6" localSheetId="5">'[25]Schedule - Periods'!#REF!</definedName>
    <definedName name="scheD_si_6" localSheetId="4">'[25]Schedule - Periods'!#REF!</definedName>
    <definedName name="scheD_si_6">'[26]Schedule - Periods'!#REF!</definedName>
    <definedName name="sched_si_7" localSheetId="5">'[25]Schedule - Periods'!#REF!</definedName>
    <definedName name="sched_si_7" localSheetId="4">'[25]Schedule - Periods'!#REF!</definedName>
    <definedName name="sched_si_7">'[26]Schedule - Periods'!#REF!</definedName>
    <definedName name="sched_si_8" localSheetId="5">'[25]Schedule - Periods'!#REF!</definedName>
    <definedName name="sched_si_8" localSheetId="4">'[25]Schedule - Periods'!#REF!</definedName>
    <definedName name="sched_si_8">'[26]Schedule - Periods'!#REF!</definedName>
    <definedName name="sched_si_9" localSheetId="5">'[25]Schedule - Periods'!#REF!</definedName>
    <definedName name="sched_si_9" localSheetId="4">'[25]Schedule - Periods'!#REF!</definedName>
    <definedName name="sched_si_9">'[26]Schedule - Periods'!#REF!</definedName>
    <definedName name="sched_wst" localSheetId="5">'[25]Schedule - Periods'!#REF!</definedName>
    <definedName name="sched_wst" localSheetId="4">'[25]Schedule - Periods'!#REF!</definedName>
    <definedName name="sched_wst">'[26]Schedule - Periods'!#REF!</definedName>
    <definedName name="sched_wst_1" localSheetId="5">'[25]Schedule - Periods'!#REF!</definedName>
    <definedName name="sched_wst_1" localSheetId="4">'[25]Schedule - Periods'!#REF!</definedName>
    <definedName name="sched_wst_1">'[26]Schedule - Periods'!#REF!</definedName>
    <definedName name="sched_wst_10" localSheetId="5">'[25]Schedule - Periods'!#REF!</definedName>
    <definedName name="sched_wst_10" localSheetId="4">'[25]Schedule - Periods'!#REF!</definedName>
    <definedName name="sched_wst_10">'[26]Schedule - Periods'!#REF!</definedName>
    <definedName name="sched_wst_11" localSheetId="5">'[25]Schedule - Periods'!#REF!</definedName>
    <definedName name="sched_wst_11" localSheetId="4">'[25]Schedule - Periods'!#REF!</definedName>
    <definedName name="sched_wst_11">'[26]Schedule - Periods'!#REF!</definedName>
    <definedName name="sched_wst_2" localSheetId="5">'[25]Schedule - Periods'!#REF!</definedName>
    <definedName name="sched_wst_2" localSheetId="4">'[25]Schedule - Periods'!#REF!</definedName>
    <definedName name="sched_wst_2">'[26]Schedule - Periods'!#REF!</definedName>
    <definedName name="scheD_wst_3" localSheetId="5">'[25]Schedule - Periods'!#REF!</definedName>
    <definedName name="scheD_wst_3" localSheetId="4">'[25]Schedule - Periods'!#REF!</definedName>
    <definedName name="scheD_wst_3">'[26]Schedule - Periods'!#REF!</definedName>
    <definedName name="sched_wst_4" localSheetId="5">'[25]Schedule - Periods'!#REF!</definedName>
    <definedName name="sched_wst_4" localSheetId="4">'[25]Schedule - Periods'!#REF!</definedName>
    <definedName name="sched_wst_4">'[26]Schedule - Periods'!#REF!</definedName>
    <definedName name="sched_wst_5" localSheetId="5">'[25]Schedule - Periods'!#REF!</definedName>
    <definedName name="sched_wst_5" localSheetId="4">'[25]Schedule - Periods'!#REF!</definedName>
    <definedName name="sched_wst_5">'[26]Schedule - Periods'!#REF!</definedName>
    <definedName name="scheD_wst_6" localSheetId="5">'[25]Schedule - Periods'!#REF!</definedName>
    <definedName name="scheD_wst_6" localSheetId="4">'[25]Schedule - Periods'!#REF!</definedName>
    <definedName name="scheD_wst_6">'[26]Schedule - Periods'!#REF!</definedName>
    <definedName name="sched_wst_7" localSheetId="5">'[25]Schedule - Periods'!#REF!</definedName>
    <definedName name="sched_wst_7" localSheetId="4">'[25]Schedule - Periods'!#REF!</definedName>
    <definedName name="sched_wst_7">'[26]Schedule - Periods'!#REF!</definedName>
    <definedName name="sched_wst_8" localSheetId="5">'[25]Schedule - Periods'!#REF!</definedName>
    <definedName name="sched_wst_8" localSheetId="4">'[25]Schedule - Periods'!#REF!</definedName>
    <definedName name="sched_wst_8">'[26]Schedule - Periods'!#REF!</definedName>
    <definedName name="sched_wst_9" localSheetId="5">'[25]Schedule - Periods'!#REF!</definedName>
    <definedName name="sched_wst_9" localSheetId="4">'[25]Schedule - Periods'!#REF!</definedName>
    <definedName name="sched_wst_9">'[26]Schedule - Periods'!#REF!</definedName>
    <definedName name="sched_wst_w" localSheetId="5">'[25]Schedule - Periods'!#REF!</definedName>
    <definedName name="sched_wst_w" localSheetId="4">'[25]Schedule - Periods'!#REF!</definedName>
    <definedName name="sched_wst_w">'[26]Schedule - Periods'!#REF!</definedName>
    <definedName name="sched_year">'[26]Schedule - Periods'!$E$2:$BY$2</definedName>
    <definedName name="Scraping631">475</definedName>
    <definedName name="SDA" localSheetId="5" hidden="1">#REF!</definedName>
    <definedName name="SDA" localSheetId="4" hidden="1">#REF!</definedName>
    <definedName name="SDA" hidden="1">#REF!</definedName>
    <definedName name="sdf" localSheetId="5" hidden="1">#REF!</definedName>
    <definedName name="sdf" localSheetId="4" hidden="1">#REF!</definedName>
    <definedName name="sdf" hidden="1">#REF!</definedName>
    <definedName name="sdsd" localSheetId="14" hidden="1">{#N/A,#N/A,FALSE,"Aging Summary";#N/A,#N/A,FALSE,"Ratio Analysis";#N/A,#N/A,FALSE,"Test 120 Day Accts";#N/A,#N/A,FALSE,"Tickmarks"}</definedName>
    <definedName name="sdsd" localSheetId="13" hidden="1">{#N/A,#N/A,FALSE,"Aging Summary";#N/A,#N/A,FALSE,"Ratio Analysis";#N/A,#N/A,FALSE,"Test 120 Day Accts";#N/A,#N/A,FALSE,"Tickmarks"}</definedName>
    <definedName name="sdsd" localSheetId="7" hidden="1">{#N/A,#N/A,FALSE,"Aging Summary";#N/A,#N/A,FALSE,"Ratio Analysis";#N/A,#N/A,FALSE,"Test 120 Day Accts";#N/A,#N/A,FALSE,"Tickmarks"}</definedName>
    <definedName name="sdsd" localSheetId="12" hidden="1">{#N/A,#N/A,FALSE,"Aging Summary";#N/A,#N/A,FALSE,"Ratio Analysis";#N/A,#N/A,FALSE,"Test 120 Day Accts";#N/A,#N/A,FALSE,"Tickmarks"}</definedName>
    <definedName name="sdsd" localSheetId="9" hidden="1">{#N/A,#N/A,FALSE,"Aging Summary";#N/A,#N/A,FALSE,"Ratio Analysis";#N/A,#N/A,FALSE,"Test 120 Day Accts";#N/A,#N/A,FALSE,"Tickmarks"}</definedName>
    <definedName name="sdsd" localSheetId="8" hidden="1">{#N/A,#N/A,FALSE,"Aging Summary";#N/A,#N/A,FALSE,"Ratio Analysis";#N/A,#N/A,FALSE,"Test 120 Day Accts";#N/A,#N/A,FALSE,"Tickmarks"}</definedName>
    <definedName name="sdsd" localSheetId="6" hidden="1">{#N/A,#N/A,FALSE,"Aging Summary";#N/A,#N/A,FALSE,"Ratio Analysis";#N/A,#N/A,FALSE,"Test 120 Day Accts";#N/A,#N/A,FALSE,"Tickmarks"}</definedName>
    <definedName name="sdsd" localSheetId="10" hidden="1">{#N/A,#N/A,FALSE,"Aging Summary";#N/A,#N/A,FALSE,"Ratio Analysis";#N/A,#N/A,FALSE,"Test 120 Day Accts";#N/A,#N/A,FALSE,"Tickmarks"}</definedName>
    <definedName name="sdsd" localSheetId="5" hidden="1">{#N/A,#N/A,FALSE,"Aging Summary";#N/A,#N/A,FALSE,"Ratio Analysis";#N/A,#N/A,FALSE,"Test 120 Day Accts";#N/A,#N/A,FALSE,"Tickmarks"}</definedName>
    <definedName name="sdsd" localSheetId="4" hidden="1">{#N/A,#N/A,FALSE,"Aging Summary";#N/A,#N/A,FALSE,"Ratio Analysis";#N/A,#N/A,FALSE,"Test 120 Day Accts";#N/A,#N/A,FALSE,"Tickmarks"}</definedName>
    <definedName name="sdsd" localSheetId="11" hidden="1">{#N/A,#N/A,FALSE,"Aging Summary";#N/A,#N/A,FALSE,"Ratio Analysis";#N/A,#N/A,FALSE,"Test 120 Day Accts";#N/A,#N/A,FALSE,"Tickmarks"}</definedName>
    <definedName name="sdsd" hidden="1">{#N/A,#N/A,FALSE,"Aging Summary";#N/A,#N/A,FALSE,"Ratio Analysis";#N/A,#N/A,FALSE,"Test 120 Day Accts";#N/A,#N/A,FALSE,"Tickmarks"}</definedName>
    <definedName name="SECTIONS">[7]Charts!$A$1:$P$55</definedName>
    <definedName name="sencount" localSheetId="5" hidden="1">1</definedName>
    <definedName name="sencount" localSheetId="4" hidden="1">1</definedName>
    <definedName name="sencount" hidden="1">35</definedName>
    <definedName name="Sep" localSheetId="5">#REF!</definedName>
    <definedName name="Sep" localSheetId="4">#REF!</definedName>
    <definedName name="Sep">#REF!</definedName>
    <definedName name="SG">1.952808</definedName>
    <definedName name="shshryhasyhj" localSheetId="18" hidden="1">[15]!shshryhasyhj</definedName>
    <definedName name="shshryhasyhj" localSheetId="19" hidden="1">[15]!shshryhasyhj</definedName>
    <definedName name="shshryhasyhj" localSheetId="14" hidden="1">[15]!shshryhasyhj</definedName>
    <definedName name="shshryhasyhj" localSheetId="15" hidden="1">[15]!shshryhasyhj</definedName>
    <definedName name="shshryhasyhj" localSheetId="13" hidden="1">[15]!shshryhasyhj</definedName>
    <definedName name="shshryhasyhj" localSheetId="7" hidden="1">[15]!shshryhasyhj</definedName>
    <definedName name="shshryhasyhj" localSheetId="16" hidden="1">[15]!shshryhasyhj</definedName>
    <definedName name="shshryhasyhj" localSheetId="9" hidden="1">[15]!shshryhasyhj</definedName>
    <definedName name="shshryhasyhj" localSheetId="8" hidden="1">[15]!shshryhasyhj</definedName>
    <definedName name="shshryhasyhj" localSheetId="20" hidden="1">[15]!shshryhasyhj</definedName>
    <definedName name="shshryhasyhj" localSheetId="17" hidden="1">[15]!shshryhasyhj</definedName>
    <definedName name="shshryhasyhj" localSheetId="6" hidden="1">[15]!shshryhasyhj</definedName>
    <definedName name="shshryhasyhj" localSheetId="10" hidden="1">[15]!shshryhasyhj</definedName>
    <definedName name="shshryhasyhj" localSheetId="4" hidden="1">[15]!shshryhasyhj</definedName>
    <definedName name="shshryhasyhj" localSheetId="11" hidden="1">[15]!shshryhasyhj</definedName>
    <definedName name="shshryhasyhj" hidden="1">[15]!shshryhasyhj</definedName>
    <definedName name="shss" localSheetId="18" hidden="1">[15]!shss</definedName>
    <definedName name="shss" localSheetId="19" hidden="1">[15]!shss</definedName>
    <definedName name="shss" localSheetId="14" hidden="1">[15]!shss</definedName>
    <definedName name="shss" localSheetId="15" hidden="1">[15]!shss</definedName>
    <definedName name="shss" localSheetId="13" hidden="1">[15]!shss</definedName>
    <definedName name="shss" localSheetId="7" hidden="1">[15]!shss</definedName>
    <definedName name="shss" localSheetId="16" hidden="1">[15]!shss</definedName>
    <definedName name="shss" localSheetId="9" hidden="1">[15]!shss</definedName>
    <definedName name="shss" localSheetId="8" hidden="1">[15]!shss</definedName>
    <definedName name="shss" localSheetId="20" hidden="1">[15]!shss</definedName>
    <definedName name="shss" localSheetId="17" hidden="1">[15]!shss</definedName>
    <definedName name="shss" localSheetId="6" hidden="1">[15]!shss</definedName>
    <definedName name="shss" localSheetId="10" hidden="1">[15]!shss</definedName>
    <definedName name="shss" localSheetId="4" hidden="1">[15]!shss</definedName>
    <definedName name="shss" localSheetId="11" hidden="1">[15]!shss</definedName>
    <definedName name="shss" hidden="1">[15]!shss</definedName>
    <definedName name="SIB" localSheetId="14" hidden="1">{#N/A,#N/A,FALSE,"Aging Summary";#N/A,#N/A,FALSE,"Ratio Analysis";#N/A,#N/A,FALSE,"Test 120 Day Accts";#N/A,#N/A,FALSE,"Tickmarks"}</definedName>
    <definedName name="SIB" localSheetId="13" hidden="1">{#N/A,#N/A,FALSE,"Aging Summary";#N/A,#N/A,FALSE,"Ratio Analysis";#N/A,#N/A,FALSE,"Test 120 Day Accts";#N/A,#N/A,FALSE,"Tickmarks"}</definedName>
    <definedName name="SIB" localSheetId="7" hidden="1">{#N/A,#N/A,FALSE,"Aging Summary";#N/A,#N/A,FALSE,"Ratio Analysis";#N/A,#N/A,FALSE,"Test 120 Day Accts";#N/A,#N/A,FALSE,"Tickmarks"}</definedName>
    <definedName name="SIB" localSheetId="12" hidden="1">{#N/A,#N/A,FALSE,"Aging Summary";#N/A,#N/A,FALSE,"Ratio Analysis";#N/A,#N/A,FALSE,"Test 120 Day Accts";#N/A,#N/A,FALSE,"Tickmarks"}</definedName>
    <definedName name="SIB" localSheetId="9" hidden="1">{#N/A,#N/A,FALSE,"Aging Summary";#N/A,#N/A,FALSE,"Ratio Analysis";#N/A,#N/A,FALSE,"Test 120 Day Accts";#N/A,#N/A,FALSE,"Tickmarks"}</definedName>
    <definedName name="SIB" localSheetId="8" hidden="1">{#N/A,#N/A,FALSE,"Aging Summary";#N/A,#N/A,FALSE,"Ratio Analysis";#N/A,#N/A,FALSE,"Test 120 Day Accts";#N/A,#N/A,FALSE,"Tickmarks"}</definedName>
    <definedName name="SIB" localSheetId="6" hidden="1">{#N/A,#N/A,FALSE,"Aging Summary";#N/A,#N/A,FALSE,"Ratio Analysis";#N/A,#N/A,FALSE,"Test 120 Day Accts";#N/A,#N/A,FALSE,"Tickmarks"}</definedName>
    <definedName name="SIB" localSheetId="10" hidden="1">{#N/A,#N/A,FALSE,"Aging Summary";#N/A,#N/A,FALSE,"Ratio Analysis";#N/A,#N/A,FALSE,"Test 120 Day Accts";#N/A,#N/A,FALSE,"Tickmarks"}</definedName>
    <definedName name="SIB" localSheetId="5" hidden="1">{#N/A,#N/A,FALSE,"Aging Summary";#N/A,#N/A,FALSE,"Ratio Analysis";#N/A,#N/A,FALSE,"Test 120 Day Accts";#N/A,#N/A,FALSE,"Tickmarks"}</definedName>
    <definedName name="SIB" localSheetId="4" hidden="1">{#N/A,#N/A,FALSE,"Aging Summary";#N/A,#N/A,FALSE,"Ratio Analysis";#N/A,#N/A,FALSE,"Test 120 Day Accts";#N/A,#N/A,FALSE,"Tickmarks"}</definedName>
    <definedName name="SIB" localSheetId="11" hidden="1">{#N/A,#N/A,FALSE,"Aging Summary";#N/A,#N/A,FALSE,"Ratio Analysis";#N/A,#N/A,FALSE,"Test 120 Day Accts";#N/A,#N/A,FALSE,"Tickmarks"}</definedName>
    <definedName name="SIB" hidden="1">{#N/A,#N/A,FALSE,"Aging Summary";#N/A,#N/A,FALSE,"Ratio Analysis";#N/A,#N/A,FALSE,"Test 120 Day Accts";#N/A,#N/A,FALSE,"Tickmarks"}</definedName>
    <definedName name="SiteList1">[27]Static!$C$21:$C$41</definedName>
    <definedName name="SOVERTIME" localSheetId="5">#REF!</definedName>
    <definedName name="SOVERTIME" localSheetId="4">#REF!</definedName>
    <definedName name="SOVERTIME">#REF!</definedName>
    <definedName name="SP">'[20]Spiral Downtime'!$B$4:$B$35,'[20]Spiral Downtime'!$D$4:$E$35,'[20]Spiral Downtime'!$G$4:$H$34,'[20]Spiral Downtime'!$J$4:$K$34,'[20]Spiral Downtime'!$M$4:$N$34,'[20]Spiral Downtime'!$P$4:$Q$34,'[20]Spiral Downtime'!$S$4:$T$34,'[20]Spiral Downtime'!$V$4:$V$34</definedName>
    <definedName name="SS" localSheetId="5" hidden="1">#REF!</definedName>
    <definedName name="SS" localSheetId="4" hidden="1">#REF!</definedName>
    <definedName name="SS" hidden="1">#REF!</definedName>
    <definedName name="ssy" localSheetId="18" hidden="1">[15]!ssy</definedName>
    <definedName name="ssy" localSheetId="19" hidden="1">[15]!ssy</definedName>
    <definedName name="ssy" localSheetId="14" hidden="1">[15]!ssy</definedName>
    <definedName name="ssy" localSheetId="15" hidden="1">[15]!ssy</definedName>
    <definedName name="ssy" localSheetId="13" hidden="1">[15]!ssy</definedName>
    <definedName name="ssy" localSheetId="7" hidden="1">[15]!ssy</definedName>
    <definedName name="ssy" localSheetId="16" hidden="1">[15]!ssy</definedName>
    <definedName name="ssy" localSheetId="9" hidden="1">[15]!ssy</definedName>
    <definedName name="ssy" localSheetId="8" hidden="1">[15]!ssy</definedName>
    <definedName name="ssy" localSheetId="20" hidden="1">[15]!ssy</definedName>
    <definedName name="ssy" localSheetId="17" hidden="1">[15]!ssy</definedName>
    <definedName name="ssy" localSheetId="6" hidden="1">[15]!ssy</definedName>
    <definedName name="ssy" localSheetId="10" hidden="1">[15]!ssy</definedName>
    <definedName name="ssy" localSheetId="4" hidden="1">[15]!ssy</definedName>
    <definedName name="ssy" localSheetId="11" hidden="1">[15]!ssy</definedName>
    <definedName name="ssy" hidden="1">[15]!ssy</definedName>
    <definedName name="START" localSheetId="5">#REF!</definedName>
    <definedName name="START" localSheetId="4">#REF!</definedName>
    <definedName name="START">#REF!</definedName>
    <definedName name="STAT" localSheetId="5">#REF!</definedName>
    <definedName name="STAT" localSheetId="4">#REF!</definedName>
    <definedName name="STAT">#REF!</definedName>
    <definedName name="STATBIG" localSheetId="5">#REF!</definedName>
    <definedName name="STATBIG" localSheetId="4">#REF!</definedName>
    <definedName name="STATBIG">#REF!</definedName>
    <definedName name="Step1Dimensions" hidden="1">#REF!</definedName>
    <definedName name="Step2Manual" hidden="1">#REF!</definedName>
    <definedName name="Step2NumSizes" hidden="1">#REF!</definedName>
    <definedName name="Step2Ratio" hidden="1">#REF!</definedName>
    <definedName name="Step2TopSize" hidden="1">#REF!</definedName>
    <definedName name="Step2VertMassNames" hidden="1">#REF!</definedName>
    <definedName name="Step3LowSG" hidden="1">#REF!</definedName>
    <definedName name="Step3Manual" hidden="1">#REF!</definedName>
    <definedName name="Step3NumSGs" hidden="1">#REF!</definedName>
    <definedName name="Step3SGInterval" hidden="1">#REF!</definedName>
    <definedName name="Step4NumItems" hidden="1">#REF!</definedName>
    <definedName name="Step4StreamNames" hidden="1">#REF!</definedName>
    <definedName name="Step5NumItems" hidden="1">#REF!</definedName>
    <definedName name="Step5UnitNames" hidden="1">#REF!</definedName>
    <definedName name="Step6NumItems" hidden="1">#REF!</definedName>
    <definedName name="STORES">#REF!</definedName>
    <definedName name="SURFACE">[7]Charts!$A$57:$P$93</definedName>
    <definedName name="SV_AUTO_CONN_CATALOG">"VIPBIM006"</definedName>
    <definedName name="SV_AUTO_CONN_SERVER">""</definedName>
    <definedName name="SV_DBTYPE">"-1"</definedName>
    <definedName name="SV_ENCPT_AUTO_CONN_PASSWORD">"083096084083070124106113058056052051050062"</definedName>
    <definedName name="SV_ENCPT_AUTO_CONN_USER">"095094088070084124106113"</definedName>
    <definedName name="SV_ENCPT_LOGON_PWD">"078104085088070"</definedName>
    <definedName name="SV_ENCPT_LOGON_USER">"095094088070084"</definedName>
    <definedName name="SV_ENCPT_REPORT_MAINT_LEVEL">"076078091070078076"</definedName>
    <definedName name="SV_ENCPT_USER_ACCESS_LEVEL_ID">"069085100074070059"</definedName>
    <definedName name="SV_ENCPT_VIP_COMPANY_NUMBER">"085086071070084054049055"</definedName>
    <definedName name="SV_ENCPT_VIP_DATA_PATH">"095089070085074074059093088073084078073095076"</definedName>
    <definedName name="SV_PAS_PastelCompanyPath">"C:\PASTEL11\SODGF11\"</definedName>
    <definedName name="SV_PAS_PastelDatabase">"PAS11SODGF11"</definedName>
    <definedName name="SV_PAS_PervasiveServer">"GORDON-HP"</definedName>
    <definedName name="SV_REPORT_CODE">"P10-FI01-2-1"</definedName>
    <definedName name="SV_REPORT_ID">"2"</definedName>
    <definedName name="SV_REPORT_NAME">"Management Pack D-2-1 (P v11)"</definedName>
    <definedName name="SV_REPOSCODE">""</definedName>
    <definedName name="SV_SOLUTION_ID">"34"</definedName>
    <definedName name="SV_TENANT_CODE">""</definedName>
    <definedName name="TBL" localSheetId="5">#REF!</definedName>
    <definedName name="TBL" localSheetId="4">#REF!</definedName>
    <definedName name="TBL">#REF!</definedName>
    <definedName name="TextRefCopyRangeCount">2</definedName>
    <definedName name="TKM">[18]Haulage_Detailed!$AA:$AA</definedName>
    <definedName name="TLA.000" localSheetId="5" hidden="1">#REF!</definedName>
    <definedName name="TLA.000" localSheetId="4" hidden="1">#REF!</definedName>
    <definedName name="TLA.000" hidden="1">#REF!</definedName>
    <definedName name="TLA.003" hidden="1">#REF!</definedName>
    <definedName name="TOP_SOIL_DOWNHILL_FACTOR">'[16]Rise and Run Matrices'!$H$4</definedName>
    <definedName name="TotalHrsWorkedList" localSheetId="18">OFFSET(DateList,0,15)</definedName>
    <definedName name="TotalHrsWorkedList" localSheetId="19">OFFSET(DateList,0,15)</definedName>
    <definedName name="TotalHrsWorkedList" localSheetId="14">OFFSET(DateList,0,15)</definedName>
    <definedName name="TotalHrsWorkedList" localSheetId="15">OFFSET(DateList,0,15)</definedName>
    <definedName name="TotalHrsWorkedList" localSheetId="13">OFFSET(DateList,0,15)</definedName>
    <definedName name="TotalHrsWorkedList" localSheetId="7">OFFSET(DateList,0,15)</definedName>
    <definedName name="TotalHrsWorkedList" localSheetId="16">OFFSET(DateList,0,15)</definedName>
    <definedName name="TotalHrsWorkedList" localSheetId="12">OFFSET(DateList,0,15)</definedName>
    <definedName name="TotalHrsWorkedList" localSheetId="9">OFFSET(DateList,0,15)</definedName>
    <definedName name="TotalHrsWorkedList" localSheetId="8">OFFSET(DateList,0,15)</definedName>
    <definedName name="TotalHrsWorkedList" localSheetId="20">OFFSET(DateList,0,15)</definedName>
    <definedName name="TotalHrsWorkedList" localSheetId="17">OFFSET(DateList,0,15)</definedName>
    <definedName name="TotalHrsWorkedList" localSheetId="6">OFFSET(DateList,0,15)</definedName>
    <definedName name="TotalHrsWorkedList" localSheetId="10">OFFSET(DateList,0,15)</definedName>
    <definedName name="TotalHrsWorkedList" localSheetId="5">OFFSET(DateList,0,15)</definedName>
    <definedName name="TotalHrsWorkedList" localSheetId="4">OFFSET(DateList,0,15)</definedName>
    <definedName name="TotalHrsWorkedList" localSheetId="11">OFFSET(DateList,0,15)</definedName>
    <definedName name="TotalHrsWorkedList">OFFSET(DateList,0,15)</definedName>
    <definedName name="TotalIncidentsList" localSheetId="18">OFFSET(DateList,0,14)</definedName>
    <definedName name="TotalIncidentsList" localSheetId="19">OFFSET(DateList,0,14)</definedName>
    <definedName name="TotalIncidentsList" localSheetId="14">OFFSET(DateList,0,14)</definedName>
    <definedName name="TotalIncidentsList" localSheetId="15">OFFSET(DateList,0,14)</definedName>
    <definedName name="TotalIncidentsList" localSheetId="13">OFFSET(DateList,0,14)</definedName>
    <definedName name="TotalIncidentsList" localSheetId="7">OFFSET(DateList,0,14)</definedName>
    <definedName name="TotalIncidentsList" localSheetId="16">OFFSET(DateList,0,14)</definedName>
    <definedName name="TotalIncidentsList" localSheetId="12">OFFSET(DateList,0,14)</definedName>
    <definedName name="TotalIncidentsList" localSheetId="9">OFFSET(DateList,0,14)</definedName>
    <definedName name="TotalIncidentsList" localSheetId="8">OFFSET(DateList,0,14)</definedName>
    <definedName name="TotalIncidentsList" localSheetId="20">OFFSET(DateList,0,14)</definedName>
    <definedName name="TotalIncidentsList" localSheetId="17">OFFSET(DateList,0,14)</definedName>
    <definedName name="TotalIncidentsList" localSheetId="6">OFFSET(DateList,0,14)</definedName>
    <definedName name="TotalIncidentsList" localSheetId="10">OFFSET(DateList,0,14)</definedName>
    <definedName name="TotalIncidentsList" localSheetId="5">OFFSET(DateList,0,14)</definedName>
    <definedName name="TotalIncidentsList" localSheetId="4">OFFSET(DateList,0,14)</definedName>
    <definedName name="TotalIncidentsList" localSheetId="11">OFFSET(DateList,0,14)</definedName>
    <definedName name="TotalIncidentsList">OFFSET(DateList,0,14)</definedName>
    <definedName name="TotalInjuriesList" localSheetId="18">OFFSET(DateList,0,13)</definedName>
    <definedName name="TotalInjuriesList" localSheetId="19">OFFSET(DateList,0,13)</definedName>
    <definedName name="TotalInjuriesList" localSheetId="14">OFFSET(DateList,0,13)</definedName>
    <definedName name="TotalInjuriesList" localSheetId="15">OFFSET(DateList,0,13)</definedName>
    <definedName name="TotalInjuriesList" localSheetId="13">OFFSET(DateList,0,13)</definedName>
    <definedName name="TotalInjuriesList" localSheetId="7">OFFSET(DateList,0,13)</definedName>
    <definedName name="TotalInjuriesList" localSheetId="16">OFFSET(DateList,0,13)</definedName>
    <definedName name="TotalInjuriesList" localSheetId="12">OFFSET(DateList,0,13)</definedName>
    <definedName name="TotalInjuriesList" localSheetId="9">OFFSET(DateList,0,13)</definedName>
    <definedName name="TotalInjuriesList" localSheetId="8">OFFSET(DateList,0,13)</definedName>
    <definedName name="TotalInjuriesList" localSheetId="20">OFFSET(DateList,0,13)</definedName>
    <definedName name="TotalInjuriesList" localSheetId="17">OFFSET(DateList,0,13)</definedName>
    <definedName name="TotalInjuriesList" localSheetId="6">OFFSET(DateList,0,13)</definedName>
    <definedName name="TotalInjuriesList" localSheetId="10">OFFSET(DateList,0,13)</definedName>
    <definedName name="TotalInjuriesList" localSheetId="5">OFFSET(DateList,0,13)</definedName>
    <definedName name="TotalInjuriesList" localSheetId="4">OFFSET(DateList,0,13)</definedName>
    <definedName name="TotalInjuriesList" localSheetId="11">OFFSET(DateList,0,13)</definedName>
    <definedName name="TotalInjuriesList">OFFSET(DateList,0,13)</definedName>
    <definedName name="TPB" localSheetId="5" hidden="1">#REF!</definedName>
    <definedName name="TPB" localSheetId="4" hidden="1">#REF!</definedName>
    <definedName name="TPB" hidden="1">#REF!</definedName>
    <definedName name="TPBarry" hidden="1">#REF!</definedName>
    <definedName name="TRP" hidden="1">#REF!</definedName>
    <definedName name="tt" hidden="1">{#N/A,#N/A,TRUE,"EWAR";#N/A,#N/A,TRUE,"Sad";#N/A,#N/A,TRUE,"Yat";#N/A,#N/A,TRUE,"Nav";#N/A,#N/A,TRUE,"Mor";#N/A,#N/A,TRUE,"Geit"}</definedName>
    <definedName name="vaaaaaavavv" localSheetId="18" hidden="1">[15]!vaaaaaavavv</definedName>
    <definedName name="vaaaaaavavv" localSheetId="19" hidden="1">[15]!vaaaaaavavv</definedName>
    <definedName name="vaaaaaavavv" localSheetId="14" hidden="1">[15]!vaaaaaavavv</definedName>
    <definedName name="vaaaaaavavv" localSheetId="15" hidden="1">[15]!vaaaaaavavv</definedName>
    <definedName name="vaaaaaavavv" localSheetId="13" hidden="1">[15]!vaaaaaavavv</definedName>
    <definedName name="vaaaaaavavv" localSheetId="7" hidden="1">[15]!vaaaaaavavv</definedName>
    <definedName name="vaaaaaavavv" localSheetId="16" hidden="1">[15]!vaaaaaavavv</definedName>
    <definedName name="vaaaaaavavv" localSheetId="9" hidden="1">[15]!vaaaaaavavv</definedName>
    <definedName name="vaaaaaavavv" localSheetId="8" hidden="1">[15]!vaaaaaavavv</definedName>
    <definedName name="vaaaaaavavv" localSheetId="20" hidden="1">[15]!vaaaaaavavv</definedName>
    <definedName name="vaaaaaavavv" localSheetId="17" hidden="1">[15]!vaaaaaavavv</definedName>
    <definedName name="vaaaaaavavv" localSheetId="6" hidden="1">[15]!vaaaaaavavv</definedName>
    <definedName name="vaaaaaavavv" localSheetId="10" hidden="1">[15]!vaaaaaavavv</definedName>
    <definedName name="vaaaaaavavv" localSheetId="4" hidden="1">[15]!vaaaaaavavv</definedName>
    <definedName name="vaaaaaavavv" localSheetId="11" hidden="1">[15]!vaaaaaavavv</definedName>
    <definedName name="vaaaaaavavv" hidden="1">[15]!vaaaaaavavv</definedName>
    <definedName name="valuevx">42.314159</definedName>
    <definedName name="VARIANCE" localSheetId="5">#REF!</definedName>
    <definedName name="VARIANCE" localSheetId="4">#REF!</definedName>
    <definedName name="VARIANCE">#REF!</definedName>
    <definedName name="VIP_CompanyLongName">"Frontier S.P.R.L"</definedName>
    <definedName name="VIP_CompanyNumber">"6"</definedName>
    <definedName name="VIP_CompanyShortName">"FRONTIER"</definedName>
    <definedName name="VIP_PaymentCycle">"M"</definedName>
    <definedName name="VIP_PayPeriodInTaxYear">"2"</definedName>
    <definedName name="VIP_PeriodEndDate">"2014/02/28 12:00:00 AM"</definedName>
    <definedName name="VIP_WeekNumberInMonth">"0"</definedName>
    <definedName name="VIP_WeeksInMonth">"0"</definedName>
    <definedName name="VOLUME" localSheetId="5">#REF!</definedName>
    <definedName name="VOLUME" localSheetId="4">#REF!</definedName>
    <definedName name="VOLUME">#REF!</definedName>
    <definedName name="vvvv" localSheetId="5" hidden="1">#REF!</definedName>
    <definedName name="vvvv" localSheetId="4" hidden="1">#REF!</definedName>
    <definedName name="vvvv" hidden="1">#REF!</definedName>
    <definedName name="W" hidden="1">{#N/A,#N/A,TRUE,"EWAR";#N/A,#N/A,TRUE,"Sad";#N/A,#N/A,TRUE,"Yat";#N/A,#N/A,TRUE,"Nav";#N/A,#N/A,TRUE,"Mor";#N/A,#N/A,TRUE,"Geit"}</definedName>
    <definedName name="WASTE_DOWNHILL_FACTOR">'[16]Rise and Run Matrices'!$H$5</definedName>
    <definedName name="WASTE_MOISTURE" localSheetId="5">'[25]Units&amp;Instructions'!$D$3</definedName>
    <definedName name="WASTE_MOISTURE" localSheetId="4">'[25]Units&amp;Instructions'!$D$3</definedName>
    <definedName name="WASTE_MOISTURE">'[26]Units&amp;Instructions'!$D$3</definedName>
    <definedName name="WATER">[28]WATER!$B$1:$U$50</definedName>
    <definedName name="WCOST_MONTH" localSheetId="5">#REF!</definedName>
    <definedName name="WCOST_MONTH" localSheetId="4">#REF!</definedName>
    <definedName name="WCOST_MONTH">#REF!</definedName>
    <definedName name="WCOST_YTD" localSheetId="5">#REF!</definedName>
    <definedName name="WCOST_YTD" localSheetId="4">#REF!</definedName>
    <definedName name="WCOST_YTD">#REF!</definedName>
    <definedName name="wergqerrgqwergr" localSheetId="18" hidden="1">[15]!wergqerrgqwergr</definedName>
    <definedName name="wergqerrgqwergr" localSheetId="19" hidden="1">[15]!wergqerrgqwergr</definedName>
    <definedName name="wergqerrgqwergr" localSheetId="14" hidden="1">[15]!wergqerrgqwergr</definedName>
    <definedName name="wergqerrgqwergr" localSheetId="15" hidden="1">[15]!wergqerrgqwergr</definedName>
    <definedName name="wergqerrgqwergr" localSheetId="13" hidden="1">[15]!wergqerrgqwergr</definedName>
    <definedName name="wergqerrgqwergr" localSheetId="7" hidden="1">[15]!wergqerrgqwergr</definedName>
    <definedName name="wergqerrgqwergr" localSheetId="16" hidden="1">[15]!wergqerrgqwergr</definedName>
    <definedName name="wergqerrgqwergr" localSheetId="9" hidden="1">[15]!wergqerrgqwergr</definedName>
    <definedName name="wergqerrgqwergr" localSheetId="8" hidden="1">[15]!wergqerrgqwergr</definedName>
    <definedName name="wergqerrgqwergr" localSheetId="20" hidden="1">[15]!wergqerrgqwergr</definedName>
    <definedName name="wergqerrgqwergr" localSheetId="17" hidden="1">[15]!wergqerrgqwergr</definedName>
    <definedName name="wergqerrgqwergr" localSheetId="6" hidden="1">[15]!wergqerrgqwergr</definedName>
    <definedName name="wergqerrgqwergr" localSheetId="10" hidden="1">[15]!wergqerrgqwergr</definedName>
    <definedName name="wergqerrgqwergr" localSheetId="4" hidden="1">[15]!wergqerrgqwergr</definedName>
    <definedName name="wergqerrgqwergr" localSheetId="11" hidden="1">[15]!wergqerrgqwergr</definedName>
    <definedName name="wergqerrgqwergr" hidden="1">[15]!wergqerrgqwergr</definedName>
    <definedName name="WorkbookHasToBeValidated" hidden="1">TRUE</definedName>
    <definedName name="WorkingPath" hidden="1">"C:\Documents and Settings\phuntington\My Documents\Management Accounting\Monthly Management Reports\Development\Xstrata Reporting System\QLD\v1.812"</definedName>
    <definedName name="Workings_Contractors" localSheetId="14" hidden="1">{"Normalisation Journal",#N/A,FALSE,"Normalisation Jnl"}</definedName>
    <definedName name="Workings_Contractors" localSheetId="13" hidden="1">{"Normalisation Journal",#N/A,FALSE,"Normalisation Jnl"}</definedName>
    <definedName name="Workings_Contractors" localSheetId="7" hidden="1">{"Normalisation Journal",#N/A,FALSE,"Normalisation Jnl"}</definedName>
    <definedName name="Workings_Contractors" localSheetId="12" hidden="1">{"Normalisation Journal",#N/A,FALSE,"Normalisation Jnl"}</definedName>
    <definedName name="Workings_Contractors" localSheetId="9" hidden="1">{"Normalisation Journal",#N/A,FALSE,"Normalisation Jnl"}</definedName>
    <definedName name="Workings_Contractors" localSheetId="8" hidden="1">{"Normalisation Journal",#N/A,FALSE,"Normalisation Jnl"}</definedName>
    <definedName name="Workings_Contractors" localSheetId="6" hidden="1">{"Normalisation Journal",#N/A,FALSE,"Normalisation Jnl"}</definedName>
    <definedName name="Workings_Contractors" localSheetId="10" hidden="1">{"Normalisation Journal",#N/A,FALSE,"Normalisation Jnl"}</definedName>
    <definedName name="Workings_Contractors" localSheetId="5" hidden="1">{"Normalisation Journal",#N/A,FALSE,"Normalisation Jnl"}</definedName>
    <definedName name="Workings_Contractors" localSheetId="4" hidden="1">{"Normalisation Journal",#N/A,FALSE,"Normalisation Jnl"}</definedName>
    <definedName name="Workings_Contractors" localSheetId="11" hidden="1">{"Normalisation Journal",#N/A,FALSE,"Normalisation Jnl"}</definedName>
    <definedName name="Workings_Contractors" hidden="1">{"Normalisation Journal",#N/A,FALSE,"Normalisation Jnl"}</definedName>
    <definedName name="wrn.5713phar." localSheetId="14" hidden="1">{#N/A,#N/A,FALSE,"SUM";#N/A,#N/A,FALSE,"M7A";#N/A,#N/A,FALSE,"S7A";#N/A,#N/A,FALSE,"M7B";#N/A,#N/A,FALSE,"S7B";#N/A,#N/A,FALSE,"M8A";#N/A,#N/A,FALSE,"S8A";#N/A,#N/A,FALSE,"M8B";#N/A,#N/A,FALSE,"S8B";#N/A,#N/A,FALSE,"M8C";#N/A,#N/A,FALSE,"S8C";#N/A,#N/A,FALSE,"MUTB";#N/A,#N/A,FALSE,"SUTB";#N/A,#N/A,FALSE,"M1A";#N/A,#N/A,FALSE,"S1A";#N/A,#N/A,FALSE,"M1B";#N/A,#N/A,FALSE,"S1B";#N/A,#N/A,FALSE,"MA08";#N/A,#N/A,FALSE,"SA08";#N/A,#N/A,FALSE,"MA04";#N/A,#N/A,FALSE,"SA04";#N/A,#N/A,FALSE,"MPFC";#N/A,#N/A,FALSE,"SPFC";#N/A,#N/A,FALSE,"MCB";#N/A,#N/A,FALSE,"SCB";#N/A,#N/A,FALSE,"MCPC";#N/A,#N/A,FALSE,"SCPC";#N/A,#N/A,FALSE,"MDTC";#N/A,#N/A,FALSE,"SDTC";#N/A,#N/A,FALSE,"MODC";#N/A,#N/A,FALSE,"SODC";#N/A,#N/A,FALSE,"MDB";#N/A,#N/A,FALSE,"SDB";#N/A,#N/A,FALSE,"SDB"}</definedName>
    <definedName name="wrn.5713phar." localSheetId="13" hidden="1">{#N/A,#N/A,FALSE,"SUM";#N/A,#N/A,FALSE,"M7A";#N/A,#N/A,FALSE,"S7A";#N/A,#N/A,FALSE,"M7B";#N/A,#N/A,FALSE,"S7B";#N/A,#N/A,FALSE,"M8A";#N/A,#N/A,FALSE,"S8A";#N/A,#N/A,FALSE,"M8B";#N/A,#N/A,FALSE,"S8B";#N/A,#N/A,FALSE,"M8C";#N/A,#N/A,FALSE,"S8C";#N/A,#N/A,FALSE,"MUTB";#N/A,#N/A,FALSE,"SUTB";#N/A,#N/A,FALSE,"M1A";#N/A,#N/A,FALSE,"S1A";#N/A,#N/A,FALSE,"M1B";#N/A,#N/A,FALSE,"S1B";#N/A,#N/A,FALSE,"MA08";#N/A,#N/A,FALSE,"SA08";#N/A,#N/A,FALSE,"MA04";#N/A,#N/A,FALSE,"SA04";#N/A,#N/A,FALSE,"MPFC";#N/A,#N/A,FALSE,"SPFC";#N/A,#N/A,FALSE,"MCB";#N/A,#N/A,FALSE,"SCB";#N/A,#N/A,FALSE,"MCPC";#N/A,#N/A,FALSE,"SCPC";#N/A,#N/A,FALSE,"MDTC";#N/A,#N/A,FALSE,"SDTC";#N/A,#N/A,FALSE,"MODC";#N/A,#N/A,FALSE,"SODC";#N/A,#N/A,FALSE,"MDB";#N/A,#N/A,FALSE,"SDB";#N/A,#N/A,FALSE,"SDB"}</definedName>
    <definedName name="wrn.5713phar." localSheetId="7" hidden="1">{#N/A,#N/A,FALSE,"SUM";#N/A,#N/A,FALSE,"M7A";#N/A,#N/A,FALSE,"S7A";#N/A,#N/A,FALSE,"M7B";#N/A,#N/A,FALSE,"S7B";#N/A,#N/A,FALSE,"M8A";#N/A,#N/A,FALSE,"S8A";#N/A,#N/A,FALSE,"M8B";#N/A,#N/A,FALSE,"S8B";#N/A,#N/A,FALSE,"M8C";#N/A,#N/A,FALSE,"S8C";#N/A,#N/A,FALSE,"MUTB";#N/A,#N/A,FALSE,"SUTB";#N/A,#N/A,FALSE,"M1A";#N/A,#N/A,FALSE,"S1A";#N/A,#N/A,FALSE,"M1B";#N/A,#N/A,FALSE,"S1B";#N/A,#N/A,FALSE,"MA08";#N/A,#N/A,FALSE,"SA08";#N/A,#N/A,FALSE,"MA04";#N/A,#N/A,FALSE,"SA04";#N/A,#N/A,FALSE,"MPFC";#N/A,#N/A,FALSE,"SPFC";#N/A,#N/A,FALSE,"MCB";#N/A,#N/A,FALSE,"SCB";#N/A,#N/A,FALSE,"MCPC";#N/A,#N/A,FALSE,"SCPC";#N/A,#N/A,FALSE,"MDTC";#N/A,#N/A,FALSE,"SDTC";#N/A,#N/A,FALSE,"MODC";#N/A,#N/A,FALSE,"SODC";#N/A,#N/A,FALSE,"MDB";#N/A,#N/A,FALSE,"SDB";#N/A,#N/A,FALSE,"SDB"}</definedName>
    <definedName name="wrn.5713phar." localSheetId="12" hidden="1">{#N/A,#N/A,FALSE,"SUM";#N/A,#N/A,FALSE,"M7A";#N/A,#N/A,FALSE,"S7A";#N/A,#N/A,FALSE,"M7B";#N/A,#N/A,FALSE,"S7B";#N/A,#N/A,FALSE,"M8A";#N/A,#N/A,FALSE,"S8A";#N/A,#N/A,FALSE,"M8B";#N/A,#N/A,FALSE,"S8B";#N/A,#N/A,FALSE,"M8C";#N/A,#N/A,FALSE,"S8C";#N/A,#N/A,FALSE,"MUTB";#N/A,#N/A,FALSE,"SUTB";#N/A,#N/A,FALSE,"M1A";#N/A,#N/A,FALSE,"S1A";#N/A,#N/A,FALSE,"M1B";#N/A,#N/A,FALSE,"S1B";#N/A,#N/A,FALSE,"MA08";#N/A,#N/A,FALSE,"SA08";#N/A,#N/A,FALSE,"MA04";#N/A,#N/A,FALSE,"SA04";#N/A,#N/A,FALSE,"MPFC";#N/A,#N/A,FALSE,"SPFC";#N/A,#N/A,FALSE,"MCB";#N/A,#N/A,FALSE,"SCB";#N/A,#N/A,FALSE,"MCPC";#N/A,#N/A,FALSE,"SCPC";#N/A,#N/A,FALSE,"MDTC";#N/A,#N/A,FALSE,"SDTC";#N/A,#N/A,FALSE,"MODC";#N/A,#N/A,FALSE,"SODC";#N/A,#N/A,FALSE,"MDB";#N/A,#N/A,FALSE,"SDB";#N/A,#N/A,FALSE,"SDB"}</definedName>
    <definedName name="wrn.5713phar." localSheetId="9" hidden="1">{#N/A,#N/A,FALSE,"SUM";#N/A,#N/A,FALSE,"M7A";#N/A,#N/A,FALSE,"S7A";#N/A,#N/A,FALSE,"M7B";#N/A,#N/A,FALSE,"S7B";#N/A,#N/A,FALSE,"M8A";#N/A,#N/A,FALSE,"S8A";#N/A,#N/A,FALSE,"M8B";#N/A,#N/A,FALSE,"S8B";#N/A,#N/A,FALSE,"M8C";#N/A,#N/A,FALSE,"S8C";#N/A,#N/A,FALSE,"MUTB";#N/A,#N/A,FALSE,"SUTB";#N/A,#N/A,FALSE,"M1A";#N/A,#N/A,FALSE,"S1A";#N/A,#N/A,FALSE,"M1B";#N/A,#N/A,FALSE,"S1B";#N/A,#N/A,FALSE,"MA08";#N/A,#N/A,FALSE,"SA08";#N/A,#N/A,FALSE,"MA04";#N/A,#N/A,FALSE,"SA04";#N/A,#N/A,FALSE,"MPFC";#N/A,#N/A,FALSE,"SPFC";#N/A,#N/A,FALSE,"MCB";#N/A,#N/A,FALSE,"SCB";#N/A,#N/A,FALSE,"MCPC";#N/A,#N/A,FALSE,"SCPC";#N/A,#N/A,FALSE,"MDTC";#N/A,#N/A,FALSE,"SDTC";#N/A,#N/A,FALSE,"MODC";#N/A,#N/A,FALSE,"SODC";#N/A,#N/A,FALSE,"MDB";#N/A,#N/A,FALSE,"SDB";#N/A,#N/A,FALSE,"SDB"}</definedName>
    <definedName name="wrn.5713phar." localSheetId="8" hidden="1">{#N/A,#N/A,FALSE,"SUM";#N/A,#N/A,FALSE,"M7A";#N/A,#N/A,FALSE,"S7A";#N/A,#N/A,FALSE,"M7B";#N/A,#N/A,FALSE,"S7B";#N/A,#N/A,FALSE,"M8A";#N/A,#N/A,FALSE,"S8A";#N/A,#N/A,FALSE,"M8B";#N/A,#N/A,FALSE,"S8B";#N/A,#N/A,FALSE,"M8C";#N/A,#N/A,FALSE,"S8C";#N/A,#N/A,FALSE,"MUTB";#N/A,#N/A,FALSE,"SUTB";#N/A,#N/A,FALSE,"M1A";#N/A,#N/A,FALSE,"S1A";#N/A,#N/A,FALSE,"M1B";#N/A,#N/A,FALSE,"S1B";#N/A,#N/A,FALSE,"MA08";#N/A,#N/A,FALSE,"SA08";#N/A,#N/A,FALSE,"MA04";#N/A,#N/A,FALSE,"SA04";#N/A,#N/A,FALSE,"MPFC";#N/A,#N/A,FALSE,"SPFC";#N/A,#N/A,FALSE,"MCB";#N/A,#N/A,FALSE,"SCB";#N/A,#N/A,FALSE,"MCPC";#N/A,#N/A,FALSE,"SCPC";#N/A,#N/A,FALSE,"MDTC";#N/A,#N/A,FALSE,"SDTC";#N/A,#N/A,FALSE,"MODC";#N/A,#N/A,FALSE,"SODC";#N/A,#N/A,FALSE,"MDB";#N/A,#N/A,FALSE,"SDB";#N/A,#N/A,FALSE,"SDB"}</definedName>
    <definedName name="wrn.5713phar." localSheetId="6" hidden="1">{#N/A,#N/A,FALSE,"SUM";#N/A,#N/A,FALSE,"M7A";#N/A,#N/A,FALSE,"S7A";#N/A,#N/A,FALSE,"M7B";#N/A,#N/A,FALSE,"S7B";#N/A,#N/A,FALSE,"M8A";#N/A,#N/A,FALSE,"S8A";#N/A,#N/A,FALSE,"M8B";#N/A,#N/A,FALSE,"S8B";#N/A,#N/A,FALSE,"M8C";#N/A,#N/A,FALSE,"S8C";#N/A,#N/A,FALSE,"MUTB";#N/A,#N/A,FALSE,"SUTB";#N/A,#N/A,FALSE,"M1A";#N/A,#N/A,FALSE,"S1A";#N/A,#N/A,FALSE,"M1B";#N/A,#N/A,FALSE,"S1B";#N/A,#N/A,FALSE,"MA08";#N/A,#N/A,FALSE,"SA08";#N/A,#N/A,FALSE,"MA04";#N/A,#N/A,FALSE,"SA04";#N/A,#N/A,FALSE,"MPFC";#N/A,#N/A,FALSE,"SPFC";#N/A,#N/A,FALSE,"MCB";#N/A,#N/A,FALSE,"SCB";#N/A,#N/A,FALSE,"MCPC";#N/A,#N/A,FALSE,"SCPC";#N/A,#N/A,FALSE,"MDTC";#N/A,#N/A,FALSE,"SDTC";#N/A,#N/A,FALSE,"MODC";#N/A,#N/A,FALSE,"SODC";#N/A,#N/A,FALSE,"MDB";#N/A,#N/A,FALSE,"SDB";#N/A,#N/A,FALSE,"SDB"}</definedName>
    <definedName name="wrn.5713phar." localSheetId="10" hidden="1">{#N/A,#N/A,FALSE,"SUM";#N/A,#N/A,FALSE,"M7A";#N/A,#N/A,FALSE,"S7A";#N/A,#N/A,FALSE,"M7B";#N/A,#N/A,FALSE,"S7B";#N/A,#N/A,FALSE,"M8A";#N/A,#N/A,FALSE,"S8A";#N/A,#N/A,FALSE,"M8B";#N/A,#N/A,FALSE,"S8B";#N/A,#N/A,FALSE,"M8C";#N/A,#N/A,FALSE,"S8C";#N/A,#N/A,FALSE,"MUTB";#N/A,#N/A,FALSE,"SUTB";#N/A,#N/A,FALSE,"M1A";#N/A,#N/A,FALSE,"S1A";#N/A,#N/A,FALSE,"M1B";#N/A,#N/A,FALSE,"S1B";#N/A,#N/A,FALSE,"MA08";#N/A,#N/A,FALSE,"SA08";#N/A,#N/A,FALSE,"MA04";#N/A,#N/A,FALSE,"SA04";#N/A,#N/A,FALSE,"MPFC";#N/A,#N/A,FALSE,"SPFC";#N/A,#N/A,FALSE,"MCB";#N/A,#N/A,FALSE,"SCB";#N/A,#N/A,FALSE,"MCPC";#N/A,#N/A,FALSE,"SCPC";#N/A,#N/A,FALSE,"MDTC";#N/A,#N/A,FALSE,"SDTC";#N/A,#N/A,FALSE,"MODC";#N/A,#N/A,FALSE,"SODC";#N/A,#N/A,FALSE,"MDB";#N/A,#N/A,FALSE,"SDB";#N/A,#N/A,FALSE,"SDB"}</definedName>
    <definedName name="wrn.5713phar." localSheetId="5" hidden="1">{#N/A,#N/A,FALSE,"SUM";#N/A,#N/A,FALSE,"M7A";#N/A,#N/A,FALSE,"S7A";#N/A,#N/A,FALSE,"M7B";#N/A,#N/A,FALSE,"S7B";#N/A,#N/A,FALSE,"M8A";#N/A,#N/A,FALSE,"S8A";#N/A,#N/A,FALSE,"M8B";#N/A,#N/A,FALSE,"S8B";#N/A,#N/A,FALSE,"M8C";#N/A,#N/A,FALSE,"S8C";#N/A,#N/A,FALSE,"MUTB";#N/A,#N/A,FALSE,"SUTB";#N/A,#N/A,FALSE,"M1A";#N/A,#N/A,FALSE,"S1A";#N/A,#N/A,FALSE,"M1B";#N/A,#N/A,FALSE,"S1B";#N/A,#N/A,FALSE,"MA08";#N/A,#N/A,FALSE,"SA08";#N/A,#N/A,FALSE,"MA04";#N/A,#N/A,FALSE,"SA04";#N/A,#N/A,FALSE,"MPFC";#N/A,#N/A,FALSE,"SPFC";#N/A,#N/A,FALSE,"MCB";#N/A,#N/A,FALSE,"SCB";#N/A,#N/A,FALSE,"MCPC";#N/A,#N/A,FALSE,"SCPC";#N/A,#N/A,FALSE,"MDTC";#N/A,#N/A,FALSE,"SDTC";#N/A,#N/A,FALSE,"MODC";#N/A,#N/A,FALSE,"SODC";#N/A,#N/A,FALSE,"MDB";#N/A,#N/A,FALSE,"SDB";#N/A,#N/A,FALSE,"SDB"}</definedName>
    <definedName name="wrn.5713phar." localSheetId="4" hidden="1">{#N/A,#N/A,FALSE,"SUM";#N/A,#N/A,FALSE,"M7A";#N/A,#N/A,FALSE,"S7A";#N/A,#N/A,FALSE,"M7B";#N/A,#N/A,FALSE,"S7B";#N/A,#N/A,FALSE,"M8A";#N/A,#N/A,FALSE,"S8A";#N/A,#N/A,FALSE,"M8B";#N/A,#N/A,FALSE,"S8B";#N/A,#N/A,FALSE,"M8C";#N/A,#N/A,FALSE,"S8C";#N/A,#N/A,FALSE,"MUTB";#N/A,#N/A,FALSE,"SUTB";#N/A,#N/A,FALSE,"M1A";#N/A,#N/A,FALSE,"S1A";#N/A,#N/A,FALSE,"M1B";#N/A,#N/A,FALSE,"S1B";#N/A,#N/A,FALSE,"MA08";#N/A,#N/A,FALSE,"SA08";#N/A,#N/A,FALSE,"MA04";#N/A,#N/A,FALSE,"SA04";#N/A,#N/A,FALSE,"MPFC";#N/A,#N/A,FALSE,"SPFC";#N/A,#N/A,FALSE,"MCB";#N/A,#N/A,FALSE,"SCB";#N/A,#N/A,FALSE,"MCPC";#N/A,#N/A,FALSE,"SCPC";#N/A,#N/A,FALSE,"MDTC";#N/A,#N/A,FALSE,"SDTC";#N/A,#N/A,FALSE,"MODC";#N/A,#N/A,FALSE,"SODC";#N/A,#N/A,FALSE,"MDB";#N/A,#N/A,FALSE,"SDB";#N/A,#N/A,FALSE,"SDB"}</definedName>
    <definedName name="wrn.5713phar." localSheetId="11" hidden="1">{#N/A,#N/A,FALSE,"SUM";#N/A,#N/A,FALSE,"M7A";#N/A,#N/A,FALSE,"S7A";#N/A,#N/A,FALSE,"M7B";#N/A,#N/A,FALSE,"S7B";#N/A,#N/A,FALSE,"M8A";#N/A,#N/A,FALSE,"S8A";#N/A,#N/A,FALSE,"M8B";#N/A,#N/A,FALSE,"S8B";#N/A,#N/A,FALSE,"M8C";#N/A,#N/A,FALSE,"S8C";#N/A,#N/A,FALSE,"MUTB";#N/A,#N/A,FALSE,"SUTB";#N/A,#N/A,FALSE,"M1A";#N/A,#N/A,FALSE,"S1A";#N/A,#N/A,FALSE,"M1B";#N/A,#N/A,FALSE,"S1B";#N/A,#N/A,FALSE,"MA08";#N/A,#N/A,FALSE,"SA08";#N/A,#N/A,FALSE,"MA04";#N/A,#N/A,FALSE,"SA04";#N/A,#N/A,FALSE,"MPFC";#N/A,#N/A,FALSE,"SPFC";#N/A,#N/A,FALSE,"MCB";#N/A,#N/A,FALSE,"SCB";#N/A,#N/A,FALSE,"MCPC";#N/A,#N/A,FALSE,"SCPC";#N/A,#N/A,FALSE,"MDTC";#N/A,#N/A,FALSE,"SDTC";#N/A,#N/A,FALSE,"MODC";#N/A,#N/A,FALSE,"SODC";#N/A,#N/A,FALSE,"MDB";#N/A,#N/A,FALSE,"SDB";#N/A,#N/A,FALSE,"SDB"}</definedName>
    <definedName name="wrn.5713phar." hidden="1">{#N/A,#N/A,FALSE,"SUM";#N/A,#N/A,FALSE,"M7A";#N/A,#N/A,FALSE,"S7A";#N/A,#N/A,FALSE,"M7B";#N/A,#N/A,FALSE,"S7B";#N/A,#N/A,FALSE,"M8A";#N/A,#N/A,FALSE,"S8A";#N/A,#N/A,FALSE,"M8B";#N/A,#N/A,FALSE,"S8B";#N/A,#N/A,FALSE,"M8C";#N/A,#N/A,FALSE,"S8C";#N/A,#N/A,FALSE,"MUTB";#N/A,#N/A,FALSE,"SUTB";#N/A,#N/A,FALSE,"M1A";#N/A,#N/A,FALSE,"S1A";#N/A,#N/A,FALSE,"M1B";#N/A,#N/A,FALSE,"S1B";#N/A,#N/A,FALSE,"MA08";#N/A,#N/A,FALSE,"SA08";#N/A,#N/A,FALSE,"MA04";#N/A,#N/A,FALSE,"SA04";#N/A,#N/A,FALSE,"MPFC";#N/A,#N/A,FALSE,"SPFC";#N/A,#N/A,FALSE,"MCB";#N/A,#N/A,FALSE,"SCB";#N/A,#N/A,FALSE,"MCPC";#N/A,#N/A,FALSE,"SCPC";#N/A,#N/A,FALSE,"MDTC";#N/A,#N/A,FALSE,"SDTC";#N/A,#N/A,FALSE,"MODC";#N/A,#N/A,FALSE,"SODC";#N/A,#N/A,FALSE,"MDB";#N/A,#N/A,FALSE,"SDB";#N/A,#N/A,FALSE,"SDB"}</definedName>
    <definedName name="wrn.5714phar" localSheetId="14" hidden="1">{#N/A,#N/A,FALSE,"SUM";#N/A,#N/A,FALSE,"M7A";#N/A,#N/A,FALSE,"S7A";#N/A,#N/A,FALSE,"M7B";#N/A,#N/A,FALSE,"S7B";#N/A,#N/A,FALSE,"M8A";#N/A,#N/A,FALSE,"S8A";#N/A,#N/A,FALSE,"M8B";#N/A,#N/A,FALSE,"S8B";#N/A,#N/A,FALSE,"M8C";#N/A,#N/A,FALSE,"S8C";#N/A,#N/A,FALSE,"MUTB";#N/A,#N/A,FALSE,"SUTB";#N/A,#N/A,FALSE,"M1A";#N/A,#N/A,FALSE,"S1A";#N/A,#N/A,FALSE,"M1B";#N/A,#N/A,FALSE,"S1B";#N/A,#N/A,FALSE,"MA08";#N/A,#N/A,FALSE,"SA08";#N/A,#N/A,FALSE,"MA04";#N/A,#N/A,FALSE,"SA04";#N/A,#N/A,FALSE,"MPFC";#N/A,#N/A,FALSE,"SPFC";#N/A,#N/A,FALSE,"MCB";#N/A,#N/A,FALSE,"SCB";#N/A,#N/A,FALSE,"MCPC";#N/A,#N/A,FALSE,"SCPC";#N/A,#N/A,FALSE,"MDTC";#N/A,#N/A,FALSE,"SDTC";#N/A,#N/A,FALSE,"MODC";#N/A,#N/A,FALSE,"SODC";#N/A,#N/A,FALSE,"MDB";#N/A,#N/A,FALSE,"SDB";#N/A,#N/A,FALSE,"SDB"}</definedName>
    <definedName name="wrn.5714phar" localSheetId="13" hidden="1">{#N/A,#N/A,FALSE,"SUM";#N/A,#N/A,FALSE,"M7A";#N/A,#N/A,FALSE,"S7A";#N/A,#N/A,FALSE,"M7B";#N/A,#N/A,FALSE,"S7B";#N/A,#N/A,FALSE,"M8A";#N/A,#N/A,FALSE,"S8A";#N/A,#N/A,FALSE,"M8B";#N/A,#N/A,FALSE,"S8B";#N/A,#N/A,FALSE,"M8C";#N/A,#N/A,FALSE,"S8C";#N/A,#N/A,FALSE,"MUTB";#N/A,#N/A,FALSE,"SUTB";#N/A,#N/A,FALSE,"M1A";#N/A,#N/A,FALSE,"S1A";#N/A,#N/A,FALSE,"M1B";#N/A,#N/A,FALSE,"S1B";#N/A,#N/A,FALSE,"MA08";#N/A,#N/A,FALSE,"SA08";#N/A,#N/A,FALSE,"MA04";#N/A,#N/A,FALSE,"SA04";#N/A,#N/A,FALSE,"MPFC";#N/A,#N/A,FALSE,"SPFC";#N/A,#N/A,FALSE,"MCB";#N/A,#N/A,FALSE,"SCB";#N/A,#N/A,FALSE,"MCPC";#N/A,#N/A,FALSE,"SCPC";#N/A,#N/A,FALSE,"MDTC";#N/A,#N/A,FALSE,"SDTC";#N/A,#N/A,FALSE,"MODC";#N/A,#N/A,FALSE,"SODC";#N/A,#N/A,FALSE,"MDB";#N/A,#N/A,FALSE,"SDB";#N/A,#N/A,FALSE,"SDB"}</definedName>
    <definedName name="wrn.5714phar" localSheetId="7" hidden="1">{#N/A,#N/A,FALSE,"SUM";#N/A,#N/A,FALSE,"M7A";#N/A,#N/A,FALSE,"S7A";#N/A,#N/A,FALSE,"M7B";#N/A,#N/A,FALSE,"S7B";#N/A,#N/A,FALSE,"M8A";#N/A,#N/A,FALSE,"S8A";#N/A,#N/A,FALSE,"M8B";#N/A,#N/A,FALSE,"S8B";#N/A,#N/A,FALSE,"M8C";#N/A,#N/A,FALSE,"S8C";#N/A,#N/A,FALSE,"MUTB";#N/A,#N/A,FALSE,"SUTB";#N/A,#N/A,FALSE,"M1A";#N/A,#N/A,FALSE,"S1A";#N/A,#N/A,FALSE,"M1B";#N/A,#N/A,FALSE,"S1B";#N/A,#N/A,FALSE,"MA08";#N/A,#N/A,FALSE,"SA08";#N/A,#N/A,FALSE,"MA04";#N/A,#N/A,FALSE,"SA04";#N/A,#N/A,FALSE,"MPFC";#N/A,#N/A,FALSE,"SPFC";#N/A,#N/A,FALSE,"MCB";#N/A,#N/A,FALSE,"SCB";#N/A,#N/A,FALSE,"MCPC";#N/A,#N/A,FALSE,"SCPC";#N/A,#N/A,FALSE,"MDTC";#N/A,#N/A,FALSE,"SDTC";#N/A,#N/A,FALSE,"MODC";#N/A,#N/A,FALSE,"SODC";#N/A,#N/A,FALSE,"MDB";#N/A,#N/A,FALSE,"SDB";#N/A,#N/A,FALSE,"SDB"}</definedName>
    <definedName name="wrn.5714phar" localSheetId="12" hidden="1">{#N/A,#N/A,FALSE,"SUM";#N/A,#N/A,FALSE,"M7A";#N/A,#N/A,FALSE,"S7A";#N/A,#N/A,FALSE,"M7B";#N/A,#N/A,FALSE,"S7B";#N/A,#N/A,FALSE,"M8A";#N/A,#N/A,FALSE,"S8A";#N/A,#N/A,FALSE,"M8B";#N/A,#N/A,FALSE,"S8B";#N/A,#N/A,FALSE,"M8C";#N/A,#N/A,FALSE,"S8C";#N/A,#N/A,FALSE,"MUTB";#N/A,#N/A,FALSE,"SUTB";#N/A,#N/A,FALSE,"M1A";#N/A,#N/A,FALSE,"S1A";#N/A,#N/A,FALSE,"M1B";#N/A,#N/A,FALSE,"S1B";#N/A,#N/A,FALSE,"MA08";#N/A,#N/A,FALSE,"SA08";#N/A,#N/A,FALSE,"MA04";#N/A,#N/A,FALSE,"SA04";#N/A,#N/A,FALSE,"MPFC";#N/A,#N/A,FALSE,"SPFC";#N/A,#N/A,FALSE,"MCB";#N/A,#N/A,FALSE,"SCB";#N/A,#N/A,FALSE,"MCPC";#N/A,#N/A,FALSE,"SCPC";#N/A,#N/A,FALSE,"MDTC";#N/A,#N/A,FALSE,"SDTC";#N/A,#N/A,FALSE,"MODC";#N/A,#N/A,FALSE,"SODC";#N/A,#N/A,FALSE,"MDB";#N/A,#N/A,FALSE,"SDB";#N/A,#N/A,FALSE,"SDB"}</definedName>
    <definedName name="wrn.5714phar" localSheetId="9" hidden="1">{#N/A,#N/A,FALSE,"SUM";#N/A,#N/A,FALSE,"M7A";#N/A,#N/A,FALSE,"S7A";#N/A,#N/A,FALSE,"M7B";#N/A,#N/A,FALSE,"S7B";#N/A,#N/A,FALSE,"M8A";#N/A,#N/A,FALSE,"S8A";#N/A,#N/A,FALSE,"M8B";#N/A,#N/A,FALSE,"S8B";#N/A,#N/A,FALSE,"M8C";#N/A,#N/A,FALSE,"S8C";#N/A,#N/A,FALSE,"MUTB";#N/A,#N/A,FALSE,"SUTB";#N/A,#N/A,FALSE,"M1A";#N/A,#N/A,FALSE,"S1A";#N/A,#N/A,FALSE,"M1B";#N/A,#N/A,FALSE,"S1B";#N/A,#N/A,FALSE,"MA08";#N/A,#N/A,FALSE,"SA08";#N/A,#N/A,FALSE,"MA04";#N/A,#N/A,FALSE,"SA04";#N/A,#N/A,FALSE,"MPFC";#N/A,#N/A,FALSE,"SPFC";#N/A,#N/A,FALSE,"MCB";#N/A,#N/A,FALSE,"SCB";#N/A,#N/A,FALSE,"MCPC";#N/A,#N/A,FALSE,"SCPC";#N/A,#N/A,FALSE,"MDTC";#N/A,#N/A,FALSE,"SDTC";#N/A,#N/A,FALSE,"MODC";#N/A,#N/A,FALSE,"SODC";#N/A,#N/A,FALSE,"MDB";#N/A,#N/A,FALSE,"SDB";#N/A,#N/A,FALSE,"SDB"}</definedName>
    <definedName name="wrn.5714phar" localSheetId="8" hidden="1">{#N/A,#N/A,FALSE,"SUM";#N/A,#N/A,FALSE,"M7A";#N/A,#N/A,FALSE,"S7A";#N/A,#N/A,FALSE,"M7B";#N/A,#N/A,FALSE,"S7B";#N/A,#N/A,FALSE,"M8A";#N/A,#N/A,FALSE,"S8A";#N/A,#N/A,FALSE,"M8B";#N/A,#N/A,FALSE,"S8B";#N/A,#N/A,FALSE,"M8C";#N/A,#N/A,FALSE,"S8C";#N/A,#N/A,FALSE,"MUTB";#N/A,#N/A,FALSE,"SUTB";#N/A,#N/A,FALSE,"M1A";#N/A,#N/A,FALSE,"S1A";#N/A,#N/A,FALSE,"M1B";#N/A,#N/A,FALSE,"S1B";#N/A,#N/A,FALSE,"MA08";#N/A,#N/A,FALSE,"SA08";#N/A,#N/A,FALSE,"MA04";#N/A,#N/A,FALSE,"SA04";#N/A,#N/A,FALSE,"MPFC";#N/A,#N/A,FALSE,"SPFC";#N/A,#N/A,FALSE,"MCB";#N/A,#N/A,FALSE,"SCB";#N/A,#N/A,FALSE,"MCPC";#N/A,#N/A,FALSE,"SCPC";#N/A,#N/A,FALSE,"MDTC";#N/A,#N/A,FALSE,"SDTC";#N/A,#N/A,FALSE,"MODC";#N/A,#N/A,FALSE,"SODC";#N/A,#N/A,FALSE,"MDB";#N/A,#N/A,FALSE,"SDB";#N/A,#N/A,FALSE,"SDB"}</definedName>
    <definedName name="wrn.5714phar" localSheetId="6" hidden="1">{#N/A,#N/A,FALSE,"SUM";#N/A,#N/A,FALSE,"M7A";#N/A,#N/A,FALSE,"S7A";#N/A,#N/A,FALSE,"M7B";#N/A,#N/A,FALSE,"S7B";#N/A,#N/A,FALSE,"M8A";#N/A,#N/A,FALSE,"S8A";#N/A,#N/A,FALSE,"M8B";#N/A,#N/A,FALSE,"S8B";#N/A,#N/A,FALSE,"M8C";#N/A,#N/A,FALSE,"S8C";#N/A,#N/A,FALSE,"MUTB";#N/A,#N/A,FALSE,"SUTB";#N/A,#N/A,FALSE,"M1A";#N/A,#N/A,FALSE,"S1A";#N/A,#N/A,FALSE,"M1B";#N/A,#N/A,FALSE,"S1B";#N/A,#N/A,FALSE,"MA08";#N/A,#N/A,FALSE,"SA08";#N/A,#N/A,FALSE,"MA04";#N/A,#N/A,FALSE,"SA04";#N/A,#N/A,FALSE,"MPFC";#N/A,#N/A,FALSE,"SPFC";#N/A,#N/A,FALSE,"MCB";#N/A,#N/A,FALSE,"SCB";#N/A,#N/A,FALSE,"MCPC";#N/A,#N/A,FALSE,"SCPC";#N/A,#N/A,FALSE,"MDTC";#N/A,#N/A,FALSE,"SDTC";#N/A,#N/A,FALSE,"MODC";#N/A,#N/A,FALSE,"SODC";#N/A,#N/A,FALSE,"MDB";#N/A,#N/A,FALSE,"SDB";#N/A,#N/A,FALSE,"SDB"}</definedName>
    <definedName name="wrn.5714phar" localSheetId="10" hidden="1">{#N/A,#N/A,FALSE,"SUM";#N/A,#N/A,FALSE,"M7A";#N/A,#N/A,FALSE,"S7A";#N/A,#N/A,FALSE,"M7B";#N/A,#N/A,FALSE,"S7B";#N/A,#N/A,FALSE,"M8A";#N/A,#N/A,FALSE,"S8A";#N/A,#N/A,FALSE,"M8B";#N/A,#N/A,FALSE,"S8B";#N/A,#N/A,FALSE,"M8C";#N/A,#N/A,FALSE,"S8C";#N/A,#N/A,FALSE,"MUTB";#N/A,#N/A,FALSE,"SUTB";#N/A,#N/A,FALSE,"M1A";#N/A,#N/A,FALSE,"S1A";#N/A,#N/A,FALSE,"M1B";#N/A,#N/A,FALSE,"S1B";#N/A,#N/A,FALSE,"MA08";#N/A,#N/A,FALSE,"SA08";#N/A,#N/A,FALSE,"MA04";#N/A,#N/A,FALSE,"SA04";#N/A,#N/A,FALSE,"MPFC";#N/A,#N/A,FALSE,"SPFC";#N/A,#N/A,FALSE,"MCB";#N/A,#N/A,FALSE,"SCB";#N/A,#N/A,FALSE,"MCPC";#N/A,#N/A,FALSE,"SCPC";#N/A,#N/A,FALSE,"MDTC";#N/A,#N/A,FALSE,"SDTC";#N/A,#N/A,FALSE,"MODC";#N/A,#N/A,FALSE,"SODC";#N/A,#N/A,FALSE,"MDB";#N/A,#N/A,FALSE,"SDB";#N/A,#N/A,FALSE,"SDB"}</definedName>
    <definedName name="wrn.5714phar" localSheetId="5" hidden="1">{#N/A,#N/A,FALSE,"SUM";#N/A,#N/A,FALSE,"M7A";#N/A,#N/A,FALSE,"S7A";#N/A,#N/A,FALSE,"M7B";#N/A,#N/A,FALSE,"S7B";#N/A,#N/A,FALSE,"M8A";#N/A,#N/A,FALSE,"S8A";#N/A,#N/A,FALSE,"M8B";#N/A,#N/A,FALSE,"S8B";#N/A,#N/A,FALSE,"M8C";#N/A,#N/A,FALSE,"S8C";#N/A,#N/A,FALSE,"MUTB";#N/A,#N/A,FALSE,"SUTB";#N/A,#N/A,FALSE,"M1A";#N/A,#N/A,FALSE,"S1A";#N/A,#N/A,FALSE,"M1B";#N/A,#N/A,FALSE,"S1B";#N/A,#N/A,FALSE,"MA08";#N/A,#N/A,FALSE,"SA08";#N/A,#N/A,FALSE,"MA04";#N/A,#N/A,FALSE,"SA04";#N/A,#N/A,FALSE,"MPFC";#N/A,#N/A,FALSE,"SPFC";#N/A,#N/A,FALSE,"MCB";#N/A,#N/A,FALSE,"SCB";#N/A,#N/A,FALSE,"MCPC";#N/A,#N/A,FALSE,"SCPC";#N/A,#N/A,FALSE,"MDTC";#N/A,#N/A,FALSE,"SDTC";#N/A,#N/A,FALSE,"MODC";#N/A,#N/A,FALSE,"SODC";#N/A,#N/A,FALSE,"MDB";#N/A,#N/A,FALSE,"SDB";#N/A,#N/A,FALSE,"SDB"}</definedName>
    <definedName name="wrn.5714phar" localSheetId="4" hidden="1">{#N/A,#N/A,FALSE,"SUM";#N/A,#N/A,FALSE,"M7A";#N/A,#N/A,FALSE,"S7A";#N/A,#N/A,FALSE,"M7B";#N/A,#N/A,FALSE,"S7B";#N/A,#N/A,FALSE,"M8A";#N/A,#N/A,FALSE,"S8A";#N/A,#N/A,FALSE,"M8B";#N/A,#N/A,FALSE,"S8B";#N/A,#N/A,FALSE,"M8C";#N/A,#N/A,FALSE,"S8C";#N/A,#N/A,FALSE,"MUTB";#N/A,#N/A,FALSE,"SUTB";#N/A,#N/A,FALSE,"M1A";#N/A,#N/A,FALSE,"S1A";#N/A,#N/A,FALSE,"M1B";#N/A,#N/A,FALSE,"S1B";#N/A,#N/A,FALSE,"MA08";#N/A,#N/A,FALSE,"SA08";#N/A,#N/A,FALSE,"MA04";#N/A,#N/A,FALSE,"SA04";#N/A,#N/A,FALSE,"MPFC";#N/A,#N/A,FALSE,"SPFC";#N/A,#N/A,FALSE,"MCB";#N/A,#N/A,FALSE,"SCB";#N/A,#N/A,FALSE,"MCPC";#N/A,#N/A,FALSE,"SCPC";#N/A,#N/A,FALSE,"MDTC";#N/A,#N/A,FALSE,"SDTC";#N/A,#N/A,FALSE,"MODC";#N/A,#N/A,FALSE,"SODC";#N/A,#N/A,FALSE,"MDB";#N/A,#N/A,FALSE,"SDB";#N/A,#N/A,FALSE,"SDB"}</definedName>
    <definedName name="wrn.5714phar" localSheetId="11" hidden="1">{#N/A,#N/A,FALSE,"SUM";#N/A,#N/A,FALSE,"M7A";#N/A,#N/A,FALSE,"S7A";#N/A,#N/A,FALSE,"M7B";#N/A,#N/A,FALSE,"S7B";#N/A,#N/A,FALSE,"M8A";#N/A,#N/A,FALSE,"S8A";#N/A,#N/A,FALSE,"M8B";#N/A,#N/A,FALSE,"S8B";#N/A,#N/A,FALSE,"M8C";#N/A,#N/A,FALSE,"S8C";#N/A,#N/A,FALSE,"MUTB";#N/A,#N/A,FALSE,"SUTB";#N/A,#N/A,FALSE,"M1A";#N/A,#N/A,FALSE,"S1A";#N/A,#N/A,FALSE,"M1B";#N/A,#N/A,FALSE,"S1B";#N/A,#N/A,FALSE,"MA08";#N/A,#N/A,FALSE,"SA08";#N/A,#N/A,FALSE,"MA04";#N/A,#N/A,FALSE,"SA04";#N/A,#N/A,FALSE,"MPFC";#N/A,#N/A,FALSE,"SPFC";#N/A,#N/A,FALSE,"MCB";#N/A,#N/A,FALSE,"SCB";#N/A,#N/A,FALSE,"MCPC";#N/A,#N/A,FALSE,"SCPC";#N/A,#N/A,FALSE,"MDTC";#N/A,#N/A,FALSE,"SDTC";#N/A,#N/A,FALSE,"MODC";#N/A,#N/A,FALSE,"SODC";#N/A,#N/A,FALSE,"MDB";#N/A,#N/A,FALSE,"SDB";#N/A,#N/A,FALSE,"SDB"}</definedName>
    <definedName name="wrn.5714phar" hidden="1">{#N/A,#N/A,FALSE,"SUM";#N/A,#N/A,FALSE,"M7A";#N/A,#N/A,FALSE,"S7A";#N/A,#N/A,FALSE,"M7B";#N/A,#N/A,FALSE,"S7B";#N/A,#N/A,FALSE,"M8A";#N/A,#N/A,FALSE,"S8A";#N/A,#N/A,FALSE,"M8B";#N/A,#N/A,FALSE,"S8B";#N/A,#N/A,FALSE,"M8C";#N/A,#N/A,FALSE,"S8C";#N/A,#N/A,FALSE,"MUTB";#N/A,#N/A,FALSE,"SUTB";#N/A,#N/A,FALSE,"M1A";#N/A,#N/A,FALSE,"S1A";#N/A,#N/A,FALSE,"M1B";#N/A,#N/A,FALSE,"S1B";#N/A,#N/A,FALSE,"MA08";#N/A,#N/A,FALSE,"SA08";#N/A,#N/A,FALSE,"MA04";#N/A,#N/A,FALSE,"SA04";#N/A,#N/A,FALSE,"MPFC";#N/A,#N/A,FALSE,"SPFC";#N/A,#N/A,FALSE,"MCB";#N/A,#N/A,FALSE,"SCB";#N/A,#N/A,FALSE,"MCPC";#N/A,#N/A,FALSE,"SCPC";#N/A,#N/A,FALSE,"MDTC";#N/A,#N/A,FALSE,"SDTC";#N/A,#N/A,FALSE,"MODC";#N/A,#N/A,FALSE,"SODC";#N/A,#N/A,FALSE,"MDB";#N/A,#N/A,FALSE,"SDB";#N/A,#N/A,FALSE,"SDB"}</definedName>
    <definedName name="wrn.Aging._.and._.Trend._.Analysis." localSheetId="14" hidden="1">{#N/A,#N/A,FALSE,"Aging Summary";#N/A,#N/A,FALSE,"Ratio Analysis";#N/A,#N/A,FALSE,"Test 120 Day Accts";#N/A,#N/A,FALSE,"Tickmarks"}</definedName>
    <definedName name="wrn.Aging._.and._.Trend._.Analysis." localSheetId="13" hidden="1">{#N/A,#N/A,FALSE,"Aging Summary";#N/A,#N/A,FALSE,"Ratio Analysis";#N/A,#N/A,FALSE,"Test 120 Day Accts";#N/A,#N/A,FALSE,"Tickmarks"}</definedName>
    <definedName name="wrn.Aging._.and._.Trend._.Analysis." localSheetId="7" hidden="1">{#N/A,#N/A,FALSE,"Aging Summary";#N/A,#N/A,FALSE,"Ratio Analysis";#N/A,#N/A,FALSE,"Test 120 Day Accts";#N/A,#N/A,FALSE,"Tickmarks"}</definedName>
    <definedName name="wrn.Aging._.and._.Trend._.Analysis." localSheetId="12" hidden="1">{#N/A,#N/A,FALSE,"Aging Summary";#N/A,#N/A,FALSE,"Ratio Analysis";#N/A,#N/A,FALSE,"Test 120 Day Accts";#N/A,#N/A,FALSE,"Tickmarks"}</definedName>
    <definedName name="wrn.Aging._.and._.Trend._.Analysis." localSheetId="9" hidden="1">{#N/A,#N/A,FALSE,"Aging Summary";#N/A,#N/A,FALSE,"Ratio Analysis";#N/A,#N/A,FALSE,"Test 120 Day Accts";#N/A,#N/A,FALSE,"Tickmarks"}</definedName>
    <definedName name="wrn.Aging._.and._.Trend._.Analysis." localSheetId="8" hidden="1">{#N/A,#N/A,FALSE,"Aging Summary";#N/A,#N/A,FALSE,"Ratio Analysis";#N/A,#N/A,FALSE,"Test 120 Day Accts";#N/A,#N/A,FALSE,"Tickmarks"}</definedName>
    <definedName name="wrn.Aging._.and._.Trend._.Analysis." localSheetId="6" hidden="1">{#N/A,#N/A,FALSE,"Aging Summary";#N/A,#N/A,FALSE,"Ratio Analysis";#N/A,#N/A,FALSE,"Test 120 Day Accts";#N/A,#N/A,FALSE,"Tickmarks"}</definedName>
    <definedName name="wrn.Aging._.and._.Trend._.Analysis." localSheetId="10" hidden="1">{#N/A,#N/A,FALSE,"Aging Summary";#N/A,#N/A,FALSE,"Ratio Analysis";#N/A,#N/A,FALSE,"Test 120 Day Accts";#N/A,#N/A,FALSE,"Tickmarks"}</definedName>
    <definedName name="wrn.Aging._.and._.Trend._.Analysis." localSheetId="5" hidden="1">{#N/A,#N/A,FALSE,"Aging Summary";#N/A,#N/A,FALSE,"Ratio Analysis";#N/A,#N/A,FALSE,"Test 120 Day Accts";#N/A,#N/A,FALSE,"Tickmarks"}</definedName>
    <definedName name="wrn.Aging._.and._.Trend._.Analysis." localSheetId="4" hidden="1">{#N/A,#N/A,FALSE,"Aging Summary";#N/A,#N/A,FALSE,"Ratio Analysis";#N/A,#N/A,FALSE,"Test 120 Day Accts";#N/A,#N/A,FALSE,"Tickmarks"}</definedName>
    <definedName name="wrn.Aging._.and._.Trend._.Analysis." localSheetId="11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vailability." localSheetId="14" hidden="1">{"Availability",#N/A,FALSE,"AVAIL"}</definedName>
    <definedName name="wrn.Availability." localSheetId="13" hidden="1">{"Availability",#N/A,FALSE,"AVAIL"}</definedName>
    <definedName name="wrn.Availability." localSheetId="7" hidden="1">{"Availability",#N/A,FALSE,"AVAIL"}</definedName>
    <definedName name="wrn.Availability." localSheetId="12" hidden="1">{"Availability",#N/A,FALSE,"AVAIL"}</definedName>
    <definedName name="wrn.Availability." localSheetId="9" hidden="1">{"Availability",#N/A,FALSE,"AVAIL"}</definedName>
    <definedName name="wrn.Availability." localSheetId="8" hidden="1">{"Availability",#N/A,FALSE,"AVAIL"}</definedName>
    <definedName name="wrn.Availability." localSheetId="6" hidden="1">{"Availability",#N/A,FALSE,"AVAIL"}</definedName>
    <definedName name="wrn.Availability." localSheetId="10" hidden="1">{"Availability",#N/A,FALSE,"AVAIL"}</definedName>
    <definedName name="wrn.Availability." localSheetId="5" hidden="1">{"Availability",#N/A,FALSE,"AVAIL"}</definedName>
    <definedName name="wrn.Availability." localSheetId="4" hidden="1">{"Availability",#N/A,FALSE,"AVAIL"}</definedName>
    <definedName name="wrn.Availability." localSheetId="11" hidden="1">{"Availability",#N/A,FALSE,"AVAIL"}</definedName>
    <definedName name="wrn.Availability." hidden="1">{"Availability",#N/A,FALSE,"AVAIL"}</definedName>
    <definedName name="wrn.BUDGET._.95." hidden="1">{"D",#N/A,TRUE,"BUDGET";"A",#N/A,TRUE,"BUDGET";"B",#N/A,TRUE,"BUDGET"}</definedName>
    <definedName name="wrn.cash._.flow._.report." localSheetId="14" hidden="1">{#N/A,#N/A,TRUE,"Cashflow"}</definedName>
    <definedName name="wrn.cash._.flow._.report." localSheetId="13" hidden="1">{#N/A,#N/A,TRUE,"Cashflow"}</definedName>
    <definedName name="wrn.cash._.flow._.report." localSheetId="7" hidden="1">{#N/A,#N/A,TRUE,"Cashflow"}</definedName>
    <definedName name="wrn.cash._.flow._.report." localSheetId="12" hidden="1">{#N/A,#N/A,TRUE,"Cashflow"}</definedName>
    <definedName name="wrn.cash._.flow._.report." localSheetId="9" hidden="1">{#N/A,#N/A,TRUE,"Cashflow"}</definedName>
    <definedName name="wrn.cash._.flow._.report." localSheetId="8" hidden="1">{#N/A,#N/A,TRUE,"Cashflow"}</definedName>
    <definedName name="wrn.cash._.flow._.report." localSheetId="6" hidden="1">{#N/A,#N/A,TRUE,"Cashflow"}</definedName>
    <definedName name="wrn.cash._.flow._.report." localSheetId="10" hidden="1">{#N/A,#N/A,TRUE,"Cashflow"}</definedName>
    <definedName name="wrn.cash._.flow._.report." localSheetId="5" hidden="1">{#N/A,#N/A,TRUE,"Cashflow"}</definedName>
    <definedName name="wrn.cash._.flow._.report." localSheetId="4" hidden="1">{#N/A,#N/A,TRUE,"Cashflow"}</definedName>
    <definedName name="wrn.cash._.flow._.report." localSheetId="11" hidden="1">{#N/A,#N/A,TRUE,"Cashflow"}</definedName>
    <definedName name="wrn.cash._.flow._.report." hidden="1">{#N/A,#N/A,TRUE,"Cashflow"}</definedName>
    <definedName name="wrn.Dash._.Board." localSheetId="14" hidden="1">{#N/A,#N/A,FALSE,"Dashboard";#N/A,#N/A,FALSE,"BULK Dashboard";#N/A,#N/A,FALSE,"Pnue. &amp; Env. Dashboard";#N/A,#N/A,FALSE,"Spes. Equip. Dashboard";#N/A,#N/A,FALSE,"IST Dashboard";#N/A,#N/A,FALSE,"ASS Dashboard"}</definedName>
    <definedName name="wrn.Dash._.Board." localSheetId="13" hidden="1">{#N/A,#N/A,FALSE,"Dashboard";#N/A,#N/A,FALSE,"BULK Dashboard";#N/A,#N/A,FALSE,"Pnue. &amp; Env. Dashboard";#N/A,#N/A,FALSE,"Spes. Equip. Dashboard";#N/A,#N/A,FALSE,"IST Dashboard";#N/A,#N/A,FALSE,"ASS Dashboard"}</definedName>
    <definedName name="wrn.Dash._.Board." localSheetId="7" hidden="1">{#N/A,#N/A,FALSE,"Dashboard";#N/A,#N/A,FALSE,"BULK Dashboard";#N/A,#N/A,FALSE,"Pnue. &amp; Env. Dashboard";#N/A,#N/A,FALSE,"Spes. Equip. Dashboard";#N/A,#N/A,FALSE,"IST Dashboard";#N/A,#N/A,FALSE,"ASS Dashboard"}</definedName>
    <definedName name="wrn.Dash._.Board." localSheetId="12" hidden="1">{#N/A,#N/A,FALSE,"Dashboard";#N/A,#N/A,FALSE,"BULK Dashboard";#N/A,#N/A,FALSE,"Pnue. &amp; Env. Dashboard";#N/A,#N/A,FALSE,"Spes. Equip. Dashboard";#N/A,#N/A,FALSE,"IST Dashboard";#N/A,#N/A,FALSE,"ASS Dashboard"}</definedName>
    <definedName name="wrn.Dash._.Board." localSheetId="9" hidden="1">{#N/A,#N/A,FALSE,"Dashboard";#N/A,#N/A,FALSE,"BULK Dashboard";#N/A,#N/A,FALSE,"Pnue. &amp; Env. Dashboard";#N/A,#N/A,FALSE,"Spes. Equip. Dashboard";#N/A,#N/A,FALSE,"IST Dashboard";#N/A,#N/A,FALSE,"ASS Dashboard"}</definedName>
    <definedName name="wrn.Dash._.Board." localSheetId="8" hidden="1">{#N/A,#N/A,FALSE,"Dashboard";#N/A,#N/A,FALSE,"BULK Dashboard";#N/A,#N/A,FALSE,"Pnue. &amp; Env. Dashboard";#N/A,#N/A,FALSE,"Spes. Equip. Dashboard";#N/A,#N/A,FALSE,"IST Dashboard";#N/A,#N/A,FALSE,"ASS Dashboard"}</definedName>
    <definedName name="wrn.Dash._.Board." localSheetId="6" hidden="1">{#N/A,#N/A,FALSE,"Dashboard";#N/A,#N/A,FALSE,"BULK Dashboard";#N/A,#N/A,FALSE,"Pnue. &amp; Env. Dashboard";#N/A,#N/A,FALSE,"Spes. Equip. Dashboard";#N/A,#N/A,FALSE,"IST Dashboard";#N/A,#N/A,FALSE,"ASS Dashboard"}</definedName>
    <definedName name="wrn.Dash._.Board." localSheetId="10" hidden="1">{#N/A,#N/A,FALSE,"Dashboard";#N/A,#N/A,FALSE,"BULK Dashboard";#N/A,#N/A,FALSE,"Pnue. &amp; Env. Dashboard";#N/A,#N/A,FALSE,"Spes. Equip. Dashboard";#N/A,#N/A,FALSE,"IST Dashboard";#N/A,#N/A,FALSE,"ASS Dashboard"}</definedName>
    <definedName name="wrn.Dash._.Board." localSheetId="5" hidden="1">{#N/A,#N/A,FALSE,"Dashboard";#N/A,#N/A,FALSE,"BULK Dashboard";#N/A,#N/A,FALSE,"Pnue. &amp; Env. Dashboard";#N/A,#N/A,FALSE,"Spes. Equip. Dashboard";#N/A,#N/A,FALSE,"IST Dashboard";#N/A,#N/A,FALSE,"ASS Dashboard"}</definedName>
    <definedName name="wrn.Dash._.Board." localSheetId="4" hidden="1">{#N/A,#N/A,FALSE,"Dashboard";#N/A,#N/A,FALSE,"BULK Dashboard";#N/A,#N/A,FALSE,"Pnue. &amp; Env. Dashboard";#N/A,#N/A,FALSE,"Spes. Equip. Dashboard";#N/A,#N/A,FALSE,"IST Dashboard";#N/A,#N/A,FALSE,"ASS Dashboard"}</definedName>
    <definedName name="wrn.Dash._.Board." localSheetId="11" hidden="1">{#N/A,#N/A,FALSE,"Dashboard";#N/A,#N/A,FALSE,"BULK Dashboard";#N/A,#N/A,FALSE,"Pnue. &amp; Env. Dashboard";#N/A,#N/A,FALSE,"Spes. Equip. Dashboard";#N/A,#N/A,FALSE,"IST Dashboard";#N/A,#N/A,FALSE,"ASS Dashboard"}</definedName>
    <definedName name="wrn.Dash._.Board." hidden="1">{#N/A,#N/A,FALSE,"Dashboard";#N/A,#N/A,FALSE,"BULK Dashboard";#N/A,#N/A,FALSE,"Pnue. &amp; Env. Dashboard";#N/A,#N/A,FALSE,"Spes. Equip. Dashboard";#N/A,#N/A,FALSE,"IST Dashboard";#N/A,#N/A,FALSE,"ASS Dashboard"}</definedName>
    <definedName name="wrn.EOCDERV." localSheetId="14" hidden="1">{"EOCDERV_1",#N/A,FALSE,"EOCDERV";"EOCDERV_2",#N/A,FALSE,"EOCDERV"}</definedName>
    <definedName name="wrn.EOCDERV." localSheetId="13" hidden="1">{"EOCDERV_1",#N/A,FALSE,"EOCDERV";"EOCDERV_2",#N/A,FALSE,"EOCDERV"}</definedName>
    <definedName name="wrn.EOCDERV." localSheetId="7" hidden="1">{"EOCDERV_1",#N/A,FALSE,"EOCDERV";"EOCDERV_2",#N/A,FALSE,"EOCDERV"}</definedName>
    <definedName name="wrn.EOCDERV." localSheetId="12" hidden="1">{"EOCDERV_1",#N/A,FALSE,"EOCDERV";"EOCDERV_2",#N/A,FALSE,"EOCDERV"}</definedName>
    <definedName name="wrn.EOCDERV." localSheetId="9" hidden="1">{"EOCDERV_1",#N/A,FALSE,"EOCDERV";"EOCDERV_2",#N/A,FALSE,"EOCDERV"}</definedName>
    <definedName name="wrn.EOCDERV." localSheetId="8" hidden="1">{"EOCDERV_1",#N/A,FALSE,"EOCDERV";"EOCDERV_2",#N/A,FALSE,"EOCDERV"}</definedName>
    <definedName name="wrn.EOCDERV." localSheetId="6" hidden="1">{"EOCDERV_1",#N/A,FALSE,"EOCDERV";"EOCDERV_2",#N/A,FALSE,"EOCDERV"}</definedName>
    <definedName name="wrn.EOCDERV." localSheetId="10" hidden="1">{"EOCDERV_1",#N/A,FALSE,"EOCDERV";"EOCDERV_2",#N/A,FALSE,"EOCDERV"}</definedName>
    <definedName name="wrn.EOCDERV." localSheetId="5" hidden="1">{"EOCDERV_1",#N/A,FALSE,"EOCDERV";"EOCDERV_2",#N/A,FALSE,"EOCDERV"}</definedName>
    <definedName name="wrn.EOCDERV." localSheetId="4" hidden="1">{"EOCDERV_1",#N/A,FALSE,"EOCDERV";"EOCDERV_2",#N/A,FALSE,"EOCDERV"}</definedName>
    <definedName name="wrn.EOCDERV." localSheetId="11" hidden="1">{"EOCDERV_1",#N/A,FALSE,"EOCDERV";"EOCDERV_2",#N/A,FALSE,"EOCDERV"}</definedName>
    <definedName name="wrn.EOCDERV." hidden="1">{"EOCDERV_1",#N/A,FALSE,"EOCDERV";"EOCDERV_2",#N/A,FALSE,"EOCDERV"}</definedName>
    <definedName name="wrn.EOCRPT." localSheetId="14" hidden="1">{"MINE_DATA",#N/A,FALSE,"EOCDERV";"MINE_EOC",#N/A,FALSE,"EOCDERV";"CPT_DATA",#N/A,FALSE,"EOCDERV";"CPT_EOC",#N/A,FALSE,"EOCDERV"}</definedName>
    <definedName name="wrn.EOCRPT." localSheetId="13" hidden="1">{"MINE_DATA",#N/A,FALSE,"EOCDERV";"MINE_EOC",#N/A,FALSE,"EOCDERV";"CPT_DATA",#N/A,FALSE,"EOCDERV";"CPT_EOC",#N/A,FALSE,"EOCDERV"}</definedName>
    <definedName name="wrn.EOCRPT." localSheetId="7" hidden="1">{"MINE_DATA",#N/A,FALSE,"EOCDERV";"MINE_EOC",#N/A,FALSE,"EOCDERV";"CPT_DATA",#N/A,FALSE,"EOCDERV";"CPT_EOC",#N/A,FALSE,"EOCDERV"}</definedName>
    <definedName name="wrn.EOCRPT." localSheetId="12" hidden="1">{"MINE_DATA",#N/A,FALSE,"EOCDERV";"MINE_EOC",#N/A,FALSE,"EOCDERV";"CPT_DATA",#N/A,FALSE,"EOCDERV";"CPT_EOC",#N/A,FALSE,"EOCDERV"}</definedName>
    <definedName name="wrn.EOCRPT." localSheetId="9" hidden="1">{"MINE_DATA",#N/A,FALSE,"EOCDERV";"MINE_EOC",#N/A,FALSE,"EOCDERV";"CPT_DATA",#N/A,FALSE,"EOCDERV";"CPT_EOC",#N/A,FALSE,"EOCDERV"}</definedName>
    <definedName name="wrn.EOCRPT." localSheetId="8" hidden="1">{"MINE_DATA",#N/A,FALSE,"EOCDERV";"MINE_EOC",#N/A,FALSE,"EOCDERV";"CPT_DATA",#N/A,FALSE,"EOCDERV";"CPT_EOC",#N/A,FALSE,"EOCDERV"}</definedName>
    <definedName name="wrn.EOCRPT." localSheetId="6" hidden="1">{"MINE_DATA",#N/A,FALSE,"EOCDERV";"MINE_EOC",#N/A,FALSE,"EOCDERV";"CPT_DATA",#N/A,FALSE,"EOCDERV";"CPT_EOC",#N/A,FALSE,"EOCDERV"}</definedName>
    <definedName name="wrn.EOCRPT." localSheetId="10" hidden="1">{"MINE_DATA",#N/A,FALSE,"EOCDERV";"MINE_EOC",#N/A,FALSE,"EOCDERV";"CPT_DATA",#N/A,FALSE,"EOCDERV";"CPT_EOC",#N/A,FALSE,"EOCDERV"}</definedName>
    <definedName name="wrn.EOCRPT." localSheetId="5" hidden="1">{"MINE_DATA",#N/A,FALSE,"EOCDERV";"MINE_EOC",#N/A,FALSE,"EOCDERV";"CPT_DATA",#N/A,FALSE,"EOCDERV";"CPT_EOC",#N/A,FALSE,"EOCDERV"}</definedName>
    <definedName name="wrn.EOCRPT." localSheetId="4" hidden="1">{"MINE_DATA",#N/A,FALSE,"EOCDERV";"MINE_EOC",#N/A,FALSE,"EOCDERV";"CPT_DATA",#N/A,FALSE,"EOCDERV";"CPT_EOC",#N/A,FALSE,"EOCDERV"}</definedName>
    <definedName name="wrn.EOCRPT." localSheetId="11" hidden="1">{"MINE_DATA",#N/A,FALSE,"EOCDERV";"MINE_EOC",#N/A,FALSE,"EOCDERV";"CPT_DATA",#N/A,FALSE,"EOCDERV";"CPT_EOC",#N/A,FALSE,"EOCDERV"}</definedName>
    <definedName name="wrn.EOCRPT." hidden="1">{"MINE_DATA",#N/A,FALSE,"EOCDERV";"MINE_EOC",#N/A,FALSE,"EOCDERV";"CPT_DATA",#N/A,FALSE,"EOCDERV";"CPT_EOC",#N/A,FALSE,"EOCDERV"}</definedName>
    <definedName name="wrn.Eq_Perform_Fact." localSheetId="14" hidden="1">{"Eq_Perform_Fact",#N/A,FALSE,"EQPFFACT"}</definedName>
    <definedName name="wrn.Eq_Perform_Fact." localSheetId="13" hidden="1">{"Eq_Perform_Fact",#N/A,FALSE,"EQPFFACT"}</definedName>
    <definedName name="wrn.Eq_Perform_Fact." localSheetId="7" hidden="1">{"Eq_Perform_Fact",#N/A,FALSE,"EQPFFACT"}</definedName>
    <definedName name="wrn.Eq_Perform_Fact." localSheetId="12" hidden="1">{"Eq_Perform_Fact",#N/A,FALSE,"EQPFFACT"}</definedName>
    <definedName name="wrn.Eq_Perform_Fact." localSheetId="9" hidden="1">{"Eq_Perform_Fact",#N/A,FALSE,"EQPFFACT"}</definedName>
    <definedName name="wrn.Eq_Perform_Fact." localSheetId="8" hidden="1">{"Eq_Perform_Fact",#N/A,FALSE,"EQPFFACT"}</definedName>
    <definedName name="wrn.Eq_Perform_Fact." localSheetId="6" hidden="1">{"Eq_Perform_Fact",#N/A,FALSE,"EQPFFACT"}</definedName>
    <definedName name="wrn.Eq_Perform_Fact." localSheetId="10" hidden="1">{"Eq_Perform_Fact",#N/A,FALSE,"EQPFFACT"}</definedName>
    <definedName name="wrn.Eq_Perform_Fact." localSheetId="5" hidden="1">{"Eq_Perform_Fact",#N/A,FALSE,"EQPFFACT"}</definedName>
    <definedName name="wrn.Eq_Perform_Fact." localSheetId="4" hidden="1">{"Eq_Perform_Fact",#N/A,FALSE,"EQPFFACT"}</definedName>
    <definedName name="wrn.Eq_Perform_Fact." localSheetId="11" hidden="1">{"Eq_Perform_Fact",#N/A,FALSE,"EQPFFACT"}</definedName>
    <definedName name="wrn.Eq_Perform_Fact." hidden="1">{"Eq_Perform_Fact",#N/A,FALSE,"EQPFFACT"}</definedName>
    <definedName name="wrn.Equip.._.Prices." localSheetId="14" hidden="1">{"Equip_Prices",#N/A,FALSE,"Equipment Prices";"EP_Backup",#N/A,FALSE,"Equipment Prices"}</definedName>
    <definedName name="wrn.Equip.._.Prices." localSheetId="13" hidden="1">{"Equip_Prices",#N/A,FALSE,"Equipment Prices";"EP_Backup",#N/A,FALSE,"Equipment Prices"}</definedName>
    <definedName name="wrn.Equip.._.Prices." localSheetId="7" hidden="1">{"Equip_Prices",#N/A,FALSE,"Equipment Prices";"EP_Backup",#N/A,FALSE,"Equipment Prices"}</definedName>
    <definedName name="wrn.Equip.._.Prices." localSheetId="12" hidden="1">{"Equip_Prices",#N/A,FALSE,"Equipment Prices";"EP_Backup",#N/A,FALSE,"Equipment Prices"}</definedName>
    <definedName name="wrn.Equip.._.Prices." localSheetId="9" hidden="1">{"Equip_Prices",#N/A,FALSE,"Equipment Prices";"EP_Backup",#N/A,FALSE,"Equipment Prices"}</definedName>
    <definedName name="wrn.Equip.._.Prices." localSheetId="8" hidden="1">{"Equip_Prices",#N/A,FALSE,"Equipment Prices";"EP_Backup",#N/A,FALSE,"Equipment Prices"}</definedName>
    <definedName name="wrn.Equip.._.Prices." localSheetId="6" hidden="1">{"Equip_Prices",#N/A,FALSE,"Equipment Prices";"EP_Backup",#N/A,FALSE,"Equipment Prices"}</definedName>
    <definedName name="wrn.Equip.._.Prices." localSheetId="10" hidden="1">{"Equip_Prices",#N/A,FALSE,"Equipment Prices";"EP_Backup",#N/A,FALSE,"Equipment Prices"}</definedName>
    <definedName name="wrn.Equip.._.Prices." localSheetId="5" hidden="1">{"Equip_Prices",#N/A,FALSE,"Equipment Prices";"EP_Backup",#N/A,FALSE,"Equipment Prices"}</definedName>
    <definedName name="wrn.Equip.._.Prices." localSheetId="4" hidden="1">{"Equip_Prices",#N/A,FALSE,"Equipment Prices";"EP_Backup",#N/A,FALSE,"Equipment Prices"}</definedName>
    <definedName name="wrn.Equip.._.Prices." localSheetId="11" hidden="1">{"Equip_Prices",#N/A,FALSE,"Equipment Prices";"EP_Backup",#N/A,FALSE,"Equipment Prices"}</definedName>
    <definedName name="wrn.Equip.._.Prices." hidden="1">{"Equip_Prices",#N/A,FALSE,"Equipment Prices";"EP_Backup",#N/A,FALSE,"Equipment Prices"}</definedName>
    <definedName name="wrn.FULL." localSheetId="14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wrn.FULL." localSheetId="13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wrn.FULL." localSheetId="7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wrn.FULL." localSheetId="12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wrn.FULL." localSheetId="9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wrn.FULL." localSheetId="8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wrn.FULL." localSheetId="6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wrn.FULL." localSheetId="10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wrn.FULL." localSheetId="5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wrn.FULL." localSheetId="4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wrn.FULL." localSheetId="11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wrn.FULL." hidden="1">{#N/A,#N/A,FALSE,"Summary";#N/A,#N/A,FALSE,"Stlwk 1";#N/A,#N/A,FALSE,"Stlwk 2";#N/A,#N/A,FALSE,"Stlwk 3";#N/A,#N/A,FALSE,"Stlwk 4";#N/A,#N/A,FALSE,"Stlwk 5";#N/A,#N/A,FALSE,"Stlwk 6";#N/A,#N/A,FALSE,"Stlwk 7";#N/A,#N/A,FALSE,"Stlwk 8";#N/A,#N/A,FALSE,"Stlwk 9";#N/A,#N/A,FALSE,"Stlwk 10";#N/A,#N/A,FALSE,"Stlwk 11";#N/A,#N/A,FALSE,"Stlwk 12"}</definedName>
    <definedName name="wrn.Normalisation._.Journal." localSheetId="14" hidden="1">{"Normalisation Journal",#N/A,FALSE,"Normalisation Jnl"}</definedName>
    <definedName name="wrn.Normalisation._.Journal." localSheetId="13" hidden="1">{"Normalisation Journal",#N/A,FALSE,"Normalisation Jnl"}</definedName>
    <definedName name="wrn.Normalisation._.Journal." localSheetId="7" hidden="1">{"Normalisation Journal",#N/A,FALSE,"Normalisation Jnl"}</definedName>
    <definedName name="wrn.Normalisation._.Journal." localSheetId="12" hidden="1">{"Normalisation Journal",#N/A,FALSE,"Normalisation Jnl"}</definedName>
    <definedName name="wrn.Normalisation._.Journal." localSheetId="9" hidden="1">{"Normalisation Journal",#N/A,FALSE,"Normalisation Jnl"}</definedName>
    <definedName name="wrn.Normalisation._.Journal." localSheetId="8" hidden="1">{"Normalisation Journal",#N/A,FALSE,"Normalisation Jnl"}</definedName>
    <definedName name="wrn.Normalisation._.Journal." localSheetId="6" hidden="1">{"Normalisation Journal",#N/A,FALSE,"Normalisation Jnl"}</definedName>
    <definedName name="wrn.Normalisation._.Journal." localSheetId="10" hidden="1">{"Normalisation Journal",#N/A,FALSE,"Normalisation Jnl"}</definedName>
    <definedName name="wrn.Normalisation._.Journal." localSheetId="5" hidden="1">{"Normalisation Journal",#N/A,FALSE,"Normalisation Jnl"}</definedName>
    <definedName name="wrn.Normalisation._.Journal." localSheetId="4" hidden="1">{"Normalisation Journal",#N/A,FALSE,"Normalisation Jnl"}</definedName>
    <definedName name="wrn.Normalisation._.Journal." localSheetId="11" hidden="1">{"Normalisation Journal",#N/A,FALSE,"Normalisation Jnl"}</definedName>
    <definedName name="wrn.Normalisation._.Journal." hidden="1">{"Normalisation Journal",#N/A,FALSE,"Normalisation Jnl"}</definedName>
    <definedName name="wrn.PROD._.RATE." localSheetId="14" hidden="1">{"Prod_Rate",#N/A,FALSE,"Loader Prodrate"}</definedName>
    <definedName name="wrn.PROD._.RATE." localSheetId="13" hidden="1">{"Prod_Rate",#N/A,FALSE,"Loader Prodrate"}</definedName>
    <definedName name="wrn.PROD._.RATE." localSheetId="7" hidden="1">{"Prod_Rate",#N/A,FALSE,"Loader Prodrate"}</definedName>
    <definedName name="wrn.PROD._.RATE." localSheetId="12" hidden="1">{"Prod_Rate",#N/A,FALSE,"Loader Prodrate"}</definedName>
    <definedName name="wrn.PROD._.RATE." localSheetId="9" hidden="1">{"Prod_Rate",#N/A,FALSE,"Loader Prodrate"}</definedName>
    <definedName name="wrn.PROD._.RATE." localSheetId="8" hidden="1">{"Prod_Rate",#N/A,FALSE,"Loader Prodrate"}</definedName>
    <definedName name="wrn.PROD._.RATE." localSheetId="6" hidden="1">{"Prod_Rate",#N/A,FALSE,"Loader Prodrate"}</definedName>
    <definedName name="wrn.PROD._.RATE." localSheetId="10" hidden="1">{"Prod_Rate",#N/A,FALSE,"Loader Prodrate"}</definedName>
    <definedName name="wrn.PROD._.RATE." localSheetId="5" hidden="1">{"Prod_Rate",#N/A,FALSE,"Loader Prodrate"}</definedName>
    <definedName name="wrn.PROD._.RATE." localSheetId="4" hidden="1">{"Prod_Rate",#N/A,FALSE,"Loader Prodrate"}</definedName>
    <definedName name="wrn.PROD._.RATE." localSheetId="11" hidden="1">{"Prod_Rate",#N/A,FALSE,"Loader Prodrate"}</definedName>
    <definedName name="wrn.PROD._.RATE." hidden="1">{"Prod_Rate",#N/A,FALSE,"Loader Prodrate"}</definedName>
    <definedName name="wrn.Prod_Stats_Print." localSheetId="14" hidden="1">{"prod_stats_1",#N/A,TRUE,"Prod_Stats";"prod_stats_2",#N/A,TRUE,"Prod_Stats";"prod_stats_3",#N/A,TRUE,"Prod_Stats";"prod_stats_4",#N/A,TRUE,"Prod_Stats"}</definedName>
    <definedName name="wrn.Prod_Stats_Print." localSheetId="13" hidden="1">{"prod_stats_1",#N/A,TRUE,"Prod_Stats";"prod_stats_2",#N/A,TRUE,"Prod_Stats";"prod_stats_3",#N/A,TRUE,"Prod_Stats";"prod_stats_4",#N/A,TRUE,"Prod_Stats"}</definedName>
    <definedName name="wrn.Prod_Stats_Print." localSheetId="7" hidden="1">{"prod_stats_1",#N/A,TRUE,"Prod_Stats";"prod_stats_2",#N/A,TRUE,"Prod_Stats";"prod_stats_3",#N/A,TRUE,"Prod_Stats";"prod_stats_4",#N/A,TRUE,"Prod_Stats"}</definedName>
    <definedName name="wrn.Prod_Stats_Print." localSheetId="12" hidden="1">{"prod_stats_1",#N/A,TRUE,"Prod_Stats";"prod_stats_2",#N/A,TRUE,"Prod_Stats";"prod_stats_3",#N/A,TRUE,"Prod_Stats";"prod_stats_4",#N/A,TRUE,"Prod_Stats"}</definedName>
    <definedName name="wrn.Prod_Stats_Print." localSheetId="9" hidden="1">{"prod_stats_1",#N/A,TRUE,"Prod_Stats";"prod_stats_2",#N/A,TRUE,"Prod_Stats";"prod_stats_3",#N/A,TRUE,"Prod_Stats";"prod_stats_4",#N/A,TRUE,"Prod_Stats"}</definedName>
    <definedName name="wrn.Prod_Stats_Print." localSheetId="8" hidden="1">{"prod_stats_1",#N/A,TRUE,"Prod_Stats";"prod_stats_2",#N/A,TRUE,"Prod_Stats";"prod_stats_3",#N/A,TRUE,"Prod_Stats";"prod_stats_4",#N/A,TRUE,"Prod_Stats"}</definedName>
    <definedName name="wrn.Prod_Stats_Print." localSheetId="6" hidden="1">{"prod_stats_1",#N/A,TRUE,"Prod_Stats";"prod_stats_2",#N/A,TRUE,"Prod_Stats";"prod_stats_3",#N/A,TRUE,"Prod_Stats";"prod_stats_4",#N/A,TRUE,"Prod_Stats"}</definedName>
    <definedName name="wrn.Prod_Stats_Print." localSheetId="10" hidden="1">{"prod_stats_1",#N/A,TRUE,"Prod_Stats";"prod_stats_2",#N/A,TRUE,"Prod_Stats";"prod_stats_3",#N/A,TRUE,"Prod_Stats";"prod_stats_4",#N/A,TRUE,"Prod_Stats"}</definedName>
    <definedName name="wrn.Prod_Stats_Print." localSheetId="5" hidden="1">{"prod_stats_1",#N/A,TRUE,"Prod_Stats";"prod_stats_2",#N/A,TRUE,"Prod_Stats";"prod_stats_3",#N/A,TRUE,"Prod_Stats";"prod_stats_4",#N/A,TRUE,"Prod_Stats"}</definedName>
    <definedName name="wrn.Prod_Stats_Print." localSheetId="4" hidden="1">{"prod_stats_1",#N/A,TRUE,"Prod_Stats";"prod_stats_2",#N/A,TRUE,"Prod_Stats";"prod_stats_3",#N/A,TRUE,"Prod_Stats";"prod_stats_4",#N/A,TRUE,"Prod_Stats"}</definedName>
    <definedName name="wrn.Prod_Stats_Print." localSheetId="11" hidden="1">{"prod_stats_1",#N/A,TRUE,"Prod_Stats";"prod_stats_2",#N/A,TRUE,"Prod_Stats";"prod_stats_3",#N/A,TRUE,"Prod_Stats";"prod_stats_4",#N/A,TRUE,"Prod_Stats"}</definedName>
    <definedName name="wrn.Prod_Stats_Print." hidden="1">{"prod_stats_1",#N/A,TRUE,"Prod_Stats";"prod_stats_2",#N/A,TRUE,"Prod_Stats";"prod_stats_3",#N/A,TRUE,"Prod_Stats";"prod_stats_4",#N/A,TRUE,"Prod_Stats"}</definedName>
    <definedName name="wrn.Quality_LOM_Print." localSheetId="14" hidden="1">{"Quality_LOM_1",#N/A,TRUE,"Quality LOM";"Quality_LOM_2",#N/A,TRUE,"Quality LOM"}</definedName>
    <definedName name="wrn.Quality_LOM_Print." localSheetId="13" hidden="1">{"Quality_LOM_1",#N/A,TRUE,"Quality LOM";"Quality_LOM_2",#N/A,TRUE,"Quality LOM"}</definedName>
    <definedName name="wrn.Quality_LOM_Print." localSheetId="7" hidden="1">{"Quality_LOM_1",#N/A,TRUE,"Quality LOM";"Quality_LOM_2",#N/A,TRUE,"Quality LOM"}</definedName>
    <definedName name="wrn.Quality_LOM_Print." localSheetId="12" hidden="1">{"Quality_LOM_1",#N/A,TRUE,"Quality LOM";"Quality_LOM_2",#N/A,TRUE,"Quality LOM"}</definedName>
    <definedName name="wrn.Quality_LOM_Print." localSheetId="9" hidden="1">{"Quality_LOM_1",#N/A,TRUE,"Quality LOM";"Quality_LOM_2",#N/A,TRUE,"Quality LOM"}</definedName>
    <definedName name="wrn.Quality_LOM_Print." localSheetId="8" hidden="1">{"Quality_LOM_1",#N/A,TRUE,"Quality LOM";"Quality_LOM_2",#N/A,TRUE,"Quality LOM"}</definedName>
    <definedName name="wrn.Quality_LOM_Print." localSheetId="6" hidden="1">{"Quality_LOM_1",#N/A,TRUE,"Quality LOM";"Quality_LOM_2",#N/A,TRUE,"Quality LOM"}</definedName>
    <definedName name="wrn.Quality_LOM_Print." localSheetId="10" hidden="1">{"Quality_LOM_1",#N/A,TRUE,"Quality LOM";"Quality_LOM_2",#N/A,TRUE,"Quality LOM"}</definedName>
    <definedName name="wrn.Quality_LOM_Print." localSheetId="5" hidden="1">{"Quality_LOM_1",#N/A,TRUE,"Quality LOM";"Quality_LOM_2",#N/A,TRUE,"Quality LOM"}</definedName>
    <definedName name="wrn.Quality_LOM_Print." localSheetId="4" hidden="1">{"Quality_LOM_1",#N/A,TRUE,"Quality LOM";"Quality_LOM_2",#N/A,TRUE,"Quality LOM"}</definedName>
    <definedName name="wrn.Quality_LOM_Print." localSheetId="11" hidden="1">{"Quality_LOM_1",#N/A,TRUE,"Quality LOM";"Quality_LOM_2",#N/A,TRUE,"Quality LOM"}</definedName>
    <definedName name="wrn.Quality_LOM_Print." hidden="1">{"Quality_LOM_1",#N/A,TRUE,"Quality LOM";"Quality_LOM_2",#N/A,TRUE,"Quality LOM"}</definedName>
    <definedName name="wrn.Quality_Print." localSheetId="14" hidden="1">{"Quality_1",#N/A,TRUE,"Quality";"Quality_2",#N/A,TRUE,"Quality";"Quality_3",#N/A,TRUE,"Quality";"Quality_4",#N/A,TRUE,"Quality"}</definedName>
    <definedName name="wrn.Quality_Print." localSheetId="13" hidden="1">{"Quality_1",#N/A,TRUE,"Quality";"Quality_2",#N/A,TRUE,"Quality";"Quality_3",#N/A,TRUE,"Quality";"Quality_4",#N/A,TRUE,"Quality"}</definedName>
    <definedName name="wrn.Quality_Print." localSheetId="7" hidden="1">{"Quality_1",#N/A,TRUE,"Quality";"Quality_2",#N/A,TRUE,"Quality";"Quality_3",#N/A,TRUE,"Quality";"Quality_4",#N/A,TRUE,"Quality"}</definedName>
    <definedName name="wrn.Quality_Print." localSheetId="12" hidden="1">{"Quality_1",#N/A,TRUE,"Quality";"Quality_2",#N/A,TRUE,"Quality";"Quality_3",#N/A,TRUE,"Quality";"Quality_4",#N/A,TRUE,"Quality"}</definedName>
    <definedName name="wrn.Quality_Print." localSheetId="9" hidden="1">{"Quality_1",#N/A,TRUE,"Quality";"Quality_2",#N/A,TRUE,"Quality";"Quality_3",#N/A,TRUE,"Quality";"Quality_4",#N/A,TRUE,"Quality"}</definedName>
    <definedName name="wrn.Quality_Print." localSheetId="8" hidden="1">{"Quality_1",#N/A,TRUE,"Quality";"Quality_2",#N/A,TRUE,"Quality";"Quality_3",#N/A,TRUE,"Quality";"Quality_4",#N/A,TRUE,"Quality"}</definedName>
    <definedName name="wrn.Quality_Print." localSheetId="6" hidden="1">{"Quality_1",#N/A,TRUE,"Quality";"Quality_2",#N/A,TRUE,"Quality";"Quality_3",#N/A,TRUE,"Quality";"Quality_4",#N/A,TRUE,"Quality"}</definedName>
    <definedName name="wrn.Quality_Print." localSheetId="10" hidden="1">{"Quality_1",#N/A,TRUE,"Quality";"Quality_2",#N/A,TRUE,"Quality";"Quality_3",#N/A,TRUE,"Quality";"Quality_4",#N/A,TRUE,"Quality"}</definedName>
    <definedName name="wrn.Quality_Print." localSheetId="5" hidden="1">{"Quality_1",#N/A,TRUE,"Quality";"Quality_2",#N/A,TRUE,"Quality";"Quality_3",#N/A,TRUE,"Quality";"Quality_4",#N/A,TRUE,"Quality"}</definedName>
    <definedName name="wrn.Quality_Print." localSheetId="4" hidden="1">{"Quality_1",#N/A,TRUE,"Quality";"Quality_2",#N/A,TRUE,"Quality";"Quality_3",#N/A,TRUE,"Quality";"Quality_4",#N/A,TRUE,"Quality"}</definedName>
    <definedName name="wrn.Quality_Print." localSheetId="11" hidden="1">{"Quality_1",#N/A,TRUE,"Quality";"Quality_2",#N/A,TRUE,"Quality";"Quality_3",#N/A,TRUE,"Quality";"Quality_4",#N/A,TRUE,"Quality"}</definedName>
    <definedName name="wrn.Quality_Print." hidden="1">{"Quality_1",#N/A,TRUE,"Quality";"Quality_2",#N/A,TRUE,"Quality";"Quality_3",#N/A,TRUE,"Quality";"Quality_4",#N/A,TRUE,"Quality"}</definedName>
    <definedName name="wrn.report1." hidden="1">{#N/A,#N/A,TRUE,"EWAR";#N/A,#N/A,TRUE,"Sad";#N/A,#N/A,TRUE,"Yat";#N/A,#N/A,TRUE,"Nav";#N/A,#N/A,TRUE,"Mor";#N/A,#N/A,TRUE,"Geit"}</definedName>
    <definedName name="wrn.UCCRPT." localSheetId="14" hidden="1">{"UCC_INPUT",#N/A,FALSE,"UNITCOST";"UCC_SUM",#N/A,FALSE,"UNITCOST"}</definedName>
    <definedName name="wrn.UCCRPT." localSheetId="13" hidden="1">{"UCC_INPUT",#N/A,FALSE,"UNITCOST";"UCC_SUM",#N/A,FALSE,"UNITCOST"}</definedName>
    <definedName name="wrn.UCCRPT." localSheetId="7" hidden="1">{"UCC_INPUT",#N/A,FALSE,"UNITCOST";"UCC_SUM",#N/A,FALSE,"UNITCOST"}</definedName>
    <definedName name="wrn.UCCRPT." localSheetId="12" hidden="1">{"UCC_INPUT",#N/A,FALSE,"UNITCOST";"UCC_SUM",#N/A,FALSE,"UNITCOST"}</definedName>
    <definedName name="wrn.UCCRPT." localSheetId="9" hidden="1">{"UCC_INPUT",#N/A,FALSE,"UNITCOST";"UCC_SUM",#N/A,FALSE,"UNITCOST"}</definedName>
    <definedName name="wrn.UCCRPT." localSheetId="8" hidden="1">{"UCC_INPUT",#N/A,FALSE,"UNITCOST";"UCC_SUM",#N/A,FALSE,"UNITCOST"}</definedName>
    <definedName name="wrn.UCCRPT." localSheetId="6" hidden="1">{"UCC_INPUT",#N/A,FALSE,"UNITCOST";"UCC_SUM",#N/A,FALSE,"UNITCOST"}</definedName>
    <definedName name="wrn.UCCRPT." localSheetId="10" hidden="1">{"UCC_INPUT",#N/A,FALSE,"UNITCOST";"UCC_SUM",#N/A,FALSE,"UNITCOST"}</definedName>
    <definedName name="wrn.UCCRPT." localSheetId="5" hidden="1">{"UCC_INPUT",#N/A,FALSE,"UNITCOST";"UCC_SUM",#N/A,FALSE,"UNITCOST"}</definedName>
    <definedName name="wrn.UCCRPT." localSheetId="4" hidden="1">{"UCC_INPUT",#N/A,FALSE,"UNITCOST";"UCC_SUM",#N/A,FALSE,"UNITCOST"}</definedName>
    <definedName name="wrn.UCCRPT." localSheetId="11" hidden="1">{"UCC_INPUT",#N/A,FALSE,"UNITCOST";"UCC_SUM",#N/A,FALSE,"UNITCOST"}</definedName>
    <definedName name="wrn.UCCRPT." hidden="1">{"UCC_INPUT",#N/A,FALSE,"UNITCOST";"UCC_SUM",#N/A,FALSE,"UNITCOST"}</definedName>
    <definedName name="wrn.YEARS." localSheetId="14" hidden="1">{#N/A,#N/A,FALSE,"SUPPLY";#N/A,#N/A,FALSE,"LABOR";#N/A,#N/A,FALSE,"SHIFTDERV";#N/A,#N/A,FALSE,"YEARDATA"}</definedName>
    <definedName name="wrn.YEARS." localSheetId="13" hidden="1">{#N/A,#N/A,FALSE,"SUPPLY";#N/A,#N/A,FALSE,"LABOR";#N/A,#N/A,FALSE,"SHIFTDERV";#N/A,#N/A,FALSE,"YEARDATA"}</definedName>
    <definedName name="wrn.YEARS." localSheetId="7" hidden="1">{#N/A,#N/A,FALSE,"SUPPLY";#N/A,#N/A,FALSE,"LABOR";#N/A,#N/A,FALSE,"SHIFTDERV";#N/A,#N/A,FALSE,"YEARDATA"}</definedName>
    <definedName name="wrn.YEARS." localSheetId="12" hidden="1">{#N/A,#N/A,FALSE,"SUPPLY";#N/A,#N/A,FALSE,"LABOR";#N/A,#N/A,FALSE,"SHIFTDERV";#N/A,#N/A,FALSE,"YEARDATA"}</definedName>
    <definedName name="wrn.YEARS." localSheetId="9" hidden="1">{#N/A,#N/A,FALSE,"SUPPLY";#N/A,#N/A,FALSE,"LABOR";#N/A,#N/A,FALSE,"SHIFTDERV";#N/A,#N/A,FALSE,"YEARDATA"}</definedName>
    <definedName name="wrn.YEARS." localSheetId="8" hidden="1">{#N/A,#N/A,FALSE,"SUPPLY";#N/A,#N/A,FALSE,"LABOR";#N/A,#N/A,FALSE,"SHIFTDERV";#N/A,#N/A,FALSE,"YEARDATA"}</definedName>
    <definedName name="wrn.YEARS." localSheetId="6" hidden="1">{#N/A,#N/A,FALSE,"SUPPLY";#N/A,#N/A,FALSE,"LABOR";#N/A,#N/A,FALSE,"SHIFTDERV";#N/A,#N/A,FALSE,"YEARDATA"}</definedName>
    <definedName name="wrn.YEARS." localSheetId="10" hidden="1">{#N/A,#N/A,FALSE,"SUPPLY";#N/A,#N/A,FALSE,"LABOR";#N/A,#N/A,FALSE,"SHIFTDERV";#N/A,#N/A,FALSE,"YEARDATA"}</definedName>
    <definedName name="wrn.YEARS." localSheetId="5" hidden="1">{#N/A,#N/A,FALSE,"SUPPLY";#N/A,#N/A,FALSE,"LABOR";#N/A,#N/A,FALSE,"SHIFTDERV";#N/A,#N/A,FALSE,"YEARDATA"}</definedName>
    <definedName name="wrn.YEARS." localSheetId="4" hidden="1">{#N/A,#N/A,FALSE,"SUPPLY";#N/A,#N/A,FALSE,"LABOR";#N/A,#N/A,FALSE,"SHIFTDERV";#N/A,#N/A,FALSE,"YEARDATA"}</definedName>
    <definedName name="wrn.YEARS." localSheetId="11" hidden="1">{#N/A,#N/A,FALSE,"SUPPLY";#N/A,#N/A,FALSE,"LABOR";#N/A,#N/A,FALSE,"SHIFTDERV";#N/A,#N/A,FALSE,"YEARDATA"}</definedName>
    <definedName name="wrn.YEARS." hidden="1">{#N/A,#N/A,FALSE,"SUPPLY";#N/A,#N/A,FALSE,"LABOR";#N/A,#N/A,FALSE,"SHIFTDERV";#N/A,#N/A,FALSE,"YEARDATA"}</definedName>
    <definedName name="XCA" hidden="1">"Depression"</definedName>
    <definedName name="XCAReportingSoftware" hidden="1">TRUE</definedName>
    <definedName name="xfhs" localSheetId="18" hidden="1">[15]!xfhs</definedName>
    <definedName name="xfhs" localSheetId="19" hidden="1">[15]!xfhs</definedName>
    <definedName name="xfhs" localSheetId="14" hidden="1">[15]!xfhs</definedName>
    <definedName name="xfhs" localSheetId="15" hidden="1">[15]!xfhs</definedName>
    <definedName name="xfhs" localSheetId="13" hidden="1">[15]!xfhs</definedName>
    <definedName name="xfhs" localSheetId="7" hidden="1">[15]!xfhs</definedName>
    <definedName name="xfhs" localSheetId="16" hidden="1">[15]!xfhs</definedName>
    <definedName name="xfhs" localSheetId="9" hidden="1">[15]!xfhs</definedName>
    <definedName name="xfhs" localSheetId="8" hidden="1">[15]!xfhs</definedName>
    <definedName name="xfhs" localSheetId="20" hidden="1">[15]!xfhs</definedName>
    <definedName name="xfhs" localSheetId="17" hidden="1">[15]!xfhs</definedName>
    <definedName name="xfhs" localSheetId="6" hidden="1">[15]!xfhs</definedName>
    <definedName name="xfhs" localSheetId="10" hidden="1">[15]!xfhs</definedName>
    <definedName name="xfhs" localSheetId="4" hidden="1">[15]!xfhs</definedName>
    <definedName name="xfhs" localSheetId="11" hidden="1">[15]!xfhs</definedName>
    <definedName name="xfhs" hidden="1">[15]!xfhs</definedName>
    <definedName name="XXD" localSheetId="5" hidden="1">#REF!</definedName>
    <definedName name="XXD" localSheetId="4" hidden="1">#REF!</definedName>
    <definedName name="XXD" hidden="1">#REF!</definedName>
    <definedName name="XXE" localSheetId="5" hidden="1">#REF!</definedName>
    <definedName name="XXE" localSheetId="4" hidden="1">#REF!</definedName>
    <definedName name="XXE" hidden="1">#REF!</definedName>
    <definedName name="XXF" localSheetId="5" hidden="1">#REF!</definedName>
    <definedName name="XXF" localSheetId="4" hidden="1">#REF!</definedName>
    <definedName name="XXF" hidden="1">#REF!</definedName>
    <definedName name="XXG" hidden="1">#REF!</definedName>
    <definedName name="YTD">#REF!</definedName>
    <definedName name="YTD_Actual">#REF!</definedName>
    <definedName name="YTD_Budget">#REF!</definedName>
    <definedName name="YTD1">#REF!</definedName>
    <definedName name="YTD2">#REF!</definedName>
    <definedName name="YTD3">#REF!</definedName>
    <definedName name="YTD4">#REF!</definedName>
    <definedName name="YTD5">#REF!</definedName>
    <definedName name="YTD6">#REF!</definedName>
    <definedName name="YTDTONS">#REF!</definedName>
    <definedName name="Z_67817286_0827_48C5_8A9B_4F349B1A1F02_.wvu.Rows" hidden="1">#REF!</definedName>
    <definedName name="Z_9D639C20_AC19_435F_AA25_F4EF016A3F77_.wvu.Rows" localSheetId="5" hidden="1">#REF!,#REF!,#REF!,#REF!,#REF!</definedName>
    <definedName name="Z_9D639C20_AC19_435F_AA25_F4EF016A3F77_.wvu.Rows" localSheetId="4" hidden="1">#REF!,#REF!,#REF!,#REF!,#REF!</definedName>
    <definedName name="Z_9D639C20_AC19_435F_AA25_F4EF016A3F77_.wvu.Rows" hidden="1">#REF!,#REF!,#REF!,#REF!,#REF!</definedName>
    <definedName name="Z_B684A599_727D_4344_909D_17F034AD7103_.wvu.Rows" hidden="1">#REF!,#REF!,#REF!,#REF!,#REF!</definedName>
    <definedName name="Z_C096329A_CC4B_48C4_8F89_82ABC76CFFF5_.wvu.Rows" hidden="1">#REF!,#REF!,#REF!,#REF!,#REF!</definedName>
    <definedName name="ZZSCENARIO">"X"</definedName>
    <definedName name="zzz" localSheetId="5">#REF!</definedName>
    <definedName name="zzz" localSheetId="4">#REF!</definedName>
    <definedName name="zzz">#REF!</definedName>
    <definedName name="д">154.6</definedName>
    <definedName name="ДД">153.7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2" i="23" l="1"/>
  <c r="K83" i="23"/>
  <c r="K84" i="23"/>
  <c r="K85" i="23"/>
  <c r="K86" i="23"/>
  <c r="K87" i="23"/>
  <c r="K88" i="23"/>
  <c r="K89" i="23"/>
  <c r="K90" i="23"/>
  <c r="K91" i="23"/>
  <c r="K92" i="23"/>
  <c r="K93" i="23"/>
  <c r="K94" i="23"/>
  <c r="K8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6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D95" i="23"/>
  <c r="D75" i="23"/>
  <c r="D96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81" i="23"/>
  <c r="F76" i="23"/>
  <c r="D82" i="23"/>
  <c r="D83" i="23"/>
  <c r="D84" i="23"/>
  <c r="D85" i="23"/>
  <c r="D86" i="23"/>
  <c r="D90" i="23"/>
  <c r="D91" i="23"/>
  <c r="D92" i="23"/>
  <c r="D93" i="23"/>
  <c r="D94" i="23"/>
  <c r="Q71" i="99"/>
  <c r="S71" i="99" s="1"/>
  <c r="Q70" i="99"/>
  <c r="S70" i="99" s="1"/>
  <c r="Q69" i="99"/>
  <c r="S69" i="99" s="1"/>
  <c r="X77" i="99"/>
  <c r="Y77" i="99" s="1"/>
  <c r="Z77" i="99" s="1"/>
  <c r="V77" i="99"/>
  <c r="U77" i="99"/>
  <c r="V64" i="99"/>
  <c r="W64" i="99"/>
  <c r="X64" i="99"/>
  <c r="Y64" i="99"/>
  <c r="V65" i="99"/>
  <c r="W65" i="99"/>
  <c r="X65" i="99"/>
  <c r="Y65" i="99"/>
  <c r="U65" i="99"/>
  <c r="U64" i="99"/>
  <c r="V61" i="99"/>
  <c r="W61" i="99"/>
  <c r="X61" i="99"/>
  <c r="Y61" i="99"/>
  <c r="V62" i="99"/>
  <c r="W62" i="99"/>
  <c r="X62" i="99"/>
  <c r="Y62" i="99"/>
  <c r="U62" i="99"/>
  <c r="U61" i="99"/>
  <c r="V57" i="99"/>
  <c r="W57" i="99"/>
  <c r="X57" i="99"/>
  <c r="Y57" i="99"/>
  <c r="V58" i="99"/>
  <c r="W58" i="99"/>
  <c r="X58" i="99"/>
  <c r="Y58" i="99"/>
  <c r="U58" i="99"/>
  <c r="U57" i="99"/>
  <c r="V54" i="99"/>
  <c r="W54" i="99"/>
  <c r="X54" i="99"/>
  <c r="Y54" i="99"/>
  <c r="V55" i="99"/>
  <c r="W55" i="99"/>
  <c r="X55" i="99"/>
  <c r="Y55" i="99"/>
  <c r="U55" i="99"/>
  <c r="U54" i="99"/>
  <c r="Y51" i="99"/>
  <c r="X51" i="99"/>
  <c r="W51" i="99"/>
  <c r="V51" i="99"/>
  <c r="U51" i="99"/>
  <c r="Z50" i="99"/>
  <c r="Z49" i="99"/>
  <c r="Z48" i="99"/>
  <c r="Z47" i="99"/>
  <c r="Z46" i="99"/>
  <c r="Y15" i="99"/>
  <c r="Y14" i="99"/>
  <c r="Z17" i="99"/>
  <c r="Z22" i="99"/>
  <c r="Z11" i="99"/>
  <c r="Z10" i="99"/>
  <c r="Z9" i="99"/>
  <c r="Z8" i="99"/>
  <c r="Z7" i="99"/>
  <c r="F77" i="97"/>
  <c r="B77" i="97"/>
  <c r="V71" i="99" l="1"/>
  <c r="X72" i="99"/>
  <c r="Z51" i="99"/>
  <c r="Y68" i="99"/>
  <c r="AA77" i="99"/>
  <c r="V72" i="99"/>
  <c r="X69" i="99"/>
  <c r="W72" i="99"/>
  <c r="Y69" i="99"/>
  <c r="U69" i="99"/>
  <c r="W69" i="99"/>
  <c r="U72" i="99"/>
  <c r="V69" i="99"/>
  <c r="Y72" i="99"/>
  <c r="U68" i="99"/>
  <c r="V68" i="99"/>
  <c r="X68" i="99"/>
  <c r="W68" i="99"/>
  <c r="X71" i="99"/>
  <c r="Y71" i="99"/>
  <c r="U71" i="99"/>
  <c r="W71" i="99"/>
  <c r="V12" i="99" l="1"/>
  <c r="W12" i="99"/>
  <c r="X12" i="99"/>
  <c r="Y12" i="99"/>
  <c r="U12" i="99"/>
  <c r="Z12" i="99" s="1"/>
  <c r="J32" i="102"/>
  <c r="J32" i="98"/>
  <c r="R36" i="23"/>
  <c r="J44" i="98"/>
  <c r="B47" i="97"/>
  <c r="J44" i="102" s="1"/>
  <c r="B46" i="97"/>
  <c r="D68" i="97"/>
  <c r="D67" i="97"/>
  <c r="D45" i="102"/>
  <c r="D21" i="102"/>
  <c r="D20" i="102"/>
  <c r="F84" i="97"/>
  <c r="B84" i="97"/>
  <c r="F79" i="97"/>
  <c r="B79" i="97"/>
  <c r="B99" i="97"/>
  <c r="D63" i="23"/>
  <c r="F63" i="23" s="1"/>
  <c r="B63" i="23"/>
  <c r="U36" i="23"/>
  <c r="B36" i="23"/>
  <c r="F7" i="105"/>
  <c r="A3" i="105"/>
  <c r="T66" i="105"/>
  <c r="T65" i="105"/>
  <c r="T64" i="105"/>
  <c r="T63" i="105"/>
  <c r="T62" i="105"/>
  <c r="T61" i="105"/>
  <c r="T57" i="105"/>
  <c r="T56" i="105"/>
  <c r="A43" i="105"/>
  <c r="E33" i="105"/>
  <c r="E32" i="105"/>
  <c r="E31" i="105"/>
  <c r="A28" i="105"/>
  <c r="A29" i="105" s="1"/>
  <c r="A30" i="105" s="1"/>
  <c r="A31" i="105" s="1"/>
  <c r="A32" i="105" s="1"/>
  <c r="A33" i="105" s="1"/>
  <c r="A34" i="105" s="1"/>
  <c r="A35" i="105" s="1"/>
  <c r="A36" i="105" s="1"/>
  <c r="B22" i="105"/>
  <c r="B23" i="105" s="1"/>
  <c r="D21" i="105"/>
  <c r="D22" i="105" s="1"/>
  <c r="D23" i="105" s="1"/>
  <c r="E23" i="105" s="1"/>
  <c r="A20" i="105"/>
  <c r="A21" i="105" s="1"/>
  <c r="A22" i="105" s="1"/>
  <c r="A23" i="105" s="1"/>
  <c r="D19" i="105"/>
  <c r="D20" i="105" s="1"/>
  <c r="B19" i="105"/>
  <c r="B20" i="105" s="1"/>
  <c r="B21" i="105" s="1"/>
  <c r="A19" i="105"/>
  <c r="A13" i="105"/>
  <c r="A14" i="105" s="1"/>
  <c r="H10" i="105"/>
  <c r="A10" i="105"/>
  <c r="A11" i="105" s="1"/>
  <c r="A12" i="105" s="1"/>
  <c r="O9" i="105"/>
  <c r="O8" i="105"/>
  <c r="AE8" i="105" s="1"/>
  <c r="I8" i="105"/>
  <c r="I9" i="105" s="1"/>
  <c r="I10" i="105" s="1"/>
  <c r="I11" i="105" s="1"/>
  <c r="I12" i="105" s="1"/>
  <c r="I13" i="105" s="1"/>
  <c r="I14" i="105" s="1"/>
  <c r="I15" i="105" s="1"/>
  <c r="I16" i="105" s="1"/>
  <c r="I17" i="105" s="1"/>
  <c r="I18" i="105" s="1"/>
  <c r="I19" i="105" s="1"/>
  <c r="I20" i="105" s="1"/>
  <c r="I21" i="105" s="1"/>
  <c r="I22" i="105" s="1"/>
  <c r="I23" i="105" s="1"/>
  <c r="I24" i="105" s="1"/>
  <c r="I25" i="105" s="1"/>
  <c r="I26" i="105" s="1"/>
  <c r="I27" i="105" s="1"/>
  <c r="I28" i="105" s="1"/>
  <c r="I29" i="105" s="1"/>
  <c r="I30" i="105" s="1"/>
  <c r="I31" i="105" s="1"/>
  <c r="I32" i="105" s="1"/>
  <c r="I33" i="105" s="1"/>
  <c r="I34" i="105" s="1"/>
  <c r="I35" i="105" s="1"/>
  <c r="I36" i="105" s="1"/>
  <c r="I37" i="105" s="1"/>
  <c r="I38" i="105" s="1"/>
  <c r="I39" i="105" s="1"/>
  <c r="I40" i="105" s="1"/>
  <c r="I41" i="105" s="1"/>
  <c r="I42" i="105" s="1"/>
  <c r="I43" i="105" s="1"/>
  <c r="I44" i="105" s="1"/>
  <c r="I45" i="105" s="1"/>
  <c r="I46" i="105" s="1"/>
  <c r="I47" i="105" s="1"/>
  <c r="I48" i="105" s="1"/>
  <c r="I49" i="105" s="1"/>
  <c r="I50" i="105" s="1"/>
  <c r="I51" i="105" s="1"/>
  <c r="I52" i="105" s="1"/>
  <c r="I53" i="105" s="1"/>
  <c r="I54" i="105" s="1"/>
  <c r="I55" i="105" s="1"/>
  <c r="I56" i="105" s="1"/>
  <c r="I57" i="105" s="1"/>
  <c r="I58" i="105" s="1"/>
  <c r="I59" i="105" s="1"/>
  <c r="I60" i="105" s="1"/>
  <c r="I61" i="105" s="1"/>
  <c r="I62" i="105" s="1"/>
  <c r="I63" i="105" s="1"/>
  <c r="I64" i="105" s="1"/>
  <c r="I65" i="105" s="1"/>
  <c r="I66" i="105" s="1"/>
  <c r="H8" i="105"/>
  <c r="F8" i="105"/>
  <c r="A8" i="105"/>
  <c r="A9" i="105" s="1"/>
  <c r="AE7" i="105"/>
  <c r="AF6" i="105"/>
  <c r="AE6" i="105"/>
  <c r="AJ5" i="105"/>
  <c r="AH5" i="105"/>
  <c r="AI3" i="105"/>
  <c r="A1" i="105"/>
  <c r="O8" i="23"/>
  <c r="P8" i="23" s="1"/>
  <c r="Q8" i="23" s="1"/>
  <c r="R8" i="23"/>
  <c r="S8" i="23"/>
  <c r="T8" i="23"/>
  <c r="U8" i="23"/>
  <c r="V8" i="23"/>
  <c r="W8" i="23"/>
  <c r="X8" i="23"/>
  <c r="AE8" i="23"/>
  <c r="AF8" i="23" s="1"/>
  <c r="AH8" i="23"/>
  <c r="AI8" i="23"/>
  <c r="AJ8" i="23"/>
  <c r="E8" i="23"/>
  <c r="F8" i="23"/>
  <c r="F9" i="105" s="1"/>
  <c r="H8" i="23"/>
  <c r="D66" i="23"/>
  <c r="F66" i="23" s="1"/>
  <c r="Y8" i="23" l="1"/>
  <c r="Z8" i="23" s="1"/>
  <c r="I8" i="23"/>
  <c r="M8" i="23" s="1"/>
  <c r="N8" i="23" s="1"/>
  <c r="F93" i="97"/>
  <c r="F94" i="97" s="1"/>
  <c r="F95" i="97" s="1"/>
  <c r="F96" i="97" s="1"/>
  <c r="B93" i="97"/>
  <c r="B94" i="97" s="1"/>
  <c r="AE9" i="105"/>
  <c r="O10" i="105"/>
  <c r="D27" i="105"/>
  <c r="W15" i="99" l="1"/>
  <c r="X15" i="99"/>
  <c r="U15" i="99"/>
  <c r="V15" i="99"/>
  <c r="B95" i="97"/>
  <c r="B96" i="97" s="1"/>
  <c r="O11" i="105"/>
  <c r="AE10" i="105"/>
  <c r="U39" i="23"/>
  <c r="R39" i="23"/>
  <c r="C13" i="104"/>
  <c r="C32" i="104"/>
  <c r="C104" i="104" s="1"/>
  <c r="F7" i="104"/>
  <c r="D27" i="104" s="1"/>
  <c r="X11" i="23"/>
  <c r="Y11" i="23" s="1"/>
  <c r="O11" i="23"/>
  <c r="P11" i="23" s="1"/>
  <c r="Q11" i="23" s="1"/>
  <c r="R11" i="23"/>
  <c r="S11" i="23"/>
  <c r="T11" i="23"/>
  <c r="U11" i="23"/>
  <c r="V11" i="23"/>
  <c r="H11" i="23"/>
  <c r="F11" i="23"/>
  <c r="F9" i="104" s="1"/>
  <c r="E11" i="23"/>
  <c r="B66" i="23"/>
  <c r="B39" i="23"/>
  <c r="B40" i="23"/>
  <c r="T128" i="104"/>
  <c r="T108" i="104" s="1"/>
  <c r="T127" i="104" s="1"/>
  <c r="T129" i="104" s="1"/>
  <c r="S128" i="104"/>
  <c r="T126" i="104"/>
  <c r="A115" i="104"/>
  <c r="G105" i="104"/>
  <c r="F105" i="104"/>
  <c r="G104" i="104"/>
  <c r="F104" i="104"/>
  <c r="A104" i="104"/>
  <c r="A105" i="104" s="1"/>
  <c r="A106" i="104" s="1"/>
  <c r="A107" i="104" s="1"/>
  <c r="A108" i="104" s="1"/>
  <c r="G103" i="104"/>
  <c r="F103" i="104"/>
  <c r="A102" i="104"/>
  <c r="A103" i="104" s="1"/>
  <c r="E100" i="104"/>
  <c r="A100" i="104"/>
  <c r="A101" i="104" s="1"/>
  <c r="G99" i="104"/>
  <c r="G106" i="104" s="1"/>
  <c r="F99" i="104"/>
  <c r="F106" i="104" s="1"/>
  <c r="D99" i="104"/>
  <c r="D93" i="104"/>
  <c r="D94" i="104" s="1"/>
  <c r="D95" i="104" s="1"/>
  <c r="E95" i="104" s="1"/>
  <c r="D92" i="104"/>
  <c r="B92" i="104"/>
  <c r="B93" i="104" s="1"/>
  <c r="B94" i="104" s="1"/>
  <c r="B95" i="104" s="1"/>
  <c r="A92" i="104"/>
  <c r="A93" i="104" s="1"/>
  <c r="A94" i="104" s="1"/>
  <c r="A95" i="104" s="1"/>
  <c r="D91" i="104"/>
  <c r="B91" i="104"/>
  <c r="A91" i="104"/>
  <c r="F83" i="104"/>
  <c r="A83" i="104"/>
  <c r="A84" i="104" s="1"/>
  <c r="A85" i="104" s="1"/>
  <c r="A86" i="104" s="1"/>
  <c r="O81" i="104"/>
  <c r="O82" i="104" s="1"/>
  <c r="O83" i="104" s="1"/>
  <c r="O84" i="104" s="1"/>
  <c r="O85" i="104" s="1"/>
  <c r="O86" i="104" s="1"/>
  <c r="O87" i="104" s="1"/>
  <c r="O88" i="104" s="1"/>
  <c r="O89" i="104" s="1"/>
  <c r="O90" i="104" s="1"/>
  <c r="O91" i="104" s="1"/>
  <c r="O92" i="104" s="1"/>
  <c r="O93" i="104" s="1"/>
  <c r="O94" i="104" s="1"/>
  <c r="O95" i="104" s="1"/>
  <c r="O96" i="104" s="1"/>
  <c r="O97" i="104" s="1"/>
  <c r="O98" i="104" s="1"/>
  <c r="O99" i="104" s="1"/>
  <c r="O100" i="104" s="1"/>
  <c r="O101" i="104" s="1"/>
  <c r="O102" i="104" s="1"/>
  <c r="O103" i="104" s="1"/>
  <c r="O104" i="104" s="1"/>
  <c r="O105" i="104" s="1"/>
  <c r="O106" i="104" s="1"/>
  <c r="O107" i="104" s="1"/>
  <c r="O108" i="104" s="1"/>
  <c r="O109" i="104" s="1"/>
  <c r="O110" i="104" s="1"/>
  <c r="O111" i="104" s="1"/>
  <c r="O112" i="104" s="1"/>
  <c r="O113" i="104" s="1"/>
  <c r="O114" i="104" s="1"/>
  <c r="O115" i="104" s="1"/>
  <c r="O116" i="104" s="1"/>
  <c r="O117" i="104" s="1"/>
  <c r="O118" i="104" s="1"/>
  <c r="O119" i="104" s="1"/>
  <c r="O120" i="104" s="1"/>
  <c r="O121" i="104" s="1"/>
  <c r="O122" i="104" s="1"/>
  <c r="O123" i="104" s="1"/>
  <c r="O124" i="104" s="1"/>
  <c r="O125" i="104" s="1"/>
  <c r="O126" i="104" s="1"/>
  <c r="I81" i="104"/>
  <c r="I82" i="104" s="1"/>
  <c r="I83" i="104" s="1"/>
  <c r="I84" i="104" s="1"/>
  <c r="I85" i="104" s="1"/>
  <c r="I86" i="104" s="1"/>
  <c r="I87" i="104" s="1"/>
  <c r="I88" i="104" s="1"/>
  <c r="I89" i="104" s="1"/>
  <c r="I90" i="104" s="1"/>
  <c r="I91" i="104" s="1"/>
  <c r="I92" i="104" s="1"/>
  <c r="I93" i="104" s="1"/>
  <c r="I94" i="104" s="1"/>
  <c r="I95" i="104" s="1"/>
  <c r="I96" i="104" s="1"/>
  <c r="I97" i="104" s="1"/>
  <c r="I98" i="104" s="1"/>
  <c r="I99" i="104" s="1"/>
  <c r="I100" i="104" s="1"/>
  <c r="I101" i="104" s="1"/>
  <c r="I102" i="104" s="1"/>
  <c r="I103" i="104" s="1"/>
  <c r="I104" i="104" s="1"/>
  <c r="I105" i="104" s="1"/>
  <c r="I106" i="104" s="1"/>
  <c r="I107" i="104" s="1"/>
  <c r="I108" i="104" s="1"/>
  <c r="I109" i="104" s="1"/>
  <c r="I110" i="104" s="1"/>
  <c r="I111" i="104" s="1"/>
  <c r="I112" i="104" s="1"/>
  <c r="I113" i="104" s="1"/>
  <c r="I114" i="104" s="1"/>
  <c r="I115" i="104" s="1"/>
  <c r="I116" i="104" s="1"/>
  <c r="I117" i="104" s="1"/>
  <c r="I118" i="104" s="1"/>
  <c r="I119" i="104" s="1"/>
  <c r="I120" i="104" s="1"/>
  <c r="I121" i="104" s="1"/>
  <c r="I122" i="104" s="1"/>
  <c r="I123" i="104" s="1"/>
  <c r="I124" i="104" s="1"/>
  <c r="I125" i="104" s="1"/>
  <c r="I126" i="104" s="1"/>
  <c r="A81" i="104"/>
  <c r="A82" i="104" s="1"/>
  <c r="O80" i="104"/>
  <c r="I80" i="104"/>
  <c r="A80" i="104"/>
  <c r="P79" i="104"/>
  <c r="J79" i="104"/>
  <c r="T66" i="104"/>
  <c r="T65" i="104"/>
  <c r="T64" i="104"/>
  <c r="T63" i="104"/>
  <c r="T62" i="104"/>
  <c r="T61" i="104"/>
  <c r="T57" i="104"/>
  <c r="T56" i="104"/>
  <c r="A43" i="104"/>
  <c r="E33" i="104"/>
  <c r="E32" i="104"/>
  <c r="E31" i="104"/>
  <c r="A29" i="104"/>
  <c r="A30" i="104" s="1"/>
  <c r="A31" i="104" s="1"/>
  <c r="A32" i="104" s="1"/>
  <c r="A33" i="104" s="1"/>
  <c r="A34" i="104" s="1"/>
  <c r="A35" i="104" s="1"/>
  <c r="A36" i="104" s="1"/>
  <c r="A28" i="104"/>
  <c r="D23" i="104"/>
  <c r="E23" i="104" s="1"/>
  <c r="D21" i="104"/>
  <c r="D22" i="104" s="1"/>
  <c r="A20" i="104"/>
  <c r="A21" i="104" s="1"/>
  <c r="A22" i="104" s="1"/>
  <c r="A23" i="104" s="1"/>
  <c r="D19" i="104"/>
  <c r="D20" i="104" s="1"/>
  <c r="B19" i="104"/>
  <c r="B20" i="104" s="1"/>
  <c r="B21" i="104" s="1"/>
  <c r="B22" i="104" s="1"/>
  <c r="B23" i="104" s="1"/>
  <c r="A19" i="104"/>
  <c r="O14" i="104"/>
  <c r="O15" i="104" s="1"/>
  <c r="O16" i="104" s="1"/>
  <c r="O17" i="104" s="1"/>
  <c r="O18" i="104" s="1"/>
  <c r="O19" i="104" s="1"/>
  <c r="O20" i="104" s="1"/>
  <c r="O21" i="104" s="1"/>
  <c r="O22" i="104" s="1"/>
  <c r="O23" i="104" s="1"/>
  <c r="O24" i="104" s="1"/>
  <c r="O25" i="104" s="1"/>
  <c r="O26" i="104" s="1"/>
  <c r="O27" i="104" s="1"/>
  <c r="O28" i="104" s="1"/>
  <c r="O29" i="104" s="1"/>
  <c r="O30" i="104" s="1"/>
  <c r="O31" i="104" s="1"/>
  <c r="O32" i="104" s="1"/>
  <c r="O33" i="104" s="1"/>
  <c r="O34" i="104" s="1"/>
  <c r="O35" i="104" s="1"/>
  <c r="O36" i="104" s="1"/>
  <c r="O37" i="104" s="1"/>
  <c r="O38" i="104" s="1"/>
  <c r="O39" i="104" s="1"/>
  <c r="O40" i="104" s="1"/>
  <c r="O41" i="104" s="1"/>
  <c r="O42" i="104" s="1"/>
  <c r="O43" i="104" s="1"/>
  <c r="O44" i="104" s="1"/>
  <c r="O45" i="104" s="1"/>
  <c r="O46" i="104" s="1"/>
  <c r="O47" i="104" s="1"/>
  <c r="O48" i="104" s="1"/>
  <c r="O49" i="104" s="1"/>
  <c r="O50" i="104" s="1"/>
  <c r="O51" i="104" s="1"/>
  <c r="O52" i="104" s="1"/>
  <c r="O53" i="104" s="1"/>
  <c r="O54" i="104" s="1"/>
  <c r="O55" i="104" s="1"/>
  <c r="O56" i="104" s="1"/>
  <c r="O57" i="104" s="1"/>
  <c r="O58" i="104" s="1"/>
  <c r="O59" i="104" s="1"/>
  <c r="O60" i="104" s="1"/>
  <c r="O61" i="104" s="1"/>
  <c r="O62" i="104" s="1"/>
  <c r="O63" i="104" s="1"/>
  <c r="O64" i="104" s="1"/>
  <c r="O65" i="104" s="1"/>
  <c r="O66" i="104" s="1"/>
  <c r="O10" i="104"/>
  <c r="O11" i="104" s="1"/>
  <c r="O12" i="104" s="1"/>
  <c r="O13" i="104" s="1"/>
  <c r="I10" i="104"/>
  <c r="I11" i="104" s="1"/>
  <c r="I12" i="104" s="1"/>
  <c r="I13" i="104" s="1"/>
  <c r="I14" i="104" s="1"/>
  <c r="I15" i="104" s="1"/>
  <c r="I16" i="104" s="1"/>
  <c r="I17" i="104" s="1"/>
  <c r="I18" i="104" s="1"/>
  <c r="I19" i="104" s="1"/>
  <c r="I20" i="104" s="1"/>
  <c r="I21" i="104" s="1"/>
  <c r="I22" i="104" s="1"/>
  <c r="I23" i="104" s="1"/>
  <c r="I24" i="104" s="1"/>
  <c r="I25" i="104" s="1"/>
  <c r="I26" i="104" s="1"/>
  <c r="I27" i="104" s="1"/>
  <c r="I28" i="104" s="1"/>
  <c r="I29" i="104" s="1"/>
  <c r="I30" i="104" s="1"/>
  <c r="I31" i="104" s="1"/>
  <c r="I32" i="104" s="1"/>
  <c r="I33" i="104" s="1"/>
  <c r="I34" i="104" s="1"/>
  <c r="I35" i="104" s="1"/>
  <c r="I36" i="104" s="1"/>
  <c r="I37" i="104" s="1"/>
  <c r="I38" i="104" s="1"/>
  <c r="I39" i="104" s="1"/>
  <c r="I40" i="104" s="1"/>
  <c r="I41" i="104" s="1"/>
  <c r="I42" i="104" s="1"/>
  <c r="I43" i="104" s="1"/>
  <c r="I44" i="104" s="1"/>
  <c r="I45" i="104" s="1"/>
  <c r="I46" i="104" s="1"/>
  <c r="I47" i="104" s="1"/>
  <c r="I48" i="104" s="1"/>
  <c r="I49" i="104" s="1"/>
  <c r="I50" i="104" s="1"/>
  <c r="I51" i="104" s="1"/>
  <c r="I52" i="104" s="1"/>
  <c r="I53" i="104" s="1"/>
  <c r="I54" i="104" s="1"/>
  <c r="I55" i="104" s="1"/>
  <c r="I56" i="104" s="1"/>
  <c r="I57" i="104" s="1"/>
  <c r="I58" i="104" s="1"/>
  <c r="I59" i="104" s="1"/>
  <c r="I60" i="104" s="1"/>
  <c r="I61" i="104" s="1"/>
  <c r="I62" i="104" s="1"/>
  <c r="I63" i="104" s="1"/>
  <c r="I64" i="104" s="1"/>
  <c r="I65" i="104" s="1"/>
  <c r="I66" i="104" s="1"/>
  <c r="H10" i="104"/>
  <c r="O9" i="104"/>
  <c r="I9" i="104"/>
  <c r="A9" i="104"/>
  <c r="A10" i="104" s="1"/>
  <c r="A11" i="104" s="1"/>
  <c r="A12" i="104" s="1"/>
  <c r="A13" i="104" s="1"/>
  <c r="A14" i="104" s="1"/>
  <c r="O8" i="104"/>
  <c r="I8" i="104"/>
  <c r="H8" i="104"/>
  <c r="F8" i="104"/>
  <c r="A8" i="104"/>
  <c r="A3" i="104"/>
  <c r="A75" i="104" s="1"/>
  <c r="A1" i="104"/>
  <c r="Z15" i="99" l="1"/>
  <c r="W14" i="99"/>
  <c r="W16" i="99" s="1"/>
  <c r="Y16" i="99"/>
  <c r="X14" i="99"/>
  <c r="X16" i="99" s="1"/>
  <c r="U14" i="99"/>
  <c r="V14" i="99"/>
  <c r="V16" i="99" s="1"/>
  <c r="AE11" i="105"/>
  <c r="O12" i="105"/>
  <c r="Z11" i="23"/>
  <c r="I11" i="23"/>
  <c r="M11" i="23" s="1"/>
  <c r="N11" i="23" s="1"/>
  <c r="D32" i="104"/>
  <c r="D44" i="98"/>
  <c r="U16" i="99" l="1"/>
  <c r="Z16" i="99" s="1"/>
  <c r="Z14" i="99"/>
  <c r="AE12" i="105"/>
  <c r="O13" i="105"/>
  <c r="T68" i="104"/>
  <c r="T72" i="104"/>
  <c r="G32" i="104"/>
  <c r="F32" i="104"/>
  <c r="AE13" i="105" l="1"/>
  <c r="O14" i="105"/>
  <c r="T36" i="104"/>
  <c r="T54" i="104"/>
  <c r="B72" i="23"/>
  <c r="B73" i="23"/>
  <c r="B71" i="23"/>
  <c r="B62" i="23"/>
  <c r="B64" i="23"/>
  <c r="B65" i="23"/>
  <c r="B67" i="23"/>
  <c r="B68" i="23"/>
  <c r="B69" i="23"/>
  <c r="B70" i="23"/>
  <c r="B61" i="23"/>
  <c r="B48" i="23"/>
  <c r="B49" i="23"/>
  <c r="B50" i="23"/>
  <c r="B51" i="23"/>
  <c r="B52" i="23"/>
  <c r="B53" i="23"/>
  <c r="B54" i="23"/>
  <c r="B55" i="23"/>
  <c r="B56" i="23"/>
  <c r="B57" i="23"/>
  <c r="B58" i="23"/>
  <c r="B47" i="23"/>
  <c r="B35" i="23"/>
  <c r="B20" i="98" s="1"/>
  <c r="B37" i="23"/>
  <c r="B38" i="23"/>
  <c r="B41" i="23"/>
  <c r="B42" i="23"/>
  <c r="B43" i="23"/>
  <c r="B44" i="23"/>
  <c r="B45" i="23"/>
  <c r="B46" i="23"/>
  <c r="B34" i="23"/>
  <c r="C62" i="98"/>
  <c r="C61" i="98"/>
  <c r="C60" i="98"/>
  <c r="B66" i="102"/>
  <c r="B68" i="102"/>
  <c r="B71" i="102"/>
  <c r="B73" i="102"/>
  <c r="B76" i="102"/>
  <c r="B78" i="102"/>
  <c r="AE14" i="105" l="1"/>
  <c r="O15" i="105"/>
  <c r="T67" i="104"/>
  <c r="T69" i="104" s="1"/>
  <c r="T55" i="104" s="1"/>
  <c r="T73" i="104" s="1"/>
  <c r="C46" i="99"/>
  <c r="D74" i="23"/>
  <c r="I96" i="23"/>
  <c r="D37" i="102"/>
  <c r="D37" i="98"/>
  <c r="O16" i="105" l="1"/>
  <c r="AE15" i="105"/>
  <c r="K97" i="23"/>
  <c r="L97" i="23" s="1"/>
  <c r="L98" i="23" s="1"/>
  <c r="I81" i="23"/>
  <c r="B108" i="97"/>
  <c r="B107" i="97"/>
  <c r="F47" i="99"/>
  <c r="B100" i="97"/>
  <c r="B104" i="97"/>
  <c r="B101" i="97"/>
  <c r="G35" i="99"/>
  <c r="G34" i="99"/>
  <c r="G36" i="99"/>
  <c r="G37" i="99"/>
  <c r="G38" i="99"/>
  <c r="G39" i="99"/>
  <c r="G40" i="99"/>
  <c r="G41" i="99"/>
  <c r="G42" i="99"/>
  <c r="G43" i="99"/>
  <c r="G44" i="99"/>
  <c r="G45" i="99"/>
  <c r="G33" i="99"/>
  <c r="D35" i="99"/>
  <c r="D37" i="99"/>
  <c r="D41" i="99"/>
  <c r="D42" i="99"/>
  <c r="D43" i="99"/>
  <c r="D33" i="99"/>
  <c r="X20" i="23"/>
  <c r="Y20" i="23" s="1"/>
  <c r="X21" i="23"/>
  <c r="Y21" i="23" s="1"/>
  <c r="X22" i="23"/>
  <c r="Y22" i="23" s="1"/>
  <c r="X23" i="23"/>
  <c r="Y23" i="23" s="1"/>
  <c r="X24" i="23"/>
  <c r="Y24" i="23" s="1"/>
  <c r="X25" i="23"/>
  <c r="Y25" i="23" s="1"/>
  <c r="X26" i="23"/>
  <c r="Y26" i="23" s="1"/>
  <c r="X27" i="23"/>
  <c r="Y27" i="23" s="1"/>
  <c r="X28" i="23"/>
  <c r="Y28" i="23" s="1"/>
  <c r="X29" i="23"/>
  <c r="Y29" i="23" s="1"/>
  <c r="X30" i="23"/>
  <c r="Y30" i="23" s="1"/>
  <c r="O20" i="23"/>
  <c r="P20" i="23" s="1"/>
  <c r="Q20" i="23" s="1"/>
  <c r="R20" i="23"/>
  <c r="S20" i="23"/>
  <c r="T20" i="23"/>
  <c r="U20" i="23"/>
  <c r="V20" i="23"/>
  <c r="O21" i="23"/>
  <c r="P21" i="23" s="1"/>
  <c r="Q21" i="23" s="1"/>
  <c r="R21" i="23"/>
  <c r="S21" i="23"/>
  <c r="T21" i="23"/>
  <c r="U21" i="23"/>
  <c r="V21" i="23"/>
  <c r="O22" i="23"/>
  <c r="P22" i="23" s="1"/>
  <c r="Q22" i="23" s="1"/>
  <c r="R22" i="23"/>
  <c r="S22" i="23"/>
  <c r="T22" i="23"/>
  <c r="U22" i="23"/>
  <c r="V22" i="23"/>
  <c r="O23" i="23"/>
  <c r="P23" i="23" s="1"/>
  <c r="Q23" i="23" s="1"/>
  <c r="R23" i="23"/>
  <c r="S23" i="23"/>
  <c r="T23" i="23"/>
  <c r="U23" i="23"/>
  <c r="V23" i="23"/>
  <c r="O24" i="23"/>
  <c r="P24" i="23" s="1"/>
  <c r="Q24" i="23" s="1"/>
  <c r="R24" i="23"/>
  <c r="S24" i="23"/>
  <c r="T24" i="23"/>
  <c r="U24" i="23"/>
  <c r="V24" i="23"/>
  <c r="O25" i="23"/>
  <c r="P25" i="23" s="1"/>
  <c r="Q25" i="23" s="1"/>
  <c r="R25" i="23"/>
  <c r="S25" i="23"/>
  <c r="T25" i="23"/>
  <c r="U25" i="23"/>
  <c r="V25" i="23"/>
  <c r="O26" i="23"/>
  <c r="P26" i="23" s="1"/>
  <c r="Q26" i="23" s="1"/>
  <c r="R26" i="23"/>
  <c r="S26" i="23"/>
  <c r="T26" i="23"/>
  <c r="U26" i="23"/>
  <c r="V26" i="23"/>
  <c r="O27" i="23"/>
  <c r="P27" i="23" s="1"/>
  <c r="Q27" i="23" s="1"/>
  <c r="R27" i="23"/>
  <c r="S27" i="23"/>
  <c r="T27" i="23"/>
  <c r="U27" i="23"/>
  <c r="V27" i="23"/>
  <c r="O28" i="23"/>
  <c r="P28" i="23" s="1"/>
  <c r="Q28" i="23" s="1"/>
  <c r="R28" i="23"/>
  <c r="S28" i="23"/>
  <c r="T28" i="23"/>
  <c r="U28" i="23"/>
  <c r="V28" i="23"/>
  <c r="O29" i="23"/>
  <c r="P29" i="23" s="1"/>
  <c r="Q29" i="23" s="1"/>
  <c r="R29" i="23"/>
  <c r="S29" i="23"/>
  <c r="T29" i="23"/>
  <c r="U29" i="23"/>
  <c r="V29" i="23"/>
  <c r="O30" i="23"/>
  <c r="R30" i="23"/>
  <c r="S30" i="23"/>
  <c r="T30" i="23"/>
  <c r="U30" i="23"/>
  <c r="V30" i="23"/>
  <c r="H20" i="23"/>
  <c r="H21" i="23"/>
  <c r="H22" i="23"/>
  <c r="H23" i="23"/>
  <c r="H24" i="23"/>
  <c r="H25" i="23"/>
  <c r="H26" i="23"/>
  <c r="H27" i="23"/>
  <c r="H28" i="23"/>
  <c r="H29" i="23"/>
  <c r="H30" i="23"/>
  <c r="F20" i="23"/>
  <c r="F21" i="23"/>
  <c r="F22" i="23"/>
  <c r="F23" i="23"/>
  <c r="F24" i="23"/>
  <c r="F25" i="23"/>
  <c r="F26" i="23"/>
  <c r="F27" i="23"/>
  <c r="F28" i="23"/>
  <c r="F29" i="23"/>
  <c r="E30" i="23"/>
  <c r="A20" i="23"/>
  <c r="A21" i="23"/>
  <c r="A22" i="23"/>
  <c r="A23" i="23"/>
  <c r="A24" i="23"/>
  <c r="A25" i="23"/>
  <c r="A26" i="23"/>
  <c r="A27" i="23"/>
  <c r="A28" i="23"/>
  <c r="A29" i="23"/>
  <c r="A30" i="23"/>
  <c r="F32" i="99"/>
  <c r="E32" i="99"/>
  <c r="T66" i="103"/>
  <c r="T65" i="103"/>
  <c r="T64" i="103"/>
  <c r="T63" i="103"/>
  <c r="T62" i="103"/>
  <c r="T61" i="103"/>
  <c r="T57" i="103"/>
  <c r="T56" i="103"/>
  <c r="A43" i="103"/>
  <c r="E33" i="103"/>
  <c r="A28" i="103"/>
  <c r="A29" i="103" s="1"/>
  <c r="A30" i="103" s="1"/>
  <c r="A31" i="103" s="1"/>
  <c r="A32" i="103" s="1"/>
  <c r="A33" i="103" s="1"/>
  <c r="A34" i="103" s="1"/>
  <c r="A35" i="103" s="1"/>
  <c r="A36" i="103" s="1"/>
  <c r="O24" i="103"/>
  <c r="O25" i="103" s="1"/>
  <c r="O26" i="103" s="1"/>
  <c r="O27" i="103" s="1"/>
  <c r="O28" i="103" s="1"/>
  <c r="O29" i="103" s="1"/>
  <c r="O30" i="103" s="1"/>
  <c r="O31" i="103" s="1"/>
  <c r="O32" i="103" s="1"/>
  <c r="O33" i="103" s="1"/>
  <c r="O34" i="103" s="1"/>
  <c r="O35" i="103" s="1"/>
  <c r="O36" i="103" s="1"/>
  <c r="O37" i="103" s="1"/>
  <c r="O38" i="103" s="1"/>
  <c r="O39" i="103" s="1"/>
  <c r="O40" i="103" s="1"/>
  <c r="O41" i="103" s="1"/>
  <c r="O42" i="103" s="1"/>
  <c r="O43" i="103" s="1"/>
  <c r="O44" i="103" s="1"/>
  <c r="O45" i="103" s="1"/>
  <c r="O46" i="103" s="1"/>
  <c r="O47" i="103" s="1"/>
  <c r="O48" i="103" s="1"/>
  <c r="O49" i="103" s="1"/>
  <c r="O50" i="103" s="1"/>
  <c r="O51" i="103" s="1"/>
  <c r="O52" i="103" s="1"/>
  <c r="O53" i="103" s="1"/>
  <c r="O54" i="103" s="1"/>
  <c r="O55" i="103" s="1"/>
  <c r="O56" i="103" s="1"/>
  <c r="O57" i="103" s="1"/>
  <c r="O58" i="103" s="1"/>
  <c r="O59" i="103" s="1"/>
  <c r="O60" i="103" s="1"/>
  <c r="O61" i="103" s="1"/>
  <c r="O62" i="103" s="1"/>
  <c r="O63" i="103" s="1"/>
  <c r="O64" i="103" s="1"/>
  <c r="O65" i="103" s="1"/>
  <c r="O66" i="103" s="1"/>
  <c r="D20" i="103"/>
  <c r="D21" i="103" s="1"/>
  <c r="D22" i="103" s="1"/>
  <c r="D23" i="103" s="1"/>
  <c r="E23" i="103" s="1"/>
  <c r="D19" i="103"/>
  <c r="B19" i="103"/>
  <c r="B20" i="103" s="1"/>
  <c r="B21" i="103" s="1"/>
  <c r="B22" i="103" s="1"/>
  <c r="B23" i="103" s="1"/>
  <c r="A19" i="103"/>
  <c r="A20" i="103" s="1"/>
  <c r="A21" i="103" s="1"/>
  <c r="A22" i="103" s="1"/>
  <c r="A23" i="103" s="1"/>
  <c r="O13" i="103"/>
  <c r="O14" i="103" s="1"/>
  <c r="O15" i="103" s="1"/>
  <c r="O16" i="103" s="1"/>
  <c r="O17" i="103" s="1"/>
  <c r="O18" i="103" s="1"/>
  <c r="O19" i="103" s="1"/>
  <c r="O20" i="103" s="1"/>
  <c r="O21" i="103" s="1"/>
  <c r="O22" i="103" s="1"/>
  <c r="O23" i="103" s="1"/>
  <c r="H10" i="103"/>
  <c r="C35" i="103"/>
  <c r="A10" i="103"/>
  <c r="A11" i="103" s="1"/>
  <c r="A12" i="103" s="1"/>
  <c r="A13" i="103" s="1"/>
  <c r="A14" i="103" s="1"/>
  <c r="O9" i="103"/>
  <c r="O10" i="103" s="1"/>
  <c r="O11" i="103" s="1"/>
  <c r="O12" i="103" s="1"/>
  <c r="O8" i="103"/>
  <c r="I8" i="103"/>
  <c r="I9" i="103" s="1"/>
  <c r="I10" i="103" s="1"/>
  <c r="I11" i="103" s="1"/>
  <c r="I12" i="103" s="1"/>
  <c r="I13" i="103" s="1"/>
  <c r="I14" i="103" s="1"/>
  <c r="I15" i="103" s="1"/>
  <c r="I16" i="103" s="1"/>
  <c r="I17" i="103" s="1"/>
  <c r="I18" i="103" s="1"/>
  <c r="I19" i="103" s="1"/>
  <c r="I20" i="103" s="1"/>
  <c r="I21" i="103" s="1"/>
  <c r="I22" i="103" s="1"/>
  <c r="I23" i="103" s="1"/>
  <c r="I24" i="103" s="1"/>
  <c r="I25" i="103" s="1"/>
  <c r="I26" i="103" s="1"/>
  <c r="I27" i="103" s="1"/>
  <c r="I28" i="103" s="1"/>
  <c r="I29" i="103" s="1"/>
  <c r="I30" i="103" s="1"/>
  <c r="I31" i="103" s="1"/>
  <c r="I32" i="103" s="1"/>
  <c r="I33" i="103" s="1"/>
  <c r="I34" i="103" s="1"/>
  <c r="I35" i="103" s="1"/>
  <c r="I36" i="103" s="1"/>
  <c r="I37" i="103" s="1"/>
  <c r="I38" i="103" s="1"/>
  <c r="I39" i="103" s="1"/>
  <c r="I40" i="103" s="1"/>
  <c r="I41" i="103" s="1"/>
  <c r="I42" i="103" s="1"/>
  <c r="I43" i="103" s="1"/>
  <c r="I44" i="103" s="1"/>
  <c r="I45" i="103" s="1"/>
  <c r="I46" i="103" s="1"/>
  <c r="I47" i="103" s="1"/>
  <c r="I48" i="103" s="1"/>
  <c r="I49" i="103" s="1"/>
  <c r="I50" i="103" s="1"/>
  <c r="I51" i="103" s="1"/>
  <c r="I52" i="103" s="1"/>
  <c r="I53" i="103" s="1"/>
  <c r="I54" i="103" s="1"/>
  <c r="I55" i="103" s="1"/>
  <c r="I56" i="103" s="1"/>
  <c r="I57" i="103" s="1"/>
  <c r="I58" i="103" s="1"/>
  <c r="I59" i="103" s="1"/>
  <c r="I60" i="103" s="1"/>
  <c r="I61" i="103" s="1"/>
  <c r="I62" i="103" s="1"/>
  <c r="I63" i="103" s="1"/>
  <c r="I64" i="103" s="1"/>
  <c r="I65" i="103" s="1"/>
  <c r="I66" i="103" s="1"/>
  <c r="H8" i="103"/>
  <c r="F8" i="103"/>
  <c r="A8" i="103"/>
  <c r="A9" i="103" s="1"/>
  <c r="A3" i="103"/>
  <c r="A1" i="103"/>
  <c r="K32" i="102"/>
  <c r="M44" i="102"/>
  <c r="U80" i="102"/>
  <c r="R80" i="102"/>
  <c r="J80" i="102"/>
  <c r="U75" i="102"/>
  <c r="R75" i="102"/>
  <c r="J75" i="102"/>
  <c r="M74" i="102"/>
  <c r="M79" i="102" s="1"/>
  <c r="U70" i="102"/>
  <c r="R70" i="102"/>
  <c r="K70" i="102"/>
  <c r="J70" i="102"/>
  <c r="T50" i="102"/>
  <c r="U50" i="102" s="1"/>
  <c r="R50" i="102"/>
  <c r="J50" i="102"/>
  <c r="D48" i="102"/>
  <c r="L47" i="102"/>
  <c r="O47" i="102" s="1"/>
  <c r="K50" i="102" s="1"/>
  <c r="J47" i="102"/>
  <c r="D47" i="102"/>
  <c r="D46" i="102"/>
  <c r="D44" i="102"/>
  <c r="E43" i="102"/>
  <c r="T39" i="102"/>
  <c r="U39" i="102" s="1"/>
  <c r="R39" i="102"/>
  <c r="J39" i="102"/>
  <c r="D36" i="102"/>
  <c r="L35" i="102"/>
  <c r="M35" i="102" s="1"/>
  <c r="O35" i="102" s="1"/>
  <c r="J35" i="102"/>
  <c r="D35" i="102"/>
  <c r="D34" i="102"/>
  <c r="D33" i="102"/>
  <c r="D32" i="102"/>
  <c r="T27" i="102"/>
  <c r="U27" i="102" s="1"/>
  <c r="R27" i="102"/>
  <c r="W30" i="102" s="1"/>
  <c r="J27" i="102"/>
  <c r="D25" i="102"/>
  <c r="D24" i="102"/>
  <c r="L23" i="102"/>
  <c r="M23" i="102" s="1"/>
  <c r="J23" i="102"/>
  <c r="D23" i="102"/>
  <c r="D22" i="102"/>
  <c r="D68" i="102"/>
  <c r="M20" i="102"/>
  <c r="K20" i="102"/>
  <c r="T15" i="102"/>
  <c r="U15" i="102" s="1"/>
  <c r="R15" i="102"/>
  <c r="J15" i="102"/>
  <c r="D13" i="102"/>
  <c r="D12" i="102"/>
  <c r="L11" i="102"/>
  <c r="M11" i="102" s="1"/>
  <c r="J11" i="102"/>
  <c r="D11" i="102"/>
  <c r="D10" i="102"/>
  <c r="D9" i="102"/>
  <c r="D73" i="102" s="1"/>
  <c r="E73" i="102" s="1"/>
  <c r="M8" i="102"/>
  <c r="K8" i="102"/>
  <c r="R8" i="102" s="1"/>
  <c r="S8" i="102" s="1"/>
  <c r="D8" i="102"/>
  <c r="E7" i="102"/>
  <c r="R50" i="98"/>
  <c r="R15" i="98"/>
  <c r="R39" i="98"/>
  <c r="R27" i="98"/>
  <c r="B34" i="99"/>
  <c r="B35" i="99"/>
  <c r="E35" i="99" s="1"/>
  <c r="B36" i="99"/>
  <c r="B37" i="99"/>
  <c r="E37" i="99" s="1"/>
  <c r="B38" i="99"/>
  <c r="E38" i="99" s="1"/>
  <c r="B39" i="99"/>
  <c r="E39" i="99" s="1"/>
  <c r="B40" i="99"/>
  <c r="E40" i="99" s="1"/>
  <c r="B41" i="99"/>
  <c r="E41" i="99" s="1"/>
  <c r="B33" i="99"/>
  <c r="E33" i="99" s="1"/>
  <c r="O17" i="105" l="1"/>
  <c r="AE16" i="105"/>
  <c r="M70" i="102"/>
  <c r="E19" i="102"/>
  <c r="E31" i="102" s="1"/>
  <c r="E37" i="102"/>
  <c r="R20" i="102"/>
  <c r="S20" i="102" s="1"/>
  <c r="G32" i="99"/>
  <c r="Z26" i="23"/>
  <c r="Z29" i="23"/>
  <c r="Z24" i="23"/>
  <c r="Z21" i="23"/>
  <c r="Z30" i="23"/>
  <c r="Z27" i="23"/>
  <c r="Z22" i="23"/>
  <c r="Z28" i="23"/>
  <c r="Z25" i="23"/>
  <c r="Z20" i="23"/>
  <c r="Z23" i="23"/>
  <c r="M32" i="102"/>
  <c r="R32" i="102" s="1"/>
  <c r="S32" i="102" s="1"/>
  <c r="L39" i="102" s="1"/>
  <c r="K44" i="102"/>
  <c r="R44" i="102" s="1"/>
  <c r="S44" i="102" s="1"/>
  <c r="L50" i="102" s="1"/>
  <c r="M50" i="102" s="1"/>
  <c r="E28" i="103"/>
  <c r="E12" i="102"/>
  <c r="E25" i="102"/>
  <c r="E33" i="102"/>
  <c r="E46" i="102"/>
  <c r="E34" i="102"/>
  <c r="E47" i="102"/>
  <c r="E13" i="102"/>
  <c r="E21" i="102"/>
  <c r="E35" i="102"/>
  <c r="E67" i="102"/>
  <c r="E68" i="102" s="1"/>
  <c r="E20" i="102"/>
  <c r="E8" i="102"/>
  <c r="E24" i="102"/>
  <c r="E22" i="102"/>
  <c r="E44" i="102"/>
  <c r="E32" i="102"/>
  <c r="E45" i="102"/>
  <c r="E10" i="102"/>
  <c r="E23" i="102"/>
  <c r="E11" i="102"/>
  <c r="E36" i="102"/>
  <c r="E48" i="102"/>
  <c r="P9" i="102"/>
  <c r="O11" i="102"/>
  <c r="K75" i="102" s="1"/>
  <c r="M75" i="102" s="1"/>
  <c r="K80" i="102"/>
  <c r="M80" i="102" s="1"/>
  <c r="K39" i="102"/>
  <c r="E9" i="102"/>
  <c r="D78" i="102"/>
  <c r="E78" i="102" s="1"/>
  <c r="J14" i="23"/>
  <c r="J13" i="23"/>
  <c r="J12" i="23"/>
  <c r="D87" i="23" s="1"/>
  <c r="A3" i="78"/>
  <c r="A3" i="95"/>
  <c r="J6" i="23"/>
  <c r="D81" i="23" s="1"/>
  <c r="F81" i="23" s="1"/>
  <c r="A3" i="82"/>
  <c r="D88" i="23" l="1"/>
  <c r="D89" i="23"/>
  <c r="AE17" i="105"/>
  <c r="O18" i="105"/>
  <c r="M39" i="102"/>
  <c r="E32" i="78"/>
  <c r="L11" i="98"/>
  <c r="L23" i="98"/>
  <c r="M23" i="98" s="1"/>
  <c r="AE18" i="105" l="1"/>
  <c r="O19" i="105"/>
  <c r="B66" i="97"/>
  <c r="B59" i="97"/>
  <c r="D47" i="98"/>
  <c r="D46" i="98"/>
  <c r="D45" i="98"/>
  <c r="T50" i="98"/>
  <c r="U50" i="98" s="1"/>
  <c r="J50" i="98"/>
  <c r="D48" i="98"/>
  <c r="L47" i="98"/>
  <c r="K47" i="98" s="1"/>
  <c r="J47" i="98"/>
  <c r="M44" i="98"/>
  <c r="K44" i="98"/>
  <c r="R44" i="98" s="1"/>
  <c r="S44" i="98" s="1"/>
  <c r="L50" i="98" s="1"/>
  <c r="D33" i="98"/>
  <c r="J39" i="98"/>
  <c r="AE19" i="105" l="1"/>
  <c r="O20" i="105"/>
  <c r="O47" i="98"/>
  <c r="K50" i="98" s="1"/>
  <c r="M50" i="98" s="1"/>
  <c r="O21" i="105" l="1"/>
  <c r="AE20" i="105"/>
  <c r="L35" i="98"/>
  <c r="D34" i="98"/>
  <c r="D32" i="98"/>
  <c r="T15" i="98"/>
  <c r="O22" i="105" l="1"/>
  <c r="AE21" i="105"/>
  <c r="U15" i="98"/>
  <c r="AE22" i="105" l="1"/>
  <c r="O23" i="105"/>
  <c r="K76" i="23"/>
  <c r="A1" i="63"/>
  <c r="A1" i="71"/>
  <c r="A1" i="72"/>
  <c r="A1" i="84"/>
  <c r="A1" i="67"/>
  <c r="A1" i="80"/>
  <c r="A1" i="85"/>
  <c r="A1" i="96"/>
  <c r="A1" i="76"/>
  <c r="A1" i="78"/>
  <c r="A1" i="95"/>
  <c r="A1" i="82"/>
  <c r="E33" i="78"/>
  <c r="E31" i="78"/>
  <c r="K77" i="23" l="1"/>
  <c r="L77" i="23" s="1"/>
  <c r="L78" i="23" s="1"/>
  <c r="O24" i="105"/>
  <c r="AE23" i="105"/>
  <c r="E33" i="63"/>
  <c r="E32" i="63"/>
  <c r="E31" i="63"/>
  <c r="E33" i="71"/>
  <c r="E33" i="72"/>
  <c r="E33" i="84"/>
  <c r="E32" i="84"/>
  <c r="E31" i="84"/>
  <c r="E33" i="67"/>
  <c r="E32" i="67"/>
  <c r="E31" i="67"/>
  <c r="E33" i="80"/>
  <c r="E32" i="80"/>
  <c r="E31" i="80"/>
  <c r="E33" i="85"/>
  <c r="E32" i="85"/>
  <c r="E31" i="85"/>
  <c r="E33" i="96"/>
  <c r="E32" i="96"/>
  <c r="E31" i="96"/>
  <c r="E33" i="76"/>
  <c r="E32" i="76"/>
  <c r="E31" i="76"/>
  <c r="E33" i="95"/>
  <c r="E32" i="95"/>
  <c r="E31" i="95"/>
  <c r="E32" i="82"/>
  <c r="E33" i="82"/>
  <c r="E31" i="82"/>
  <c r="O25" i="105" l="1"/>
  <c r="AE24" i="105"/>
  <c r="B32" i="99"/>
  <c r="C32" i="99"/>
  <c r="C34" i="99"/>
  <c r="C36" i="99"/>
  <c r="D36" i="99" s="1"/>
  <c r="C38" i="99"/>
  <c r="D38" i="99" s="1"/>
  <c r="C39" i="99"/>
  <c r="D39" i="99" s="1"/>
  <c r="C40" i="99"/>
  <c r="D40" i="99" s="1"/>
  <c r="B42" i="99"/>
  <c r="E42" i="99" s="1"/>
  <c r="B43" i="99"/>
  <c r="E43" i="99" s="1"/>
  <c r="B44" i="99"/>
  <c r="E44" i="99" s="1"/>
  <c r="C44" i="99"/>
  <c r="D44" i="99" s="1"/>
  <c r="B45" i="99"/>
  <c r="E45" i="99" s="1"/>
  <c r="C45" i="99"/>
  <c r="D45" i="99" s="1"/>
  <c r="B46" i="99"/>
  <c r="E46" i="99" s="1"/>
  <c r="D24" i="98"/>
  <c r="D12" i="98"/>
  <c r="W19" i="23"/>
  <c r="F74" i="23"/>
  <c r="I75" i="23"/>
  <c r="D62" i="23"/>
  <c r="D64" i="23"/>
  <c r="D65" i="23"/>
  <c r="D67" i="23"/>
  <c r="D68" i="23"/>
  <c r="F68" i="23" s="1"/>
  <c r="D69" i="23"/>
  <c r="F69" i="23" s="1"/>
  <c r="D70" i="23"/>
  <c r="F70" i="23" s="1"/>
  <c r="D71" i="23"/>
  <c r="F71" i="23" s="1"/>
  <c r="D72" i="23"/>
  <c r="F72" i="23" s="1"/>
  <c r="D73" i="23"/>
  <c r="F73" i="23" s="1"/>
  <c r="D61" i="23"/>
  <c r="D61" i="97"/>
  <c r="D60" i="97"/>
  <c r="D63" i="97"/>
  <c r="D62" i="97"/>
  <c r="J15" i="98"/>
  <c r="T39" i="98"/>
  <c r="D36" i="98"/>
  <c r="M35" i="98"/>
  <c r="O35" i="98" s="1"/>
  <c r="J35" i="98"/>
  <c r="D35" i="98"/>
  <c r="M32" i="98"/>
  <c r="K32" i="98"/>
  <c r="T27" i="98"/>
  <c r="U27" i="98" s="1"/>
  <c r="J27" i="98"/>
  <c r="D25" i="98"/>
  <c r="J23" i="98"/>
  <c r="D23" i="98"/>
  <c r="D22" i="98"/>
  <c r="D21" i="98"/>
  <c r="M20" i="98"/>
  <c r="K20" i="98"/>
  <c r="D20" i="98"/>
  <c r="D13" i="98"/>
  <c r="M11" i="98"/>
  <c r="O11" i="98" s="1"/>
  <c r="J11" i="98"/>
  <c r="D11" i="98"/>
  <c r="D10" i="98"/>
  <c r="D9" i="98"/>
  <c r="M8" i="98"/>
  <c r="K8" i="98"/>
  <c r="D8" i="98"/>
  <c r="E7" i="98"/>
  <c r="AE25" i="105" l="1"/>
  <c r="O26" i="105"/>
  <c r="F64" i="23"/>
  <c r="F67" i="23"/>
  <c r="I95" i="23"/>
  <c r="F61" i="23"/>
  <c r="F65" i="23"/>
  <c r="F62" i="23"/>
  <c r="E37" i="98"/>
  <c r="D34" i="99"/>
  <c r="D32" i="99" s="1"/>
  <c r="C47" i="99"/>
  <c r="R32" i="98"/>
  <c r="S32" i="98" s="1"/>
  <c r="L39" i="98" s="1"/>
  <c r="E44" i="98"/>
  <c r="E45" i="98"/>
  <c r="E48" i="98"/>
  <c r="E46" i="98"/>
  <c r="E47" i="98"/>
  <c r="E12" i="98"/>
  <c r="D64" i="97"/>
  <c r="E24" i="98"/>
  <c r="R8" i="98"/>
  <c r="S8" i="98" s="1"/>
  <c r="E36" i="98"/>
  <c r="R20" i="98"/>
  <c r="S20" i="98" s="1"/>
  <c r="E34" i="98"/>
  <c r="E22" i="98"/>
  <c r="E23" i="98"/>
  <c r="E32" i="98"/>
  <c r="E8" i="98"/>
  <c r="E10" i="98"/>
  <c r="E13" i="98"/>
  <c r="E35" i="98"/>
  <c r="E25" i="98"/>
  <c r="E21" i="98"/>
  <c r="E11" i="98"/>
  <c r="E19" i="98"/>
  <c r="E31" i="98" s="1"/>
  <c r="E43" i="98" s="1"/>
  <c r="P9" i="98"/>
  <c r="K39" i="98"/>
  <c r="E33" i="98"/>
  <c r="E20" i="98"/>
  <c r="E9" i="98"/>
  <c r="AE26" i="105" l="1"/>
  <c r="O27" i="105"/>
  <c r="I97" i="23"/>
  <c r="I98" i="23" s="1"/>
  <c r="H97" i="23"/>
  <c r="H98" i="23" s="1"/>
  <c r="M39" i="98"/>
  <c r="B103" i="97"/>
  <c r="B109" i="97" s="1"/>
  <c r="B110" i="97" s="1"/>
  <c r="AE27" i="105" l="1"/>
  <c r="O28" i="105"/>
  <c r="B20" i="97"/>
  <c r="O29" i="105" l="1"/>
  <c r="AE28" i="105"/>
  <c r="B112" i="97"/>
  <c r="B17" i="97" s="1"/>
  <c r="U57" i="23"/>
  <c r="U56" i="23"/>
  <c r="U55" i="23"/>
  <c r="U54" i="23"/>
  <c r="U53" i="23"/>
  <c r="U52" i="23"/>
  <c r="U51" i="23"/>
  <c r="U50" i="23"/>
  <c r="U49" i="23"/>
  <c r="U48" i="23"/>
  <c r="U47" i="23"/>
  <c r="U46" i="23"/>
  <c r="U45" i="23"/>
  <c r="U44" i="23"/>
  <c r="U43" i="23"/>
  <c r="U42" i="23"/>
  <c r="U41" i="23"/>
  <c r="U40" i="23"/>
  <c r="U38" i="23"/>
  <c r="U37" i="23"/>
  <c r="U35" i="23"/>
  <c r="U34" i="23"/>
  <c r="F8" i="85"/>
  <c r="F8" i="76"/>
  <c r="R35" i="23"/>
  <c r="R37" i="23"/>
  <c r="R38" i="23"/>
  <c r="R40" i="23"/>
  <c r="R41" i="23"/>
  <c r="R42" i="23"/>
  <c r="R43" i="23"/>
  <c r="R44" i="23"/>
  <c r="R45" i="23"/>
  <c r="R46" i="23"/>
  <c r="R47" i="23"/>
  <c r="R48" i="23"/>
  <c r="R49" i="23"/>
  <c r="R50" i="23"/>
  <c r="R51" i="23"/>
  <c r="R52" i="23"/>
  <c r="R53" i="23"/>
  <c r="R54" i="23"/>
  <c r="R55" i="23"/>
  <c r="R56" i="23"/>
  <c r="R57" i="23"/>
  <c r="R34" i="23"/>
  <c r="V33" i="23"/>
  <c r="V39" i="23" l="1"/>
  <c r="V36" i="23"/>
  <c r="AE29" i="105"/>
  <c r="O30" i="105"/>
  <c r="V34" i="23"/>
  <c r="F75" i="23"/>
  <c r="B16" i="97"/>
  <c r="W15" i="98" s="1"/>
  <c r="C6" i="99" s="1"/>
  <c r="C12" i="99" s="1"/>
  <c r="W50" i="102"/>
  <c r="C24" i="99" s="1"/>
  <c r="W15" i="102"/>
  <c r="C20" i="99" s="1"/>
  <c r="C26" i="99" s="1"/>
  <c r="W39" i="102"/>
  <c r="C21" i="99" s="1"/>
  <c r="C27" i="99" s="1"/>
  <c r="W27" i="102"/>
  <c r="C23" i="99" s="1"/>
  <c r="V49" i="23"/>
  <c r="V41" i="23"/>
  <c r="V56" i="23"/>
  <c r="V48" i="23"/>
  <c r="V40" i="23"/>
  <c r="V38" i="23"/>
  <c r="V51" i="23"/>
  <c r="V50" i="23"/>
  <c r="V47" i="23"/>
  <c r="V54" i="23"/>
  <c r="V46" i="23"/>
  <c r="V37" i="23"/>
  <c r="V43" i="23"/>
  <c r="V55" i="23"/>
  <c r="V53" i="23"/>
  <c r="V45" i="23"/>
  <c r="V35" i="23"/>
  <c r="V42" i="23"/>
  <c r="V52" i="23"/>
  <c r="V44" i="23"/>
  <c r="F8" i="78"/>
  <c r="F8" i="96"/>
  <c r="W18" i="23"/>
  <c r="W17" i="23"/>
  <c r="F8" i="84"/>
  <c r="F7" i="84"/>
  <c r="W16" i="23"/>
  <c r="C13" i="84" s="1"/>
  <c r="F8" i="67"/>
  <c r="F7" i="67"/>
  <c r="W15" i="23"/>
  <c r="C13" i="67" s="1"/>
  <c r="F8" i="80"/>
  <c r="F7" i="80"/>
  <c r="W14" i="23"/>
  <c r="C13" i="80" s="1"/>
  <c r="F19" i="23"/>
  <c r="F18" i="23"/>
  <c r="F17" i="23"/>
  <c r="F16" i="23"/>
  <c r="F9" i="84" s="1"/>
  <c r="F15" i="23"/>
  <c r="F9" i="67" s="1"/>
  <c r="F14" i="23"/>
  <c r="F9" i="80" s="1"/>
  <c r="F13" i="23"/>
  <c r="F9" i="85" s="1"/>
  <c r="F12" i="23"/>
  <c r="F9" i="96" s="1"/>
  <c r="F10" i="23"/>
  <c r="F9" i="76" s="1"/>
  <c r="F9" i="23"/>
  <c r="F7" i="23"/>
  <c r="F6" i="23"/>
  <c r="F8" i="95"/>
  <c r="F7" i="85"/>
  <c r="W13" i="23"/>
  <c r="C13" i="85" s="1"/>
  <c r="W12" i="23"/>
  <c r="C13" i="96" s="1"/>
  <c r="F7" i="76"/>
  <c r="W10" i="23"/>
  <c r="C13" i="76" s="1"/>
  <c r="W9" i="23"/>
  <c r="AE29" i="23"/>
  <c r="AE28" i="23"/>
  <c r="AE27" i="23"/>
  <c r="AE26" i="23"/>
  <c r="AE25" i="23"/>
  <c r="AE24" i="23"/>
  <c r="AE23" i="23"/>
  <c r="AE22" i="23"/>
  <c r="AE21" i="23"/>
  <c r="AE20" i="23"/>
  <c r="AE19" i="23"/>
  <c r="AE16" i="23"/>
  <c r="E27" i="84" s="1"/>
  <c r="AE15" i="23"/>
  <c r="E27" i="67" s="1"/>
  <c r="AE14" i="23"/>
  <c r="E27" i="80" s="1"/>
  <c r="AE13" i="23"/>
  <c r="E27" i="85" s="1"/>
  <c r="AE12" i="23"/>
  <c r="E27" i="96" s="1"/>
  <c r="AE10" i="23"/>
  <c r="E27" i="76" s="1"/>
  <c r="AE9" i="23"/>
  <c r="AE7" i="23"/>
  <c r="AE6" i="23"/>
  <c r="F7" i="78"/>
  <c r="F7" i="95"/>
  <c r="AJ29" i="23"/>
  <c r="AJ28" i="23"/>
  <c r="AJ27" i="23"/>
  <c r="AJ26" i="23"/>
  <c r="AJ25" i="23"/>
  <c r="AJ24" i="23"/>
  <c r="AJ23" i="23"/>
  <c r="AJ22" i="23"/>
  <c r="AJ21" i="23"/>
  <c r="AJ20" i="23"/>
  <c r="AJ19" i="23"/>
  <c r="AJ16" i="23"/>
  <c r="C33" i="84" s="1"/>
  <c r="AJ15" i="23"/>
  <c r="C33" i="67" s="1"/>
  <c r="AJ14" i="23"/>
  <c r="C33" i="80" s="1"/>
  <c r="AJ13" i="23"/>
  <c r="C33" i="85" s="1"/>
  <c r="AJ12" i="23"/>
  <c r="C33" i="96" s="1"/>
  <c r="AJ10" i="23"/>
  <c r="C33" i="76" s="1"/>
  <c r="AJ9" i="23"/>
  <c r="AJ7" i="23"/>
  <c r="AJ6" i="23"/>
  <c r="AI29" i="23"/>
  <c r="AI28" i="23"/>
  <c r="AI27" i="23"/>
  <c r="AI26" i="23"/>
  <c r="AI25" i="23"/>
  <c r="AI24" i="23"/>
  <c r="AI23" i="23"/>
  <c r="AI22" i="23"/>
  <c r="AI21" i="23"/>
  <c r="AI20" i="23"/>
  <c r="AI19" i="23"/>
  <c r="AI16" i="23"/>
  <c r="C32" i="84" s="1"/>
  <c r="AI15" i="23"/>
  <c r="C32" i="67" s="1"/>
  <c r="AI14" i="23"/>
  <c r="C32" i="80" s="1"/>
  <c r="AI13" i="23"/>
  <c r="C32" i="85" s="1"/>
  <c r="AI12" i="23"/>
  <c r="C32" i="96" s="1"/>
  <c r="AI10" i="23"/>
  <c r="C32" i="76" s="1"/>
  <c r="AI9" i="23"/>
  <c r="AI7" i="23"/>
  <c r="AI6" i="23"/>
  <c r="AH29" i="23"/>
  <c r="AH28" i="23"/>
  <c r="AH27" i="23"/>
  <c r="AH26" i="23"/>
  <c r="AH25" i="23"/>
  <c r="AH24" i="23"/>
  <c r="AH23" i="23"/>
  <c r="AH22" i="23"/>
  <c r="AH21" i="23"/>
  <c r="AH20" i="23"/>
  <c r="AH19" i="23"/>
  <c r="AH16" i="23"/>
  <c r="C31" i="84" s="1"/>
  <c r="AH15" i="23"/>
  <c r="C31" i="67" s="1"/>
  <c r="AH14" i="23"/>
  <c r="C31" i="80" s="1"/>
  <c r="AH13" i="23"/>
  <c r="C31" i="85" s="1"/>
  <c r="AH12" i="23"/>
  <c r="C31" i="96" s="1"/>
  <c r="AH10" i="23"/>
  <c r="C31" i="76" s="1"/>
  <c r="AH9" i="23"/>
  <c r="AH7" i="23"/>
  <c r="AH6" i="23"/>
  <c r="W7" i="23"/>
  <c r="W6" i="23"/>
  <c r="C13" i="103" s="1"/>
  <c r="X19" i="23"/>
  <c r="X18" i="23"/>
  <c r="X17" i="23"/>
  <c r="X16" i="23"/>
  <c r="C14" i="84" s="1"/>
  <c r="X15" i="23"/>
  <c r="C14" i="67" s="1"/>
  <c r="X14" i="23"/>
  <c r="C14" i="80" s="1"/>
  <c r="X13" i="23"/>
  <c r="C14" i="85" s="1"/>
  <c r="X12" i="23"/>
  <c r="C14" i="96" s="1"/>
  <c r="X10" i="23"/>
  <c r="C14" i="76" s="1"/>
  <c r="X9" i="23"/>
  <c r="X7" i="23"/>
  <c r="X6" i="23"/>
  <c r="C14" i="103" s="1"/>
  <c r="V19" i="23"/>
  <c r="V18" i="23"/>
  <c r="V17" i="23"/>
  <c r="V16" i="23"/>
  <c r="C12" i="84" s="1"/>
  <c r="V15" i="23"/>
  <c r="C12" i="67" s="1"/>
  <c r="V14" i="23"/>
  <c r="C12" i="80" s="1"/>
  <c r="V13" i="23"/>
  <c r="C12" i="85" s="1"/>
  <c r="V12" i="23"/>
  <c r="C12" i="96" s="1"/>
  <c r="V10" i="23"/>
  <c r="C12" i="76" s="1"/>
  <c r="V9" i="23"/>
  <c r="V7" i="23"/>
  <c r="V6" i="23"/>
  <c r="C12" i="103" s="1"/>
  <c r="U19" i="23"/>
  <c r="U18" i="23"/>
  <c r="U17" i="23"/>
  <c r="U16" i="23"/>
  <c r="C11" i="84" s="1"/>
  <c r="U15" i="23"/>
  <c r="C11" i="67" s="1"/>
  <c r="U14" i="23"/>
  <c r="C11" i="80" s="1"/>
  <c r="U13" i="23"/>
  <c r="C11" i="85" s="1"/>
  <c r="U12" i="23"/>
  <c r="C11" i="96" s="1"/>
  <c r="U10" i="23"/>
  <c r="C11" i="76" s="1"/>
  <c r="U9" i="23"/>
  <c r="U7" i="23"/>
  <c r="U6" i="23"/>
  <c r="C11" i="103" s="1"/>
  <c r="C28" i="103" s="1"/>
  <c r="T19" i="23"/>
  <c r="T18" i="23"/>
  <c r="T17" i="23"/>
  <c r="T16" i="23"/>
  <c r="C10" i="84" s="1"/>
  <c r="T15" i="23"/>
  <c r="C10" i="67" s="1"/>
  <c r="T14" i="23"/>
  <c r="C10" i="80" s="1"/>
  <c r="T13" i="23"/>
  <c r="C10" i="85" s="1"/>
  <c r="T12" i="23"/>
  <c r="C10" i="96" s="1"/>
  <c r="T10" i="23"/>
  <c r="C10" i="76" s="1"/>
  <c r="T9" i="23"/>
  <c r="T7" i="23"/>
  <c r="T6" i="23"/>
  <c r="S19" i="23"/>
  <c r="S18" i="23"/>
  <c r="S17" i="23"/>
  <c r="S16" i="23"/>
  <c r="C9" i="84" s="1"/>
  <c r="S15" i="23"/>
  <c r="C9" i="67" s="1"/>
  <c r="S14" i="23"/>
  <c r="C9" i="80" s="1"/>
  <c r="S13" i="23"/>
  <c r="C9" i="85" s="1"/>
  <c r="S12" i="23"/>
  <c r="C9" i="96" s="1"/>
  <c r="S10" i="23"/>
  <c r="C9" i="76" s="1"/>
  <c r="S9" i="23"/>
  <c r="S7" i="23"/>
  <c r="S6" i="23"/>
  <c r="C9" i="103" s="1"/>
  <c r="C30" i="103" s="1"/>
  <c r="R19" i="23"/>
  <c r="R18" i="23"/>
  <c r="R17" i="23"/>
  <c r="R16" i="23"/>
  <c r="C8" i="84" s="1"/>
  <c r="R15" i="23"/>
  <c r="C8" i="67" s="1"/>
  <c r="R14" i="23"/>
  <c r="C8" i="80" s="1"/>
  <c r="R13" i="23"/>
  <c r="C8" i="85" s="1"/>
  <c r="R12" i="23"/>
  <c r="C8" i="96" s="1"/>
  <c r="R10" i="23"/>
  <c r="C8" i="76" s="1"/>
  <c r="R9" i="23"/>
  <c r="R7" i="23"/>
  <c r="R6" i="23"/>
  <c r="C8" i="103" s="1"/>
  <c r="C29" i="103" s="1"/>
  <c r="O19" i="23"/>
  <c r="O18" i="23"/>
  <c r="O17" i="23"/>
  <c r="O16" i="23"/>
  <c r="O15" i="23"/>
  <c r="O14" i="23"/>
  <c r="O13" i="23"/>
  <c r="O12" i="23"/>
  <c r="O10" i="23"/>
  <c r="O9" i="23"/>
  <c r="O7" i="23"/>
  <c r="O6" i="23"/>
  <c r="H19" i="23"/>
  <c r="H18" i="23"/>
  <c r="H17" i="23"/>
  <c r="H16" i="23"/>
  <c r="G10" i="84" s="1"/>
  <c r="H15" i="23"/>
  <c r="G10" i="67" s="1"/>
  <c r="H14" i="23"/>
  <c r="G10" i="80" s="1"/>
  <c r="H13" i="23"/>
  <c r="G10" i="85" s="1"/>
  <c r="H12" i="23"/>
  <c r="G10" i="96" s="1"/>
  <c r="H10" i="23"/>
  <c r="G10" i="76" s="1"/>
  <c r="H9" i="23"/>
  <c r="H7" i="23"/>
  <c r="H6" i="23"/>
  <c r="G10" i="103" s="1"/>
  <c r="AB6" i="23"/>
  <c r="J30" i="23" l="1"/>
  <c r="F97" i="23" s="1"/>
  <c r="F98" i="23" s="1"/>
  <c r="F77" i="23"/>
  <c r="C10" i="95"/>
  <c r="C10" i="105"/>
  <c r="C35" i="105" s="1"/>
  <c r="E27" i="95"/>
  <c r="E27" i="105"/>
  <c r="C12" i="95"/>
  <c r="C12" i="105"/>
  <c r="C33" i="95"/>
  <c r="C33" i="105"/>
  <c r="D33" i="105" s="1"/>
  <c r="F9" i="95"/>
  <c r="C9" i="95"/>
  <c r="C9" i="105"/>
  <c r="C30" i="105" s="1"/>
  <c r="C11" i="95"/>
  <c r="C11" i="105"/>
  <c r="C28" i="105" s="1"/>
  <c r="D28" i="105" s="1"/>
  <c r="Z30" i="105" s="1"/>
  <c r="C14" i="95"/>
  <c r="C14" i="105"/>
  <c r="C8" i="95"/>
  <c r="C8" i="105"/>
  <c r="G10" i="95"/>
  <c r="G10" i="105"/>
  <c r="F10" i="105" s="1"/>
  <c r="C13" i="95"/>
  <c r="C13" i="105"/>
  <c r="C31" i="95"/>
  <c r="C31" i="105"/>
  <c r="D31" i="105" s="1"/>
  <c r="C32" i="95"/>
  <c r="C32" i="105"/>
  <c r="D32" i="105" s="1"/>
  <c r="AE30" i="105"/>
  <c r="O31" i="105"/>
  <c r="F9" i="78"/>
  <c r="F81" i="104"/>
  <c r="C9" i="78"/>
  <c r="C9" i="104"/>
  <c r="C11" i="78"/>
  <c r="C11" i="104"/>
  <c r="C14" i="78"/>
  <c r="C14" i="104"/>
  <c r="C86" i="104" s="1"/>
  <c r="C31" i="78"/>
  <c r="C31" i="104"/>
  <c r="C13" i="78"/>
  <c r="G10" i="78"/>
  <c r="G10" i="104"/>
  <c r="C8" i="78"/>
  <c r="C8" i="104"/>
  <c r="C10" i="78"/>
  <c r="C10" i="104"/>
  <c r="C12" i="78"/>
  <c r="C12" i="104"/>
  <c r="C84" i="104" s="1"/>
  <c r="S79" i="104" s="1"/>
  <c r="E27" i="78"/>
  <c r="E27" i="104"/>
  <c r="C33" i="78"/>
  <c r="C33" i="104"/>
  <c r="D13" i="103"/>
  <c r="D14" i="103" s="1"/>
  <c r="F78" i="23"/>
  <c r="F7" i="103"/>
  <c r="W50" i="98"/>
  <c r="C10" i="99" s="1"/>
  <c r="W39" i="98"/>
  <c r="C7" i="99" s="1"/>
  <c r="C13" i="99" s="1"/>
  <c r="W27" i="98"/>
  <c r="C9" i="99" s="1"/>
  <c r="AJ5" i="95"/>
  <c r="AH5" i="95"/>
  <c r="P30" i="23" l="1"/>
  <c r="Q30" i="23" s="1"/>
  <c r="F30" i="23"/>
  <c r="I30" i="23" s="1"/>
  <c r="M30" i="23" s="1"/>
  <c r="N30" i="23" s="1"/>
  <c r="AJ4" i="105"/>
  <c r="G33" i="105"/>
  <c r="F33" i="105"/>
  <c r="D13" i="105"/>
  <c r="D14" i="105" s="1"/>
  <c r="N36" i="23" s="1"/>
  <c r="C22" i="105"/>
  <c r="E22" i="105" s="1"/>
  <c r="C20" i="105"/>
  <c r="E20" i="105" s="1"/>
  <c r="C21" i="105"/>
  <c r="E21" i="105" s="1"/>
  <c r="Z9" i="105"/>
  <c r="AA9" i="105" s="1"/>
  <c r="AB9" i="105" s="1"/>
  <c r="V9" i="105" s="1"/>
  <c r="C19" i="105"/>
  <c r="E19" i="105" s="1"/>
  <c r="Z7" i="105"/>
  <c r="AA7" i="105" s="1"/>
  <c r="AB7" i="105" s="1"/>
  <c r="V7" i="105" s="1"/>
  <c r="C18" i="105"/>
  <c r="E18" i="105" s="1"/>
  <c r="Z8" i="105"/>
  <c r="AA8" i="105" s="1"/>
  <c r="AB8" i="105" s="1"/>
  <c r="V8" i="105" s="1"/>
  <c r="Z10" i="105"/>
  <c r="AA10" i="105" s="1"/>
  <c r="AB10" i="105" s="1"/>
  <c r="V10" i="105" s="1"/>
  <c r="Z11" i="105"/>
  <c r="AA11" i="105" s="1"/>
  <c r="AB11" i="105" s="1"/>
  <c r="V11" i="105" s="1"/>
  <c r="Z12" i="105"/>
  <c r="AA12" i="105" s="1"/>
  <c r="AB12" i="105" s="1"/>
  <c r="V12" i="105" s="1"/>
  <c r="Z13" i="105"/>
  <c r="AA13" i="105" s="1"/>
  <c r="AB13" i="105" s="1"/>
  <c r="V13" i="105" s="1"/>
  <c r="Z14" i="105"/>
  <c r="AA14" i="105" s="1"/>
  <c r="AB14" i="105" s="1"/>
  <c r="V14" i="105" s="1"/>
  <c r="Z15" i="105"/>
  <c r="Z16" i="105"/>
  <c r="Z17" i="105"/>
  <c r="AA17" i="105" s="1"/>
  <c r="AB17" i="105" s="1"/>
  <c r="V17" i="105" s="1"/>
  <c r="Z18" i="105"/>
  <c r="AA18" i="105" s="1"/>
  <c r="AB18" i="105" s="1"/>
  <c r="V18" i="105" s="1"/>
  <c r="Z19" i="105"/>
  <c r="AA19" i="105" s="1"/>
  <c r="AB19" i="105" s="1"/>
  <c r="V19" i="105" s="1"/>
  <c r="Z20" i="105"/>
  <c r="AA20" i="105" s="1"/>
  <c r="AB20" i="105" s="1"/>
  <c r="V20" i="105" s="1"/>
  <c r="Z21" i="105"/>
  <c r="AA21" i="105" s="1"/>
  <c r="AB21" i="105" s="1"/>
  <c r="V21" i="105" s="1"/>
  <c r="Z22" i="105"/>
  <c r="AA22" i="105" s="1"/>
  <c r="AB22" i="105" s="1"/>
  <c r="V22" i="105" s="1"/>
  <c r="Z23" i="105"/>
  <c r="AA23" i="105" s="1"/>
  <c r="AB23" i="105" s="1"/>
  <c r="V23" i="105" s="1"/>
  <c r="Z24" i="105"/>
  <c r="AA24" i="105" s="1"/>
  <c r="AB24" i="105" s="1"/>
  <c r="V24" i="105" s="1"/>
  <c r="Z25" i="105"/>
  <c r="Z26" i="105"/>
  <c r="AA26" i="105" s="1"/>
  <c r="AB26" i="105" s="1"/>
  <c r="V26" i="105" s="1"/>
  <c r="Z27" i="105"/>
  <c r="AA27" i="105" s="1"/>
  <c r="AB27" i="105" s="1"/>
  <c r="V27" i="105" s="1"/>
  <c r="Z28" i="105"/>
  <c r="AA28" i="105" s="1"/>
  <c r="AB28" i="105" s="1"/>
  <c r="V28" i="105" s="1"/>
  <c r="Z29" i="105"/>
  <c r="AA29" i="105" s="1"/>
  <c r="AB29" i="105" s="1"/>
  <c r="V29" i="105" s="1"/>
  <c r="E28" i="105"/>
  <c r="F28" i="105" s="1"/>
  <c r="G28" i="105" s="1"/>
  <c r="F27" i="105"/>
  <c r="G27" i="105" s="1"/>
  <c r="T72" i="105"/>
  <c r="G32" i="105"/>
  <c r="AH4" i="105"/>
  <c r="F32" i="105"/>
  <c r="T68" i="105"/>
  <c r="C29" i="105"/>
  <c r="G31" i="105"/>
  <c r="AG4" i="105"/>
  <c r="AI4" i="105"/>
  <c r="F31" i="105"/>
  <c r="S68" i="105"/>
  <c r="S72" i="105"/>
  <c r="AA30" i="105"/>
  <c r="AB30" i="105" s="1"/>
  <c r="V30" i="105" s="1"/>
  <c r="AE31" i="105"/>
  <c r="O32" i="105"/>
  <c r="Z31" i="105"/>
  <c r="C105" i="104"/>
  <c r="D33" i="104"/>
  <c r="E28" i="104"/>
  <c r="F27" i="104"/>
  <c r="G27" i="104" s="1"/>
  <c r="G82" i="104"/>
  <c r="F82" i="104" s="1"/>
  <c r="F10" i="104"/>
  <c r="C83" i="104"/>
  <c r="C28" i="104"/>
  <c r="D28" i="104" s="1"/>
  <c r="C29" i="104"/>
  <c r="C80" i="104"/>
  <c r="K79" i="104"/>
  <c r="S80" i="104"/>
  <c r="S81" i="104" s="1"/>
  <c r="S82" i="104" s="1"/>
  <c r="S83" i="104" s="1"/>
  <c r="S84" i="104" s="1"/>
  <c r="S85" i="104" s="1"/>
  <c r="S86" i="104" s="1"/>
  <c r="S87" i="104" s="1"/>
  <c r="S88" i="104" s="1"/>
  <c r="S89" i="104" s="1"/>
  <c r="S90" i="104" s="1"/>
  <c r="S91" i="104" s="1"/>
  <c r="S92" i="104" s="1"/>
  <c r="S93" i="104" s="1"/>
  <c r="S94" i="104" s="1"/>
  <c r="S95" i="104" s="1"/>
  <c r="S96" i="104" s="1"/>
  <c r="S97" i="104" s="1"/>
  <c r="S98" i="104" s="1"/>
  <c r="S99" i="104" s="1"/>
  <c r="S100" i="104" s="1"/>
  <c r="S101" i="104" s="1"/>
  <c r="S102" i="104" s="1"/>
  <c r="S103" i="104" s="1"/>
  <c r="S104" i="104" s="1"/>
  <c r="S105" i="104" s="1"/>
  <c r="S106" i="104" s="1"/>
  <c r="S107" i="104" s="1"/>
  <c r="S108" i="104" s="1"/>
  <c r="S109" i="104" s="1"/>
  <c r="S110" i="104" s="1"/>
  <c r="S111" i="104" s="1"/>
  <c r="S112" i="104" s="1"/>
  <c r="S113" i="104" s="1"/>
  <c r="S114" i="104" s="1"/>
  <c r="S115" i="104" s="1"/>
  <c r="S116" i="104" s="1"/>
  <c r="S117" i="104" s="1"/>
  <c r="S118" i="104" s="1"/>
  <c r="S119" i="104" s="1"/>
  <c r="S120" i="104" s="1"/>
  <c r="S121" i="104" s="1"/>
  <c r="S122" i="104" s="1"/>
  <c r="S123" i="104" s="1"/>
  <c r="S124" i="104" s="1"/>
  <c r="S125" i="104" s="1"/>
  <c r="S126" i="104" s="1"/>
  <c r="S127" i="104"/>
  <c r="S129" i="104" s="1"/>
  <c r="C103" i="104"/>
  <c r="D31" i="104"/>
  <c r="C85" i="104"/>
  <c r="D13" i="104"/>
  <c r="D14" i="104" s="1"/>
  <c r="N39" i="23" s="1"/>
  <c r="C81" i="104"/>
  <c r="C102" i="104" s="1"/>
  <c r="C30" i="104"/>
  <c r="C35" i="104"/>
  <c r="C107" i="104" s="1"/>
  <c r="C82" i="104"/>
  <c r="F10" i="103"/>
  <c r="D27" i="103"/>
  <c r="AI3" i="95"/>
  <c r="AE7" i="95"/>
  <c r="AF6" i="95"/>
  <c r="AE6" i="95"/>
  <c r="AI46" i="105" l="1"/>
  <c r="AI50" i="105"/>
  <c r="AI37" i="105"/>
  <c r="AI31" i="105"/>
  <c r="AI28" i="105"/>
  <c r="AI19" i="105"/>
  <c r="AI9" i="105"/>
  <c r="AI49" i="105"/>
  <c r="AI53" i="105"/>
  <c r="AI59" i="105"/>
  <c r="AI13" i="105"/>
  <c r="AI54" i="105"/>
  <c r="AI45" i="105"/>
  <c r="AI35" i="105"/>
  <c r="AI12" i="105"/>
  <c r="AI22" i="105"/>
  <c r="AI51" i="105"/>
  <c r="AI43" i="105"/>
  <c r="AI15" i="105"/>
  <c r="AI57" i="105"/>
  <c r="AI65" i="105"/>
  <c r="AI63" i="105"/>
  <c r="AI7" i="105"/>
  <c r="AI27" i="105"/>
  <c r="AI61" i="105"/>
  <c r="AI42" i="105"/>
  <c r="AI64" i="105"/>
  <c r="AI23" i="105"/>
  <c r="AI40" i="105"/>
  <c r="AI60" i="105"/>
  <c r="AI16" i="105"/>
  <c r="AI55" i="105"/>
  <c r="AI30" i="105"/>
  <c r="AI36" i="105"/>
  <c r="AI25" i="105"/>
  <c r="AI24" i="105"/>
  <c r="AI14" i="105"/>
  <c r="AI11" i="105"/>
  <c r="AI32" i="105"/>
  <c r="AI21" i="105"/>
  <c r="AI10" i="105"/>
  <c r="AI66" i="105"/>
  <c r="AI29" i="105"/>
  <c r="AI56" i="105"/>
  <c r="AI62" i="105"/>
  <c r="AI47" i="105"/>
  <c r="AI33" i="105"/>
  <c r="AI34" i="105"/>
  <c r="AI52" i="105"/>
  <c r="AI41" i="105"/>
  <c r="AI26" i="105"/>
  <c r="AI8" i="105"/>
  <c r="AI44" i="105"/>
  <c r="AI39" i="105"/>
  <c r="AI20" i="105"/>
  <c r="AI18" i="105"/>
  <c r="AI58" i="105"/>
  <c r="AI38" i="105"/>
  <c r="AI48" i="105"/>
  <c r="AI17" i="105"/>
  <c r="AA16" i="105"/>
  <c r="AB16" i="105" s="1"/>
  <c r="V16" i="105" s="1"/>
  <c r="AA15" i="105"/>
  <c r="AB15" i="105" s="1"/>
  <c r="V15" i="105" s="1"/>
  <c r="T54" i="105"/>
  <c r="T36" i="105"/>
  <c r="AG60" i="105"/>
  <c r="AG58" i="105"/>
  <c r="AG50" i="105"/>
  <c r="AG52" i="105"/>
  <c r="AG28" i="105"/>
  <c r="AG15" i="105"/>
  <c r="AG19" i="105"/>
  <c r="AG23" i="105"/>
  <c r="AG13" i="105"/>
  <c r="AG51" i="105"/>
  <c r="AG38" i="105"/>
  <c r="AG24" i="105"/>
  <c r="AG66" i="105"/>
  <c r="AG36" i="105"/>
  <c r="AG21" i="105"/>
  <c r="AG39" i="105"/>
  <c r="AG32" i="105"/>
  <c r="AG41" i="105"/>
  <c r="AG65" i="105"/>
  <c r="AG45" i="105"/>
  <c r="AG29" i="105"/>
  <c r="AG11" i="105"/>
  <c r="AG61" i="105"/>
  <c r="AG63" i="105"/>
  <c r="AG59" i="105"/>
  <c r="AG17" i="105"/>
  <c r="AG48" i="105"/>
  <c r="AG55" i="105"/>
  <c r="AG44" i="105"/>
  <c r="AG42" i="105"/>
  <c r="AG62" i="105"/>
  <c r="AG7" i="105"/>
  <c r="AG14" i="105"/>
  <c r="AG9" i="105"/>
  <c r="AG20" i="105"/>
  <c r="AG37" i="105"/>
  <c r="AG26" i="105"/>
  <c r="AG25" i="105"/>
  <c r="AG12" i="105"/>
  <c r="AG43" i="105"/>
  <c r="AG53" i="105"/>
  <c r="AG22" i="105"/>
  <c r="AG16" i="105"/>
  <c r="AG56" i="105"/>
  <c r="AG46" i="105"/>
  <c r="AG18" i="105"/>
  <c r="AG10" i="105"/>
  <c r="AG34" i="105"/>
  <c r="AG8" i="105"/>
  <c r="AG27" i="105"/>
  <c r="AG64" i="105"/>
  <c r="AG33" i="105"/>
  <c r="AG57" i="105"/>
  <c r="AG35" i="105"/>
  <c r="AG54" i="105"/>
  <c r="AG49" i="105"/>
  <c r="AG30" i="105"/>
  <c r="AG40" i="105"/>
  <c r="AG31" i="105"/>
  <c r="AG47" i="105"/>
  <c r="AA25" i="105"/>
  <c r="AB25" i="105" s="1"/>
  <c r="V25" i="105" s="1"/>
  <c r="AE32" i="105"/>
  <c r="O33" i="105"/>
  <c r="Z32" i="105"/>
  <c r="AA31" i="105"/>
  <c r="AB31" i="105" s="1"/>
  <c r="V31" i="105" s="1"/>
  <c r="F31" i="104"/>
  <c r="S72" i="104"/>
  <c r="G31" i="104"/>
  <c r="S68" i="104"/>
  <c r="Z9" i="104"/>
  <c r="Z44" i="104"/>
  <c r="AA44" i="104" s="1"/>
  <c r="AB44" i="104" s="1"/>
  <c r="V44" i="104" s="1"/>
  <c r="Z116" i="104"/>
  <c r="Z120" i="104"/>
  <c r="Z106" i="104"/>
  <c r="Z99" i="104"/>
  <c r="Z96" i="104"/>
  <c r="AA96" i="104" s="1"/>
  <c r="AB96" i="104" s="1"/>
  <c r="V96" i="104" s="1"/>
  <c r="C90" i="104"/>
  <c r="E90" i="104" s="1"/>
  <c r="Z60" i="104"/>
  <c r="AA60" i="104" s="1"/>
  <c r="AB60" i="104" s="1"/>
  <c r="V60" i="104" s="1"/>
  <c r="Z41" i="104"/>
  <c r="Z33" i="104"/>
  <c r="AA33" i="104" s="1"/>
  <c r="AB33" i="104" s="1"/>
  <c r="V33" i="104" s="1"/>
  <c r="Z56" i="104"/>
  <c r="AA56" i="104" s="1"/>
  <c r="AB56" i="104" s="1"/>
  <c r="V56" i="104" s="1"/>
  <c r="Z27" i="104"/>
  <c r="Z16" i="104"/>
  <c r="AA16" i="104" s="1"/>
  <c r="AB16" i="104" s="1"/>
  <c r="V16" i="104" s="1"/>
  <c r="Z125" i="104"/>
  <c r="AA125" i="104" s="1"/>
  <c r="AB125" i="104" s="1"/>
  <c r="V125" i="104" s="1"/>
  <c r="Z103" i="104"/>
  <c r="Z66" i="104"/>
  <c r="AA66" i="104" s="1"/>
  <c r="AB66" i="104" s="1"/>
  <c r="V66" i="104" s="1"/>
  <c r="Z95" i="104"/>
  <c r="AA95" i="104" s="1"/>
  <c r="AB95" i="104" s="1"/>
  <c r="V95" i="104" s="1"/>
  <c r="C22" i="104"/>
  <c r="E22" i="104" s="1"/>
  <c r="Z57" i="104"/>
  <c r="Z117" i="104"/>
  <c r="AA117" i="104" s="1"/>
  <c r="AB117" i="104" s="1"/>
  <c r="V117" i="104" s="1"/>
  <c r="Z126" i="104"/>
  <c r="AA126" i="104" s="1"/>
  <c r="AB126" i="104" s="1"/>
  <c r="V126" i="104" s="1"/>
  <c r="Z61" i="104"/>
  <c r="AA61" i="104" s="1"/>
  <c r="AB61" i="104" s="1"/>
  <c r="V61" i="104" s="1"/>
  <c r="Z43" i="104"/>
  <c r="AA43" i="104" s="1"/>
  <c r="AB43" i="104" s="1"/>
  <c r="V43" i="104" s="1"/>
  <c r="Z26" i="104"/>
  <c r="Z17" i="104"/>
  <c r="Z104" i="104"/>
  <c r="AA104" i="104" s="1"/>
  <c r="AB104" i="104" s="1"/>
  <c r="V104" i="104" s="1"/>
  <c r="Z100" i="104"/>
  <c r="AA100" i="104" s="1"/>
  <c r="AB100" i="104" s="1"/>
  <c r="V100" i="104" s="1"/>
  <c r="Z121" i="104"/>
  <c r="AA121" i="104" s="1"/>
  <c r="AB121" i="104" s="1"/>
  <c r="V121" i="104" s="1"/>
  <c r="Z86" i="104"/>
  <c r="AA86" i="104" s="1"/>
  <c r="AB86" i="104" s="1"/>
  <c r="V86" i="104" s="1"/>
  <c r="Z13" i="104"/>
  <c r="AA13" i="104" s="1"/>
  <c r="AB13" i="104" s="1"/>
  <c r="V13" i="104" s="1"/>
  <c r="Z107" i="104"/>
  <c r="AA107" i="104" s="1"/>
  <c r="AB107" i="104" s="1"/>
  <c r="V107" i="104" s="1"/>
  <c r="Z105" i="104"/>
  <c r="AA105" i="104" s="1"/>
  <c r="AB105" i="104" s="1"/>
  <c r="V105" i="104" s="1"/>
  <c r="C94" i="104"/>
  <c r="E94" i="104" s="1"/>
  <c r="Z45" i="104"/>
  <c r="AA45" i="104" s="1"/>
  <c r="AB45" i="104" s="1"/>
  <c r="V45" i="104" s="1"/>
  <c r="Z37" i="104"/>
  <c r="AA37" i="104" s="1"/>
  <c r="AB37" i="104" s="1"/>
  <c r="V37" i="104" s="1"/>
  <c r="Z35" i="104"/>
  <c r="AA35" i="104" s="1"/>
  <c r="AB35" i="104" s="1"/>
  <c r="V35" i="104" s="1"/>
  <c r="Z52" i="104"/>
  <c r="AA52" i="104" s="1"/>
  <c r="AB52" i="104" s="1"/>
  <c r="V52" i="104" s="1"/>
  <c r="Z112" i="104"/>
  <c r="AA112" i="104" s="1"/>
  <c r="AB112" i="104" s="1"/>
  <c r="V112" i="104" s="1"/>
  <c r="Z114" i="104"/>
  <c r="AA114" i="104" s="1"/>
  <c r="AB114" i="104" s="1"/>
  <c r="V114" i="104" s="1"/>
  <c r="C93" i="104"/>
  <c r="E93" i="104" s="1"/>
  <c r="Z109" i="104"/>
  <c r="AA109" i="104" s="1"/>
  <c r="AB109" i="104" s="1"/>
  <c r="V109" i="104" s="1"/>
  <c r="C92" i="104"/>
  <c r="E92" i="104" s="1"/>
  <c r="Z62" i="104"/>
  <c r="Z48" i="104"/>
  <c r="AA48" i="104" s="1"/>
  <c r="AB48" i="104" s="1"/>
  <c r="V48" i="104" s="1"/>
  <c r="Z55" i="104"/>
  <c r="AA55" i="104" s="1"/>
  <c r="AB55" i="104" s="1"/>
  <c r="V55" i="104" s="1"/>
  <c r="Z32" i="104"/>
  <c r="Z47" i="104"/>
  <c r="AA47" i="104" s="1"/>
  <c r="AB47" i="104" s="1"/>
  <c r="V47" i="104" s="1"/>
  <c r="Z83" i="104"/>
  <c r="Z94" i="104"/>
  <c r="Z85" i="104"/>
  <c r="Z53" i="104"/>
  <c r="Z22" i="104"/>
  <c r="C19" i="104"/>
  <c r="E19" i="104" s="1"/>
  <c r="Z123" i="104"/>
  <c r="Z80" i="104"/>
  <c r="AA80" i="104" s="1"/>
  <c r="AB80" i="104" s="1"/>
  <c r="V80" i="104" s="1"/>
  <c r="Z65" i="104"/>
  <c r="Z50" i="104"/>
  <c r="AA50" i="104" s="1"/>
  <c r="AB50" i="104" s="1"/>
  <c r="V50" i="104" s="1"/>
  <c r="C18" i="104"/>
  <c r="E18" i="104" s="1"/>
  <c r="Z113" i="104"/>
  <c r="Z119" i="104"/>
  <c r="Z58" i="104"/>
  <c r="Z39" i="104"/>
  <c r="AA39" i="104" s="1"/>
  <c r="AB39" i="104" s="1"/>
  <c r="V39" i="104" s="1"/>
  <c r="Z38" i="104"/>
  <c r="Z15" i="104"/>
  <c r="Z14" i="104"/>
  <c r="Z111" i="104"/>
  <c r="AA111" i="104" s="1"/>
  <c r="AB111" i="104" s="1"/>
  <c r="V111" i="104" s="1"/>
  <c r="Z97" i="104"/>
  <c r="AA97" i="104" s="1"/>
  <c r="AB97" i="104" s="1"/>
  <c r="V97" i="104" s="1"/>
  <c r="Z110" i="104"/>
  <c r="AA110" i="104" s="1"/>
  <c r="AB110" i="104" s="1"/>
  <c r="V110" i="104" s="1"/>
  <c r="Z87" i="104"/>
  <c r="AA87" i="104" s="1"/>
  <c r="AB87" i="104" s="1"/>
  <c r="V87" i="104" s="1"/>
  <c r="Z82" i="104"/>
  <c r="Z124" i="104"/>
  <c r="AA124" i="104" s="1"/>
  <c r="AB124" i="104" s="1"/>
  <c r="V124" i="104" s="1"/>
  <c r="Z118" i="104"/>
  <c r="AA118" i="104" s="1"/>
  <c r="AB118" i="104" s="1"/>
  <c r="V118" i="104" s="1"/>
  <c r="Z102" i="104"/>
  <c r="AA102" i="104" s="1"/>
  <c r="AB102" i="104" s="1"/>
  <c r="V102" i="104" s="1"/>
  <c r="Z81" i="104"/>
  <c r="Z92" i="104"/>
  <c r="AA92" i="104" s="1"/>
  <c r="AB92" i="104" s="1"/>
  <c r="V92" i="104" s="1"/>
  <c r="Z18" i="104"/>
  <c r="Z79" i="104"/>
  <c r="AA79" i="104" s="1"/>
  <c r="AB79" i="104" s="1"/>
  <c r="V79" i="104" s="1"/>
  <c r="Z98" i="104"/>
  <c r="AA98" i="104" s="1"/>
  <c r="AB98" i="104" s="1"/>
  <c r="V98" i="104" s="1"/>
  <c r="Z108" i="104"/>
  <c r="AA108" i="104" s="1"/>
  <c r="AB108" i="104" s="1"/>
  <c r="V108" i="104" s="1"/>
  <c r="Z88" i="104"/>
  <c r="AA88" i="104" s="1"/>
  <c r="AB88" i="104" s="1"/>
  <c r="V88" i="104" s="1"/>
  <c r="Z93" i="104"/>
  <c r="C91" i="104"/>
  <c r="E91" i="104" s="1"/>
  <c r="Z59" i="104"/>
  <c r="Z36" i="104"/>
  <c r="Z54" i="104"/>
  <c r="AA54" i="104" s="1"/>
  <c r="AB54" i="104" s="1"/>
  <c r="V54" i="104" s="1"/>
  <c r="Z30" i="104"/>
  <c r="AA30" i="104" s="1"/>
  <c r="AB30" i="104" s="1"/>
  <c r="V30" i="104" s="1"/>
  <c r="Z24" i="104"/>
  <c r="AA24" i="104" s="1"/>
  <c r="AB24" i="104" s="1"/>
  <c r="V24" i="104" s="1"/>
  <c r="Z12" i="104"/>
  <c r="AA12" i="104" s="1"/>
  <c r="AB12" i="104" s="1"/>
  <c r="V12" i="104" s="1"/>
  <c r="Z84" i="104"/>
  <c r="AA84" i="104" s="1"/>
  <c r="AB84" i="104" s="1"/>
  <c r="V84" i="104" s="1"/>
  <c r="Z51" i="104"/>
  <c r="Z29" i="104"/>
  <c r="AA29" i="104" s="1"/>
  <c r="AB29" i="104" s="1"/>
  <c r="V29" i="104" s="1"/>
  <c r="Z19" i="104"/>
  <c r="AA19" i="104" s="1"/>
  <c r="AB19" i="104" s="1"/>
  <c r="V19" i="104" s="1"/>
  <c r="Z90" i="104"/>
  <c r="AA90" i="104" s="1"/>
  <c r="AB90" i="104" s="1"/>
  <c r="V90" i="104" s="1"/>
  <c r="Z63" i="104"/>
  <c r="AA63" i="104" s="1"/>
  <c r="AB63" i="104" s="1"/>
  <c r="V63" i="104" s="1"/>
  <c r="Z28" i="104"/>
  <c r="Z115" i="104"/>
  <c r="AA115" i="104" s="1"/>
  <c r="AB115" i="104" s="1"/>
  <c r="V115" i="104" s="1"/>
  <c r="Z101" i="104"/>
  <c r="AA101" i="104" s="1"/>
  <c r="AB101" i="104" s="1"/>
  <c r="V101" i="104" s="1"/>
  <c r="Z122" i="104"/>
  <c r="AA122" i="104" s="1"/>
  <c r="AB122" i="104" s="1"/>
  <c r="V122" i="104" s="1"/>
  <c r="Z89" i="104"/>
  <c r="Z20" i="104"/>
  <c r="AA20" i="104" s="1"/>
  <c r="AB20" i="104" s="1"/>
  <c r="V20" i="104" s="1"/>
  <c r="Z46" i="104"/>
  <c r="AA46" i="104" s="1"/>
  <c r="AB46" i="104" s="1"/>
  <c r="V46" i="104" s="1"/>
  <c r="Z64" i="104"/>
  <c r="AA64" i="104" s="1"/>
  <c r="AB64" i="104" s="1"/>
  <c r="V64" i="104" s="1"/>
  <c r="Z21" i="104"/>
  <c r="AA21" i="104" s="1"/>
  <c r="AB21" i="104" s="1"/>
  <c r="V21" i="104" s="1"/>
  <c r="Z7" i="104"/>
  <c r="AA7" i="104" s="1"/>
  <c r="AB7" i="104" s="1"/>
  <c r="V7" i="104" s="1"/>
  <c r="Z8" i="104"/>
  <c r="AA8" i="104" s="1"/>
  <c r="AB8" i="104" s="1"/>
  <c r="V8" i="104" s="1"/>
  <c r="Z31" i="104"/>
  <c r="AA31" i="104" s="1"/>
  <c r="AB31" i="104" s="1"/>
  <c r="V31" i="104" s="1"/>
  <c r="Z10" i="104"/>
  <c r="AA10" i="104" s="1"/>
  <c r="AB10" i="104" s="1"/>
  <c r="V10" i="104" s="1"/>
  <c r="C20" i="104"/>
  <c r="E20" i="104" s="1"/>
  <c r="Z25" i="104"/>
  <c r="AA25" i="104" s="1"/>
  <c r="AB25" i="104" s="1"/>
  <c r="V25" i="104" s="1"/>
  <c r="C21" i="104"/>
  <c r="E21" i="104" s="1"/>
  <c r="Z40" i="104"/>
  <c r="AA40" i="104" s="1"/>
  <c r="AB40" i="104" s="1"/>
  <c r="V40" i="104" s="1"/>
  <c r="Z91" i="104"/>
  <c r="Z11" i="104"/>
  <c r="AA11" i="104" s="1"/>
  <c r="AB11" i="104" s="1"/>
  <c r="V11" i="104" s="1"/>
  <c r="Z23" i="104"/>
  <c r="AA23" i="104" s="1"/>
  <c r="AB23" i="104" s="1"/>
  <c r="V23" i="104" s="1"/>
  <c r="Z34" i="104"/>
  <c r="AA34" i="104" s="1"/>
  <c r="AB34" i="104" s="1"/>
  <c r="V34" i="104" s="1"/>
  <c r="Z49" i="104"/>
  <c r="Z42" i="104"/>
  <c r="AA42" i="104" s="1"/>
  <c r="AB42" i="104" s="1"/>
  <c r="V42" i="104" s="1"/>
  <c r="C100" i="104"/>
  <c r="D100" i="104" s="1"/>
  <c r="F100" i="104" s="1"/>
  <c r="G100" i="104" s="1"/>
  <c r="J127" i="104"/>
  <c r="K127" i="104"/>
  <c r="D101" i="104" s="1"/>
  <c r="F28" i="104"/>
  <c r="G28" i="104" s="1"/>
  <c r="F108" i="104"/>
  <c r="G108" i="104"/>
  <c r="F33" i="104"/>
  <c r="G33" i="104"/>
  <c r="L129" i="104"/>
  <c r="L126" i="104" s="1"/>
  <c r="L79" i="104" s="1"/>
  <c r="M79" i="104" s="1"/>
  <c r="J80" i="104" s="1"/>
  <c r="K80" i="104" s="1"/>
  <c r="C101" i="104"/>
  <c r="F27" i="103"/>
  <c r="G27" i="103" s="1"/>
  <c r="D31" i="103"/>
  <c r="D33" i="103"/>
  <c r="D32" i="103"/>
  <c r="D28" i="103"/>
  <c r="Z28" i="103" s="1"/>
  <c r="AA28" i="103" s="1"/>
  <c r="AB28" i="103" s="1"/>
  <c r="V28" i="103" s="1"/>
  <c r="A115" i="96"/>
  <c r="E100" i="96"/>
  <c r="A100" i="96"/>
  <c r="A101" i="96" s="1"/>
  <c r="A102" i="96" s="1"/>
  <c r="A103" i="96" s="1"/>
  <c r="A104" i="96" s="1"/>
  <c r="A105" i="96" s="1"/>
  <c r="A106" i="96" s="1"/>
  <c r="A107" i="96" s="1"/>
  <c r="A108" i="96" s="1"/>
  <c r="E95" i="96"/>
  <c r="A93" i="96"/>
  <c r="A94" i="96" s="1"/>
  <c r="A95" i="96" s="1"/>
  <c r="I92" i="96"/>
  <c r="I93" i="96" s="1"/>
  <c r="I94" i="96" s="1"/>
  <c r="I95" i="96" s="1"/>
  <c r="I96" i="96" s="1"/>
  <c r="I97" i="96" s="1"/>
  <c r="I98" i="96" s="1"/>
  <c r="I99" i="96" s="1"/>
  <c r="I100" i="96" s="1"/>
  <c r="I101" i="96" s="1"/>
  <c r="I102" i="96" s="1"/>
  <c r="I103" i="96" s="1"/>
  <c r="I104" i="96" s="1"/>
  <c r="I105" i="96" s="1"/>
  <c r="I106" i="96" s="1"/>
  <c r="I107" i="96" s="1"/>
  <c r="I108" i="96" s="1"/>
  <c r="I109" i="96" s="1"/>
  <c r="I110" i="96" s="1"/>
  <c r="I111" i="96" s="1"/>
  <c r="I112" i="96" s="1"/>
  <c r="I113" i="96" s="1"/>
  <c r="I114" i="96" s="1"/>
  <c r="I115" i="96" s="1"/>
  <c r="I116" i="96" s="1"/>
  <c r="I117" i="96" s="1"/>
  <c r="I118" i="96" s="1"/>
  <c r="I119" i="96" s="1"/>
  <c r="I120" i="96" s="1"/>
  <c r="I121" i="96" s="1"/>
  <c r="I122" i="96" s="1"/>
  <c r="I123" i="96" s="1"/>
  <c r="I124" i="96" s="1"/>
  <c r="I125" i="96" s="1"/>
  <c r="I126" i="96" s="1"/>
  <c r="D91" i="96"/>
  <c r="D92" i="96" s="1"/>
  <c r="D93" i="96" s="1"/>
  <c r="D94" i="96" s="1"/>
  <c r="D95" i="96" s="1"/>
  <c r="B91" i="96"/>
  <c r="B92" i="96" s="1"/>
  <c r="B93" i="96" s="1"/>
  <c r="B94" i="96" s="1"/>
  <c r="B95" i="96" s="1"/>
  <c r="A91" i="96"/>
  <c r="A92" i="96" s="1"/>
  <c r="I81" i="96"/>
  <c r="I82" i="96" s="1"/>
  <c r="I83" i="96" s="1"/>
  <c r="I84" i="96" s="1"/>
  <c r="I85" i="96" s="1"/>
  <c r="I86" i="96" s="1"/>
  <c r="I87" i="96" s="1"/>
  <c r="I88" i="96" s="1"/>
  <c r="I89" i="96" s="1"/>
  <c r="I90" i="96" s="1"/>
  <c r="I91" i="96" s="1"/>
  <c r="A81" i="96"/>
  <c r="A82" i="96" s="1"/>
  <c r="A83" i="96" s="1"/>
  <c r="A84" i="96" s="1"/>
  <c r="A85" i="96" s="1"/>
  <c r="A86" i="96" s="1"/>
  <c r="O80" i="96"/>
  <c r="O81" i="96" s="1"/>
  <c r="O82" i="96" s="1"/>
  <c r="O83" i="96" s="1"/>
  <c r="O84" i="96" s="1"/>
  <c r="O85" i="96" s="1"/>
  <c r="O86" i="96" s="1"/>
  <c r="O87" i="96" s="1"/>
  <c r="O88" i="96" s="1"/>
  <c r="O89" i="96" s="1"/>
  <c r="O90" i="96" s="1"/>
  <c r="O91" i="96" s="1"/>
  <c r="O92" i="96" s="1"/>
  <c r="O93" i="96" s="1"/>
  <c r="O94" i="96" s="1"/>
  <c r="O95" i="96" s="1"/>
  <c r="O96" i="96" s="1"/>
  <c r="O97" i="96" s="1"/>
  <c r="O98" i="96" s="1"/>
  <c r="O99" i="96" s="1"/>
  <c r="O100" i="96" s="1"/>
  <c r="O101" i="96" s="1"/>
  <c r="O102" i="96" s="1"/>
  <c r="O103" i="96" s="1"/>
  <c r="O104" i="96" s="1"/>
  <c r="O105" i="96" s="1"/>
  <c r="O106" i="96" s="1"/>
  <c r="O107" i="96" s="1"/>
  <c r="O108" i="96" s="1"/>
  <c r="O109" i="96" s="1"/>
  <c r="O110" i="96" s="1"/>
  <c r="O111" i="96" s="1"/>
  <c r="O112" i="96" s="1"/>
  <c r="O113" i="96" s="1"/>
  <c r="O114" i="96" s="1"/>
  <c r="O115" i="96" s="1"/>
  <c r="O116" i="96" s="1"/>
  <c r="O117" i="96" s="1"/>
  <c r="O118" i="96" s="1"/>
  <c r="O119" i="96" s="1"/>
  <c r="O120" i="96" s="1"/>
  <c r="O121" i="96" s="1"/>
  <c r="O122" i="96" s="1"/>
  <c r="O123" i="96" s="1"/>
  <c r="O124" i="96" s="1"/>
  <c r="O125" i="96" s="1"/>
  <c r="O126" i="96" s="1"/>
  <c r="I80" i="96"/>
  <c r="A80" i="96"/>
  <c r="P79" i="96"/>
  <c r="A75" i="96"/>
  <c r="T66" i="96"/>
  <c r="T65" i="96"/>
  <c r="T64" i="96"/>
  <c r="T63" i="96"/>
  <c r="T62" i="96"/>
  <c r="T61" i="96"/>
  <c r="T57" i="96"/>
  <c r="T56" i="96"/>
  <c r="A43" i="96"/>
  <c r="C105" i="96"/>
  <c r="C104" i="96"/>
  <c r="C103" i="96"/>
  <c r="A28" i="96"/>
  <c r="A29" i="96" s="1"/>
  <c r="A30" i="96" s="1"/>
  <c r="A31" i="96" s="1"/>
  <c r="A32" i="96" s="1"/>
  <c r="A33" i="96" s="1"/>
  <c r="A34" i="96" s="1"/>
  <c r="A35" i="96" s="1"/>
  <c r="A36" i="96" s="1"/>
  <c r="D19" i="96"/>
  <c r="D20" i="96" s="1"/>
  <c r="D21" i="96" s="1"/>
  <c r="D22" i="96" s="1"/>
  <c r="D23" i="96" s="1"/>
  <c r="E23" i="96" s="1"/>
  <c r="B19" i="96"/>
  <c r="B20" i="96" s="1"/>
  <c r="B21" i="96" s="1"/>
  <c r="B22" i="96" s="1"/>
  <c r="B23" i="96" s="1"/>
  <c r="A19" i="96"/>
  <c r="A20" i="96" s="1"/>
  <c r="A21" i="96" s="1"/>
  <c r="A22" i="96" s="1"/>
  <c r="A23" i="96" s="1"/>
  <c r="C86" i="96"/>
  <c r="C85" i="96"/>
  <c r="C84" i="96"/>
  <c r="C83" i="96"/>
  <c r="C100" i="96" s="1"/>
  <c r="H10" i="96"/>
  <c r="O9" i="96"/>
  <c r="O10" i="96" s="1"/>
  <c r="O11" i="96" s="1"/>
  <c r="O12" i="96" s="1"/>
  <c r="O13" i="96" s="1"/>
  <c r="O14" i="96" s="1"/>
  <c r="O15" i="96" s="1"/>
  <c r="O16" i="96" s="1"/>
  <c r="O17" i="96" s="1"/>
  <c r="O18" i="96" s="1"/>
  <c r="O19" i="96" s="1"/>
  <c r="O20" i="96" s="1"/>
  <c r="O21" i="96" s="1"/>
  <c r="O22" i="96" s="1"/>
  <c r="O23" i="96" s="1"/>
  <c r="O24" i="96" s="1"/>
  <c r="O25" i="96" s="1"/>
  <c r="O26" i="96" s="1"/>
  <c r="O27" i="96" s="1"/>
  <c r="O28" i="96" s="1"/>
  <c r="O29" i="96" s="1"/>
  <c r="O30" i="96" s="1"/>
  <c r="O31" i="96" s="1"/>
  <c r="O32" i="96" s="1"/>
  <c r="O33" i="96" s="1"/>
  <c r="O34" i="96" s="1"/>
  <c r="O35" i="96" s="1"/>
  <c r="O36" i="96" s="1"/>
  <c r="O37" i="96" s="1"/>
  <c r="O38" i="96" s="1"/>
  <c r="O39" i="96" s="1"/>
  <c r="O40" i="96" s="1"/>
  <c r="O41" i="96" s="1"/>
  <c r="O42" i="96" s="1"/>
  <c r="O43" i="96" s="1"/>
  <c r="O44" i="96" s="1"/>
  <c r="O45" i="96" s="1"/>
  <c r="O46" i="96" s="1"/>
  <c r="O47" i="96" s="1"/>
  <c r="O48" i="96" s="1"/>
  <c r="O49" i="96" s="1"/>
  <c r="O50" i="96" s="1"/>
  <c r="O51" i="96" s="1"/>
  <c r="O52" i="96" s="1"/>
  <c r="O53" i="96" s="1"/>
  <c r="O54" i="96" s="1"/>
  <c r="O55" i="96" s="1"/>
  <c r="O56" i="96" s="1"/>
  <c r="O57" i="96" s="1"/>
  <c r="O58" i="96" s="1"/>
  <c r="O59" i="96" s="1"/>
  <c r="O60" i="96" s="1"/>
  <c r="O61" i="96" s="1"/>
  <c r="O62" i="96" s="1"/>
  <c r="O63" i="96" s="1"/>
  <c r="O64" i="96" s="1"/>
  <c r="O65" i="96" s="1"/>
  <c r="O66" i="96" s="1"/>
  <c r="I9" i="96"/>
  <c r="I10" i="96" s="1"/>
  <c r="I11" i="96" s="1"/>
  <c r="I12" i="96" s="1"/>
  <c r="I13" i="96" s="1"/>
  <c r="I14" i="96" s="1"/>
  <c r="I15" i="96" s="1"/>
  <c r="I16" i="96" s="1"/>
  <c r="I17" i="96" s="1"/>
  <c r="I18" i="96" s="1"/>
  <c r="I19" i="96" s="1"/>
  <c r="I20" i="96" s="1"/>
  <c r="I21" i="96" s="1"/>
  <c r="I22" i="96" s="1"/>
  <c r="I23" i="96" s="1"/>
  <c r="I24" i="96" s="1"/>
  <c r="I25" i="96" s="1"/>
  <c r="I26" i="96" s="1"/>
  <c r="I27" i="96" s="1"/>
  <c r="I28" i="96" s="1"/>
  <c r="I29" i="96" s="1"/>
  <c r="I30" i="96" s="1"/>
  <c r="I31" i="96" s="1"/>
  <c r="I32" i="96" s="1"/>
  <c r="I33" i="96" s="1"/>
  <c r="I34" i="96" s="1"/>
  <c r="I35" i="96" s="1"/>
  <c r="I36" i="96" s="1"/>
  <c r="I37" i="96" s="1"/>
  <c r="I38" i="96" s="1"/>
  <c r="I39" i="96" s="1"/>
  <c r="I40" i="96" s="1"/>
  <c r="I41" i="96" s="1"/>
  <c r="I42" i="96" s="1"/>
  <c r="I43" i="96" s="1"/>
  <c r="I44" i="96" s="1"/>
  <c r="I45" i="96" s="1"/>
  <c r="I46" i="96" s="1"/>
  <c r="I47" i="96" s="1"/>
  <c r="I48" i="96" s="1"/>
  <c r="I49" i="96" s="1"/>
  <c r="I50" i="96" s="1"/>
  <c r="I51" i="96" s="1"/>
  <c r="I52" i="96" s="1"/>
  <c r="I53" i="96" s="1"/>
  <c r="I54" i="96" s="1"/>
  <c r="I55" i="96" s="1"/>
  <c r="I56" i="96" s="1"/>
  <c r="I57" i="96" s="1"/>
  <c r="I58" i="96" s="1"/>
  <c r="I59" i="96" s="1"/>
  <c r="I60" i="96" s="1"/>
  <c r="I61" i="96" s="1"/>
  <c r="I62" i="96" s="1"/>
  <c r="I63" i="96" s="1"/>
  <c r="I64" i="96" s="1"/>
  <c r="I65" i="96" s="1"/>
  <c r="I66" i="96" s="1"/>
  <c r="F81" i="96"/>
  <c r="C81" i="96"/>
  <c r="C102" i="96" s="1"/>
  <c r="O8" i="96"/>
  <c r="I8" i="96"/>
  <c r="H8" i="96"/>
  <c r="C29" i="96"/>
  <c r="A8" i="96"/>
  <c r="A9" i="96" s="1"/>
  <c r="A10" i="96" s="1"/>
  <c r="A11" i="96" s="1"/>
  <c r="A12" i="96" s="1"/>
  <c r="A13" i="96" s="1"/>
  <c r="A14" i="96" s="1"/>
  <c r="D27" i="96"/>
  <c r="T67" i="105" l="1"/>
  <c r="T69" i="105" s="1"/>
  <c r="T55" i="105" s="1"/>
  <c r="T73" i="105" s="1"/>
  <c r="AA32" i="105"/>
  <c r="AB32" i="105" s="1"/>
  <c r="V32" i="105" s="1"/>
  <c r="AE33" i="105"/>
  <c r="O34" i="105"/>
  <c r="Z33" i="105"/>
  <c r="AA62" i="104"/>
  <c r="AB62" i="104" s="1"/>
  <c r="V62" i="104" s="1"/>
  <c r="R79" i="104"/>
  <c r="L80" i="104"/>
  <c r="L81" i="104" s="1"/>
  <c r="L82" i="104" s="1"/>
  <c r="L83" i="104" s="1"/>
  <c r="L84" i="104" s="1"/>
  <c r="L85" i="104" s="1"/>
  <c r="L86" i="104" s="1"/>
  <c r="L87" i="104" s="1"/>
  <c r="L88" i="104" s="1"/>
  <c r="L89" i="104" s="1"/>
  <c r="L90" i="104" s="1"/>
  <c r="L91" i="104" s="1"/>
  <c r="L92" i="104" s="1"/>
  <c r="L93" i="104" s="1"/>
  <c r="L94" i="104" s="1"/>
  <c r="L95" i="104" s="1"/>
  <c r="L96" i="104" s="1"/>
  <c r="L97" i="104" s="1"/>
  <c r="L98" i="104" s="1"/>
  <c r="L99" i="104" s="1"/>
  <c r="L100" i="104" s="1"/>
  <c r="L101" i="104" s="1"/>
  <c r="L102" i="104" s="1"/>
  <c r="L103" i="104" s="1"/>
  <c r="L104" i="104" s="1"/>
  <c r="L105" i="104" s="1"/>
  <c r="L106" i="104" s="1"/>
  <c r="L107" i="104" s="1"/>
  <c r="L108" i="104" s="1"/>
  <c r="L109" i="104" s="1"/>
  <c r="L110" i="104" s="1"/>
  <c r="L111" i="104" s="1"/>
  <c r="L112" i="104" s="1"/>
  <c r="L113" i="104" s="1"/>
  <c r="L114" i="104" s="1"/>
  <c r="L115" i="104" s="1"/>
  <c r="L116" i="104" s="1"/>
  <c r="L117" i="104" s="1"/>
  <c r="L118" i="104" s="1"/>
  <c r="L119" i="104" s="1"/>
  <c r="L120" i="104" s="1"/>
  <c r="L121" i="104" s="1"/>
  <c r="L122" i="104" s="1"/>
  <c r="L123" i="104" s="1"/>
  <c r="L124" i="104" s="1"/>
  <c r="L125" i="104" s="1"/>
  <c r="AA51" i="104"/>
  <c r="AB51" i="104" s="1"/>
  <c r="V51" i="104" s="1"/>
  <c r="AA81" i="104"/>
  <c r="AB81" i="104" s="1"/>
  <c r="V81" i="104" s="1"/>
  <c r="AA85" i="104"/>
  <c r="AB85" i="104" s="1"/>
  <c r="V85" i="104" s="1"/>
  <c r="AA116" i="104"/>
  <c r="AB116" i="104" s="1"/>
  <c r="V116" i="104" s="1"/>
  <c r="AA113" i="104"/>
  <c r="AB113" i="104" s="1"/>
  <c r="V113" i="104" s="1"/>
  <c r="AA120" i="104"/>
  <c r="AB120" i="104" s="1"/>
  <c r="V120" i="104" s="1"/>
  <c r="F101" i="104"/>
  <c r="G101" i="104" s="1"/>
  <c r="AA91" i="104"/>
  <c r="AB91" i="104" s="1"/>
  <c r="V91" i="104" s="1"/>
  <c r="AA93" i="104"/>
  <c r="AB93" i="104" s="1"/>
  <c r="V93" i="104" s="1"/>
  <c r="AA14" i="104"/>
  <c r="AB14" i="104" s="1"/>
  <c r="V14" i="104" s="1"/>
  <c r="AA94" i="104"/>
  <c r="AB94" i="104" s="1"/>
  <c r="V94" i="104" s="1"/>
  <c r="AA17" i="104"/>
  <c r="AB17" i="104" s="1"/>
  <c r="V17" i="104" s="1"/>
  <c r="AA41" i="104"/>
  <c r="AB41" i="104" s="1"/>
  <c r="V41" i="104" s="1"/>
  <c r="AA15" i="104"/>
  <c r="AB15" i="104" s="1"/>
  <c r="V15" i="104" s="1"/>
  <c r="AA38" i="104"/>
  <c r="AB38" i="104"/>
  <c r="V38" i="104" s="1"/>
  <c r="G115" i="104"/>
  <c r="G107" i="104"/>
  <c r="G114" i="104"/>
  <c r="AA82" i="104"/>
  <c r="AB82" i="104" s="1"/>
  <c r="V82" i="104" s="1"/>
  <c r="AA123" i="104"/>
  <c r="AB123" i="104" s="1"/>
  <c r="V123" i="104" s="1"/>
  <c r="AA32" i="104"/>
  <c r="AB32" i="104" s="1"/>
  <c r="V32" i="104" s="1"/>
  <c r="AA57" i="104"/>
  <c r="AB57" i="104" s="1"/>
  <c r="V57" i="104" s="1"/>
  <c r="AA65" i="104"/>
  <c r="AB65" i="104" s="1"/>
  <c r="V65" i="104" s="1"/>
  <c r="AA9" i="104"/>
  <c r="AB9" i="104" s="1"/>
  <c r="V9" i="104" s="1"/>
  <c r="AA28" i="104"/>
  <c r="AB28" i="104" s="1"/>
  <c r="V28" i="104" s="1"/>
  <c r="F107" i="104"/>
  <c r="F114" i="104"/>
  <c r="AA49" i="104"/>
  <c r="AB49" i="104" s="1"/>
  <c r="V49" i="104" s="1"/>
  <c r="AA58" i="104"/>
  <c r="AB58" i="104" s="1"/>
  <c r="V58" i="104" s="1"/>
  <c r="AA99" i="104"/>
  <c r="AB99" i="104" s="1"/>
  <c r="V99" i="104" s="1"/>
  <c r="AA89" i="104"/>
  <c r="AB89" i="104" s="1"/>
  <c r="V89" i="104" s="1"/>
  <c r="AA59" i="104"/>
  <c r="AB59" i="104" s="1"/>
  <c r="V59" i="104" s="1"/>
  <c r="AA53" i="104"/>
  <c r="AB53" i="104" s="1"/>
  <c r="V53" i="104" s="1"/>
  <c r="AA83" i="104"/>
  <c r="AB83" i="104" s="1"/>
  <c r="V83" i="104" s="1"/>
  <c r="AA26" i="104"/>
  <c r="AB26" i="104" s="1"/>
  <c r="V26" i="104" s="1"/>
  <c r="AA103" i="104"/>
  <c r="AB103" i="104" s="1"/>
  <c r="V103" i="104" s="1"/>
  <c r="AA36" i="104"/>
  <c r="AB36" i="104" s="1"/>
  <c r="V36" i="104" s="1"/>
  <c r="AA18" i="104"/>
  <c r="AB18" i="104" s="1"/>
  <c r="V18" i="104" s="1"/>
  <c r="AA119" i="104"/>
  <c r="AB119" i="104" s="1"/>
  <c r="V119" i="104" s="1"/>
  <c r="AA22" i="104"/>
  <c r="AB22" i="104" s="1"/>
  <c r="V22" i="104" s="1"/>
  <c r="AA27" i="104"/>
  <c r="AB27" i="104" s="1"/>
  <c r="V27" i="104" s="1"/>
  <c r="AA106" i="104"/>
  <c r="AB106" i="104" s="1"/>
  <c r="V106" i="104" s="1"/>
  <c r="Z53" i="103"/>
  <c r="AA53" i="103" s="1"/>
  <c r="AB53" i="103" s="1"/>
  <c r="V53" i="103" s="1"/>
  <c r="C20" i="103"/>
  <c r="E20" i="103" s="1"/>
  <c r="Z20" i="103"/>
  <c r="AA20" i="103" s="1"/>
  <c r="AB20" i="103" s="1"/>
  <c r="V20" i="103" s="1"/>
  <c r="Z41" i="103"/>
  <c r="AA41" i="103" s="1"/>
  <c r="AB41" i="103" s="1"/>
  <c r="V41" i="103" s="1"/>
  <c r="Z48" i="103"/>
  <c r="AA48" i="103" s="1"/>
  <c r="AB48" i="103" s="1"/>
  <c r="V48" i="103" s="1"/>
  <c r="Z15" i="103"/>
  <c r="AA15" i="103" s="1"/>
  <c r="AB15" i="103" s="1"/>
  <c r="V15" i="103" s="1"/>
  <c r="Z26" i="103"/>
  <c r="AA26" i="103" s="1"/>
  <c r="AB26" i="103" s="1"/>
  <c r="V26" i="103" s="1"/>
  <c r="Z25" i="103"/>
  <c r="AA25" i="103" s="1"/>
  <c r="AB25" i="103" s="1"/>
  <c r="V25" i="103" s="1"/>
  <c r="Z18" i="103"/>
  <c r="AA18" i="103" s="1"/>
  <c r="AB18" i="103" s="1"/>
  <c r="V18" i="103" s="1"/>
  <c r="Z58" i="103"/>
  <c r="AA58" i="103" s="1"/>
  <c r="AB58" i="103" s="1"/>
  <c r="V58" i="103" s="1"/>
  <c r="Z21" i="103"/>
  <c r="AA21" i="103" s="1"/>
  <c r="AB21" i="103" s="1"/>
  <c r="V21" i="103" s="1"/>
  <c r="C22" i="103"/>
  <c r="E22" i="103" s="1"/>
  <c r="Z38" i="103"/>
  <c r="AA38" i="103" s="1"/>
  <c r="AB38" i="103" s="1"/>
  <c r="V38" i="103" s="1"/>
  <c r="Z40" i="103"/>
  <c r="AA40" i="103" s="1"/>
  <c r="AB40" i="103" s="1"/>
  <c r="V40" i="103" s="1"/>
  <c r="C18" i="103"/>
  <c r="E18" i="103" s="1"/>
  <c r="Z30" i="103"/>
  <c r="AA30" i="103" s="1"/>
  <c r="AB30" i="103" s="1"/>
  <c r="V30" i="103" s="1"/>
  <c r="Z23" i="103"/>
  <c r="AA23" i="103" s="1"/>
  <c r="Z50" i="103"/>
  <c r="AA50" i="103" s="1"/>
  <c r="AB50" i="103" s="1"/>
  <c r="V50" i="103" s="1"/>
  <c r="Z55" i="103"/>
  <c r="AA55" i="103" s="1"/>
  <c r="AB55" i="103" s="1"/>
  <c r="V55" i="103" s="1"/>
  <c r="Z62" i="103"/>
  <c r="AA62" i="103" s="1"/>
  <c r="AB62" i="103" s="1"/>
  <c r="V62" i="103" s="1"/>
  <c r="Z33" i="103"/>
  <c r="AA33" i="103" s="1"/>
  <c r="AB33" i="103" s="1"/>
  <c r="V33" i="103" s="1"/>
  <c r="Z65" i="103"/>
  <c r="AA65" i="103" s="1"/>
  <c r="AB65" i="103" s="1"/>
  <c r="V65" i="103" s="1"/>
  <c r="Z60" i="103"/>
  <c r="AA60" i="103" s="1"/>
  <c r="AB60" i="103" s="1"/>
  <c r="V60" i="103" s="1"/>
  <c r="Z39" i="103"/>
  <c r="AA39" i="103" s="1"/>
  <c r="AB39" i="103" s="1"/>
  <c r="V39" i="103" s="1"/>
  <c r="Z63" i="103"/>
  <c r="AA63" i="103" s="1"/>
  <c r="AB63" i="103" s="1"/>
  <c r="V63" i="103" s="1"/>
  <c r="Z35" i="103"/>
  <c r="AA35" i="103" s="1"/>
  <c r="AB35" i="103" s="1"/>
  <c r="V35" i="103" s="1"/>
  <c r="Z7" i="103"/>
  <c r="AA7" i="103" s="1"/>
  <c r="Z32" i="103"/>
  <c r="AA32" i="103" s="1"/>
  <c r="AB32" i="103" s="1"/>
  <c r="V32" i="103" s="1"/>
  <c r="Z22" i="103"/>
  <c r="AA22" i="103" s="1"/>
  <c r="AB22" i="103" s="1"/>
  <c r="V22" i="103" s="1"/>
  <c r="Z14" i="103"/>
  <c r="AA14" i="103" s="1"/>
  <c r="AB14" i="103" s="1"/>
  <c r="V14" i="103" s="1"/>
  <c r="Z19" i="103"/>
  <c r="AA19" i="103" s="1"/>
  <c r="AB19" i="103" s="1"/>
  <c r="V19" i="103" s="1"/>
  <c r="Z47" i="103"/>
  <c r="AA47" i="103" s="1"/>
  <c r="AB47" i="103" s="1"/>
  <c r="V47" i="103" s="1"/>
  <c r="Z9" i="103"/>
  <c r="AA9" i="103" s="1"/>
  <c r="AB9" i="103" s="1"/>
  <c r="V9" i="103" s="1"/>
  <c r="Z12" i="103"/>
  <c r="AA12" i="103" s="1"/>
  <c r="AB12" i="103" s="1"/>
  <c r="V12" i="103" s="1"/>
  <c r="Z45" i="103"/>
  <c r="AA45" i="103" s="1"/>
  <c r="AB45" i="103" s="1"/>
  <c r="V45" i="103" s="1"/>
  <c r="Z52" i="103"/>
  <c r="AA52" i="103" s="1"/>
  <c r="AB52" i="103" s="1"/>
  <c r="V52" i="103" s="1"/>
  <c r="Z66" i="103"/>
  <c r="AA66" i="103" s="1"/>
  <c r="AB66" i="103" s="1"/>
  <c r="V66" i="103" s="1"/>
  <c r="Z10" i="103"/>
  <c r="AA10" i="103" s="1"/>
  <c r="AB10" i="103" s="1"/>
  <c r="V10" i="103" s="1"/>
  <c r="Z59" i="103"/>
  <c r="AA59" i="103" s="1"/>
  <c r="AB59" i="103" s="1"/>
  <c r="V59" i="103" s="1"/>
  <c r="Z46" i="103"/>
  <c r="AA46" i="103" s="1"/>
  <c r="AB46" i="103" s="1"/>
  <c r="V46" i="103" s="1"/>
  <c r="Z49" i="103"/>
  <c r="AA49" i="103" s="1"/>
  <c r="AB49" i="103" s="1"/>
  <c r="V49" i="103" s="1"/>
  <c r="Z11" i="103"/>
  <c r="AA11" i="103" s="1"/>
  <c r="AB11" i="103" s="1"/>
  <c r="V11" i="103" s="1"/>
  <c r="C21" i="103"/>
  <c r="E21" i="103" s="1"/>
  <c r="Z13" i="103"/>
  <c r="AA13" i="103" s="1"/>
  <c r="AB13" i="103" s="1"/>
  <c r="V13" i="103" s="1"/>
  <c r="Z56" i="103"/>
  <c r="AA56" i="103" s="1"/>
  <c r="AB56" i="103" s="1"/>
  <c r="V56" i="103" s="1"/>
  <c r="Z24" i="103"/>
  <c r="AA24" i="103" s="1"/>
  <c r="AB24" i="103" s="1"/>
  <c r="V24" i="103" s="1"/>
  <c r="Z34" i="103"/>
  <c r="AA34" i="103" s="1"/>
  <c r="Z61" i="103"/>
  <c r="AA61" i="103" s="1"/>
  <c r="AB61" i="103" s="1"/>
  <c r="V61" i="103" s="1"/>
  <c r="Z8" i="103"/>
  <c r="Z27" i="103"/>
  <c r="AA27" i="103" s="1"/>
  <c r="Z17" i="103"/>
  <c r="AA17" i="103" s="1"/>
  <c r="AB17" i="103" s="1"/>
  <c r="V17" i="103" s="1"/>
  <c r="C19" i="103"/>
  <c r="E19" i="103" s="1"/>
  <c r="Z29" i="103"/>
  <c r="AA29" i="103" s="1"/>
  <c r="AB29" i="103" s="1"/>
  <c r="V29" i="103" s="1"/>
  <c r="Z37" i="103"/>
  <c r="AA37" i="103" s="1"/>
  <c r="AB37" i="103" s="1"/>
  <c r="V37" i="103" s="1"/>
  <c r="S72" i="103"/>
  <c r="S68" i="103"/>
  <c r="G31" i="103"/>
  <c r="F31" i="103"/>
  <c r="Z64" i="103"/>
  <c r="AA64" i="103" s="1"/>
  <c r="AB64" i="103" s="1"/>
  <c r="V64" i="103" s="1"/>
  <c r="F28" i="103"/>
  <c r="G28" i="103" s="1"/>
  <c r="Z57" i="103"/>
  <c r="AA57" i="103" s="1"/>
  <c r="AB57" i="103" s="1"/>
  <c r="V57" i="103" s="1"/>
  <c r="G32" i="103"/>
  <c r="T68" i="103"/>
  <c r="F32" i="103"/>
  <c r="T72" i="103"/>
  <c r="G33" i="103"/>
  <c r="F33" i="103"/>
  <c r="Z44" i="103"/>
  <c r="AA44" i="103" s="1"/>
  <c r="AB44" i="103" s="1"/>
  <c r="V44" i="103" s="1"/>
  <c r="Z43" i="103"/>
  <c r="AA43" i="103" s="1"/>
  <c r="AB43" i="103" s="1"/>
  <c r="V43" i="103" s="1"/>
  <c r="Z42" i="103"/>
  <c r="AA42" i="103" s="1"/>
  <c r="AB42" i="103" s="1"/>
  <c r="V42" i="103" s="1"/>
  <c r="Z51" i="103"/>
  <c r="AA51" i="103" s="1"/>
  <c r="AB51" i="103" s="1"/>
  <c r="V51" i="103" s="1"/>
  <c r="Z54" i="103"/>
  <c r="Z31" i="103"/>
  <c r="AA31" i="103" s="1"/>
  <c r="AB31" i="103" s="1"/>
  <c r="V31" i="103" s="1"/>
  <c r="Z16" i="103"/>
  <c r="AA16" i="103" s="1"/>
  <c r="AB16" i="103" s="1"/>
  <c r="V16" i="103" s="1"/>
  <c r="Z36" i="103"/>
  <c r="D13" i="96"/>
  <c r="D14" i="96" s="1"/>
  <c r="N40" i="23" s="1"/>
  <c r="C28" i="96"/>
  <c r="D28" i="96" s="1"/>
  <c r="C30" i="96"/>
  <c r="D33" i="96"/>
  <c r="D32" i="96"/>
  <c r="D31" i="96"/>
  <c r="C82" i="96"/>
  <c r="C35" i="96"/>
  <c r="C107" i="96" s="1"/>
  <c r="T128" i="96"/>
  <c r="F104" i="96"/>
  <c r="G104" i="96"/>
  <c r="E28" i="96"/>
  <c r="F27" i="96"/>
  <c r="S128" i="96"/>
  <c r="S79" i="96" s="1"/>
  <c r="G103" i="96"/>
  <c r="F103" i="96"/>
  <c r="G105" i="96"/>
  <c r="F105" i="96"/>
  <c r="C80" i="96"/>
  <c r="T66" i="95"/>
  <c r="T65" i="95"/>
  <c r="T64" i="95"/>
  <c r="T63" i="95"/>
  <c r="T62" i="95"/>
  <c r="T61" i="95"/>
  <c r="T57" i="95"/>
  <c r="T56" i="95"/>
  <c r="A43" i="95"/>
  <c r="A28" i="95"/>
  <c r="A29" i="95" s="1"/>
  <c r="A30" i="95" s="1"/>
  <c r="A31" i="95" s="1"/>
  <c r="A32" i="95" s="1"/>
  <c r="A33" i="95" s="1"/>
  <c r="A34" i="95" s="1"/>
  <c r="A35" i="95" s="1"/>
  <c r="A36" i="95" s="1"/>
  <c r="E28" i="95"/>
  <c r="D19" i="95"/>
  <c r="D20" i="95" s="1"/>
  <c r="D21" i="95" s="1"/>
  <c r="D22" i="95" s="1"/>
  <c r="D23" i="95" s="1"/>
  <c r="E23" i="95" s="1"/>
  <c r="B19" i="95"/>
  <c r="B20" i="95" s="1"/>
  <c r="B21" i="95" s="1"/>
  <c r="B22" i="95" s="1"/>
  <c r="B23" i="95" s="1"/>
  <c r="A19" i="95"/>
  <c r="A20" i="95" s="1"/>
  <c r="A21" i="95" s="1"/>
  <c r="A22" i="95" s="1"/>
  <c r="A23" i="95" s="1"/>
  <c r="C28" i="95"/>
  <c r="H10" i="95"/>
  <c r="C35" i="95"/>
  <c r="C30" i="95"/>
  <c r="A9" i="95"/>
  <c r="A10" i="95" s="1"/>
  <c r="A11" i="95" s="1"/>
  <c r="A12" i="95" s="1"/>
  <c r="A13" i="95" s="1"/>
  <c r="A14" i="95" s="1"/>
  <c r="O8" i="95"/>
  <c r="I8" i="95"/>
  <c r="I9" i="95" s="1"/>
  <c r="I10" i="95" s="1"/>
  <c r="I11" i="95" s="1"/>
  <c r="I12" i="95" s="1"/>
  <c r="I13" i="95" s="1"/>
  <c r="I14" i="95" s="1"/>
  <c r="I15" i="95" s="1"/>
  <c r="I16" i="95" s="1"/>
  <c r="I17" i="95" s="1"/>
  <c r="I18" i="95" s="1"/>
  <c r="I19" i="95" s="1"/>
  <c r="I20" i="95" s="1"/>
  <c r="I21" i="95" s="1"/>
  <c r="I22" i="95" s="1"/>
  <c r="I23" i="95" s="1"/>
  <c r="I24" i="95" s="1"/>
  <c r="I25" i="95" s="1"/>
  <c r="I26" i="95" s="1"/>
  <c r="I27" i="95" s="1"/>
  <c r="I28" i="95" s="1"/>
  <c r="I29" i="95" s="1"/>
  <c r="I30" i="95" s="1"/>
  <c r="I31" i="95" s="1"/>
  <c r="I32" i="95" s="1"/>
  <c r="I33" i="95" s="1"/>
  <c r="I34" i="95" s="1"/>
  <c r="I35" i="95" s="1"/>
  <c r="I36" i="95" s="1"/>
  <c r="I37" i="95" s="1"/>
  <c r="I38" i="95" s="1"/>
  <c r="I39" i="95" s="1"/>
  <c r="I40" i="95" s="1"/>
  <c r="I41" i="95" s="1"/>
  <c r="I42" i="95" s="1"/>
  <c r="I43" i="95" s="1"/>
  <c r="I44" i="95" s="1"/>
  <c r="I45" i="95" s="1"/>
  <c r="I46" i="95" s="1"/>
  <c r="I47" i="95" s="1"/>
  <c r="I48" i="95" s="1"/>
  <c r="I49" i="95" s="1"/>
  <c r="I50" i="95" s="1"/>
  <c r="I51" i="95" s="1"/>
  <c r="I52" i="95" s="1"/>
  <c r="I53" i="95" s="1"/>
  <c r="I54" i="95" s="1"/>
  <c r="I55" i="95" s="1"/>
  <c r="I56" i="95" s="1"/>
  <c r="I57" i="95" s="1"/>
  <c r="I58" i="95" s="1"/>
  <c r="I59" i="95" s="1"/>
  <c r="I60" i="95" s="1"/>
  <c r="I61" i="95" s="1"/>
  <c r="I62" i="95" s="1"/>
  <c r="I63" i="95" s="1"/>
  <c r="I64" i="95" s="1"/>
  <c r="I65" i="95" s="1"/>
  <c r="I66" i="95" s="1"/>
  <c r="H8" i="95"/>
  <c r="A8" i="95"/>
  <c r="M80" i="104" l="1"/>
  <c r="J81" i="104" s="1"/>
  <c r="AA33" i="105"/>
  <c r="AB33" i="105" s="1"/>
  <c r="V33" i="105" s="1"/>
  <c r="AE34" i="105"/>
  <c r="O35" i="105"/>
  <c r="Z34" i="105"/>
  <c r="V127" i="104"/>
  <c r="D102" i="104" s="1"/>
  <c r="F102" i="104" s="1"/>
  <c r="G102" i="104" s="1"/>
  <c r="V67" i="104"/>
  <c r="D30" i="104" s="1"/>
  <c r="F30" i="104" s="1"/>
  <c r="G30" i="104" s="1"/>
  <c r="K81" i="104"/>
  <c r="M81" i="104" s="1"/>
  <c r="J82" i="104" s="1"/>
  <c r="K82" i="104" s="1"/>
  <c r="M82" i="104" s="1"/>
  <c r="J83" i="104" s="1"/>
  <c r="R80" i="104"/>
  <c r="R81" i="104" s="1"/>
  <c r="R82" i="104" s="1"/>
  <c r="R83" i="104" s="1"/>
  <c r="R84" i="104" s="1"/>
  <c r="R85" i="104" s="1"/>
  <c r="R86" i="104" s="1"/>
  <c r="R87" i="104" s="1"/>
  <c r="R88" i="104" s="1"/>
  <c r="R89" i="104" s="1"/>
  <c r="R90" i="104" s="1"/>
  <c r="R91" i="104" s="1"/>
  <c r="R92" i="104" s="1"/>
  <c r="R93" i="104" s="1"/>
  <c r="R94" i="104" s="1"/>
  <c r="R95" i="104" s="1"/>
  <c r="R96" i="104" s="1"/>
  <c r="R97" i="104" s="1"/>
  <c r="R98" i="104" s="1"/>
  <c r="R99" i="104" s="1"/>
  <c r="R100" i="104" s="1"/>
  <c r="R101" i="104" s="1"/>
  <c r="R102" i="104" s="1"/>
  <c r="R103" i="104" s="1"/>
  <c r="R104" i="104" s="1"/>
  <c r="R105" i="104" s="1"/>
  <c r="R106" i="104" s="1"/>
  <c r="R107" i="104" s="1"/>
  <c r="R108" i="104" s="1"/>
  <c r="R109" i="104" s="1"/>
  <c r="R110" i="104" s="1"/>
  <c r="R111" i="104" s="1"/>
  <c r="R112" i="104" s="1"/>
  <c r="R113" i="104" s="1"/>
  <c r="R114" i="104" s="1"/>
  <c r="R115" i="104" s="1"/>
  <c r="R116" i="104" s="1"/>
  <c r="R117" i="104" s="1"/>
  <c r="R118" i="104" s="1"/>
  <c r="R119" i="104" s="1"/>
  <c r="R120" i="104" s="1"/>
  <c r="R121" i="104" s="1"/>
  <c r="R122" i="104" s="1"/>
  <c r="R123" i="104" s="1"/>
  <c r="R124" i="104" s="1"/>
  <c r="R125" i="104" s="1"/>
  <c r="R126" i="104" s="1"/>
  <c r="R127" i="104"/>
  <c r="AB7" i="103"/>
  <c r="V7" i="103" s="1"/>
  <c r="AB23" i="103"/>
  <c r="V23" i="103" s="1"/>
  <c r="AB34" i="103"/>
  <c r="V34" i="103" s="1"/>
  <c r="AA8" i="103"/>
  <c r="AB8" i="103" s="1"/>
  <c r="V8" i="103" s="1"/>
  <c r="AB27" i="103"/>
  <c r="V27" i="103" s="1"/>
  <c r="AA36" i="103"/>
  <c r="AB36" i="103" s="1"/>
  <c r="V36" i="103" s="1"/>
  <c r="T36" i="103"/>
  <c r="T54" i="103"/>
  <c r="AA54" i="103"/>
  <c r="AB54" i="103" s="1"/>
  <c r="V54" i="103" s="1"/>
  <c r="O9" i="95"/>
  <c r="AE8" i="95"/>
  <c r="Z125" i="96"/>
  <c r="Z120" i="96"/>
  <c r="AA120" i="96" s="1"/>
  <c r="AB120" i="96" s="1"/>
  <c r="V120" i="96" s="1"/>
  <c r="Z118" i="96"/>
  <c r="AA118" i="96" s="1"/>
  <c r="AB118" i="96" s="1"/>
  <c r="V118" i="96" s="1"/>
  <c r="Z89" i="96"/>
  <c r="AA89" i="96" s="1"/>
  <c r="AB89" i="96" s="1"/>
  <c r="V89" i="96" s="1"/>
  <c r="C90" i="96"/>
  <c r="E90" i="96" s="1"/>
  <c r="Z106" i="96"/>
  <c r="AA106" i="96" s="1"/>
  <c r="AB106" i="96" s="1"/>
  <c r="V106" i="96" s="1"/>
  <c r="Z54" i="96"/>
  <c r="AA54" i="96" s="1"/>
  <c r="AB54" i="96" s="1"/>
  <c r="V54" i="96" s="1"/>
  <c r="Z58" i="96"/>
  <c r="AA58" i="96" s="1"/>
  <c r="AB58" i="96" s="1"/>
  <c r="V58" i="96" s="1"/>
  <c r="Z52" i="96"/>
  <c r="Z30" i="96"/>
  <c r="AA30" i="96" s="1"/>
  <c r="AB30" i="96" s="1"/>
  <c r="V30" i="96" s="1"/>
  <c r="Z43" i="96"/>
  <c r="AA43" i="96" s="1"/>
  <c r="AB43" i="96" s="1"/>
  <c r="V43" i="96" s="1"/>
  <c r="C22" i="96"/>
  <c r="E22" i="96" s="1"/>
  <c r="Z62" i="96"/>
  <c r="AA62" i="96" s="1"/>
  <c r="AB62" i="96" s="1"/>
  <c r="V62" i="96" s="1"/>
  <c r="Z9" i="96"/>
  <c r="AA9" i="96" s="1"/>
  <c r="AB9" i="96" s="1"/>
  <c r="V9" i="96" s="1"/>
  <c r="Z15" i="96"/>
  <c r="AA15" i="96" s="1"/>
  <c r="AB15" i="96" s="1"/>
  <c r="V15" i="96" s="1"/>
  <c r="Z11" i="96"/>
  <c r="AA11" i="96" s="1"/>
  <c r="Z116" i="96"/>
  <c r="AA116" i="96" s="1"/>
  <c r="AB116" i="96" s="1"/>
  <c r="V116" i="96" s="1"/>
  <c r="Z107" i="96"/>
  <c r="AA107" i="96" s="1"/>
  <c r="AB107" i="96" s="1"/>
  <c r="V107" i="96" s="1"/>
  <c r="Z83" i="96"/>
  <c r="AA83" i="96" s="1"/>
  <c r="AB83" i="96" s="1"/>
  <c r="V83" i="96" s="1"/>
  <c r="Z88" i="96"/>
  <c r="AA88" i="96" s="1"/>
  <c r="AB88" i="96" s="1"/>
  <c r="V88" i="96" s="1"/>
  <c r="Z103" i="96"/>
  <c r="AA103" i="96" s="1"/>
  <c r="AB103" i="96" s="1"/>
  <c r="V103" i="96" s="1"/>
  <c r="Z53" i="96"/>
  <c r="AA53" i="96" s="1"/>
  <c r="AB53" i="96" s="1"/>
  <c r="V53" i="96" s="1"/>
  <c r="Z50" i="96"/>
  <c r="AA50" i="96" s="1"/>
  <c r="AB50" i="96" s="1"/>
  <c r="V50" i="96" s="1"/>
  <c r="Z44" i="96"/>
  <c r="Z29" i="96"/>
  <c r="AA29" i="96" s="1"/>
  <c r="AB29" i="96" s="1"/>
  <c r="V29" i="96" s="1"/>
  <c r="Z41" i="96"/>
  <c r="AA41" i="96" s="1"/>
  <c r="AB41" i="96" s="1"/>
  <c r="V41" i="96" s="1"/>
  <c r="C21" i="96"/>
  <c r="E21" i="96" s="1"/>
  <c r="Z35" i="96"/>
  <c r="AA35" i="96" s="1"/>
  <c r="AB35" i="96" s="1"/>
  <c r="V35" i="96" s="1"/>
  <c r="Z114" i="96"/>
  <c r="AA114" i="96" s="1"/>
  <c r="AB114" i="96" s="1"/>
  <c r="V114" i="96" s="1"/>
  <c r="Z115" i="96"/>
  <c r="AA115" i="96" s="1"/>
  <c r="AB115" i="96" s="1"/>
  <c r="V115" i="96" s="1"/>
  <c r="Z82" i="96"/>
  <c r="AA82" i="96" s="1"/>
  <c r="AB82" i="96" s="1"/>
  <c r="V82" i="96" s="1"/>
  <c r="Z84" i="96"/>
  <c r="AA84" i="96" s="1"/>
  <c r="AB84" i="96" s="1"/>
  <c r="V84" i="96" s="1"/>
  <c r="Z122" i="96"/>
  <c r="AA122" i="96" s="1"/>
  <c r="AB122" i="96" s="1"/>
  <c r="V122" i="96" s="1"/>
  <c r="Z49" i="96"/>
  <c r="AA49" i="96" s="1"/>
  <c r="AB49" i="96" s="1"/>
  <c r="V49" i="96" s="1"/>
  <c r="Z46" i="96"/>
  <c r="AA46" i="96" s="1"/>
  <c r="AB46" i="96" s="1"/>
  <c r="V46" i="96" s="1"/>
  <c r="Z42" i="96"/>
  <c r="AA42" i="96" s="1"/>
  <c r="AB42" i="96" s="1"/>
  <c r="V42" i="96" s="1"/>
  <c r="Z28" i="96"/>
  <c r="AA28" i="96" s="1"/>
  <c r="AB28" i="96" s="1"/>
  <c r="V28" i="96" s="1"/>
  <c r="Z37" i="96"/>
  <c r="AA37" i="96" s="1"/>
  <c r="AB37" i="96" s="1"/>
  <c r="V37" i="96" s="1"/>
  <c r="C20" i="96"/>
  <c r="E20" i="96" s="1"/>
  <c r="Z86" i="96"/>
  <c r="AA86" i="96" s="1"/>
  <c r="AB86" i="96" s="1"/>
  <c r="V86" i="96" s="1"/>
  <c r="Z8" i="96"/>
  <c r="AA8" i="96" s="1"/>
  <c r="AB8" i="96" s="1"/>
  <c r="V8" i="96" s="1"/>
  <c r="Z39" i="96"/>
  <c r="AA39" i="96" s="1"/>
  <c r="AB39" i="96" s="1"/>
  <c r="V39" i="96" s="1"/>
  <c r="Z19" i="96"/>
  <c r="AA19" i="96" s="1"/>
  <c r="AB19" i="96" s="1"/>
  <c r="V19" i="96" s="1"/>
  <c r="Z104" i="96"/>
  <c r="AA104" i="96" s="1"/>
  <c r="AB104" i="96" s="1"/>
  <c r="V104" i="96" s="1"/>
  <c r="Z90" i="96"/>
  <c r="AA90" i="96" s="1"/>
  <c r="AB90" i="96" s="1"/>
  <c r="V90" i="96" s="1"/>
  <c r="Z111" i="96"/>
  <c r="AA111" i="96" s="1"/>
  <c r="AB111" i="96" s="1"/>
  <c r="V111" i="96" s="1"/>
  <c r="Z63" i="96"/>
  <c r="AA63" i="96" s="1"/>
  <c r="AB63" i="96" s="1"/>
  <c r="V63" i="96" s="1"/>
  <c r="Z31" i="96"/>
  <c r="AA31" i="96" s="1"/>
  <c r="AB31" i="96" s="1"/>
  <c r="V31" i="96" s="1"/>
  <c r="Z66" i="96"/>
  <c r="AA66" i="96" s="1"/>
  <c r="AB66" i="96" s="1"/>
  <c r="V66" i="96" s="1"/>
  <c r="Z34" i="96"/>
  <c r="AA34" i="96" s="1"/>
  <c r="AB34" i="96" s="1"/>
  <c r="V34" i="96" s="1"/>
  <c r="Z48" i="96"/>
  <c r="AA48" i="96" s="1"/>
  <c r="AB48" i="96" s="1"/>
  <c r="V48" i="96" s="1"/>
  <c r="Z121" i="96"/>
  <c r="AA121" i="96" s="1"/>
  <c r="AB121" i="96" s="1"/>
  <c r="V121" i="96" s="1"/>
  <c r="Z112" i="96"/>
  <c r="AA112" i="96" s="1"/>
  <c r="AB112" i="96" s="1"/>
  <c r="V112" i="96" s="1"/>
  <c r="Z105" i="96"/>
  <c r="AA105" i="96" s="1"/>
  <c r="AB105" i="96" s="1"/>
  <c r="V105" i="96" s="1"/>
  <c r="Z99" i="96"/>
  <c r="AA99" i="96" s="1"/>
  <c r="AB99" i="96" s="1"/>
  <c r="V99" i="96" s="1"/>
  <c r="Z81" i="96"/>
  <c r="AA81" i="96" s="1"/>
  <c r="AB81" i="96" s="1"/>
  <c r="V81" i="96" s="1"/>
  <c r="C92" i="96"/>
  <c r="E92" i="96" s="1"/>
  <c r="Z45" i="96"/>
  <c r="AA45" i="96" s="1"/>
  <c r="AB45" i="96" s="1"/>
  <c r="V45" i="96" s="1"/>
  <c r="Z110" i="96"/>
  <c r="AA110" i="96" s="1"/>
  <c r="AB110" i="96" s="1"/>
  <c r="V110" i="96" s="1"/>
  <c r="Z40" i="96"/>
  <c r="AA40" i="96" s="1"/>
  <c r="AB40" i="96" s="1"/>
  <c r="V40" i="96" s="1"/>
  <c r="Z26" i="96"/>
  <c r="AA26" i="96" s="1"/>
  <c r="AB26" i="96" s="1"/>
  <c r="V26" i="96" s="1"/>
  <c r="C19" i="96"/>
  <c r="E19" i="96" s="1"/>
  <c r="Z38" i="96"/>
  <c r="AA38" i="96" s="1"/>
  <c r="AB38" i="96" s="1"/>
  <c r="V38" i="96" s="1"/>
  <c r="Z24" i="96"/>
  <c r="AA24" i="96" s="1"/>
  <c r="AB24" i="96" s="1"/>
  <c r="V24" i="96" s="1"/>
  <c r="Z21" i="96"/>
  <c r="AA21" i="96" s="1"/>
  <c r="AB21" i="96" s="1"/>
  <c r="V21" i="96" s="1"/>
  <c r="Z102" i="96"/>
  <c r="AA102" i="96" s="1"/>
  <c r="AB102" i="96" s="1"/>
  <c r="V102" i="96" s="1"/>
  <c r="Z51" i="96"/>
  <c r="AA51" i="96" s="1"/>
  <c r="AB51" i="96" s="1"/>
  <c r="V51" i="96" s="1"/>
  <c r="C18" i="96"/>
  <c r="E18" i="96" s="1"/>
  <c r="Z7" i="96"/>
  <c r="AA7" i="96" s="1"/>
  <c r="AB7" i="96" s="1"/>
  <c r="V7" i="96" s="1"/>
  <c r="Z117" i="96"/>
  <c r="AA117" i="96" s="1"/>
  <c r="AB117" i="96" s="1"/>
  <c r="V117" i="96" s="1"/>
  <c r="Z126" i="96"/>
  <c r="AA126" i="96" s="1"/>
  <c r="AB126" i="96" s="1"/>
  <c r="V126" i="96" s="1"/>
  <c r="Z101" i="96"/>
  <c r="AA101" i="96" s="1"/>
  <c r="AB101" i="96" s="1"/>
  <c r="V101" i="96" s="1"/>
  <c r="Z98" i="96"/>
  <c r="AA98" i="96" s="1"/>
  <c r="AB98" i="96" s="1"/>
  <c r="V98" i="96" s="1"/>
  <c r="Z80" i="96"/>
  <c r="AA80" i="96" s="1"/>
  <c r="Z65" i="96"/>
  <c r="AA65" i="96" s="1"/>
  <c r="AB65" i="96" s="1"/>
  <c r="V65" i="96" s="1"/>
  <c r="Z108" i="96"/>
  <c r="AA108" i="96" s="1"/>
  <c r="AB108" i="96" s="1"/>
  <c r="V108" i="96" s="1"/>
  <c r="Z100" i="96"/>
  <c r="AA100" i="96" s="1"/>
  <c r="AB100" i="96" s="1"/>
  <c r="V100" i="96" s="1"/>
  <c r="Z36" i="96"/>
  <c r="AA36" i="96" s="1"/>
  <c r="AB36" i="96" s="1"/>
  <c r="V36" i="96" s="1"/>
  <c r="Z64" i="96"/>
  <c r="AA64" i="96" s="1"/>
  <c r="AB64" i="96" s="1"/>
  <c r="V64" i="96" s="1"/>
  <c r="Z17" i="96"/>
  <c r="AA17" i="96" s="1"/>
  <c r="AB17" i="96" s="1"/>
  <c r="V17" i="96" s="1"/>
  <c r="Z25" i="96"/>
  <c r="AA25" i="96" s="1"/>
  <c r="AB25" i="96" s="1"/>
  <c r="V25" i="96" s="1"/>
  <c r="Z22" i="96"/>
  <c r="AA22" i="96" s="1"/>
  <c r="AB22" i="96" s="1"/>
  <c r="V22" i="96" s="1"/>
  <c r="Z16" i="96"/>
  <c r="AA16" i="96" s="1"/>
  <c r="AB16" i="96" s="1"/>
  <c r="V16" i="96" s="1"/>
  <c r="C93" i="96"/>
  <c r="E93" i="96" s="1"/>
  <c r="Z124" i="96"/>
  <c r="AA124" i="96" s="1"/>
  <c r="AB124" i="96" s="1"/>
  <c r="V124" i="96" s="1"/>
  <c r="Z55" i="96"/>
  <c r="AA55" i="96" s="1"/>
  <c r="AB55" i="96" s="1"/>
  <c r="V55" i="96" s="1"/>
  <c r="Z23" i="96"/>
  <c r="AA23" i="96" s="1"/>
  <c r="AB23" i="96" s="1"/>
  <c r="V23" i="96" s="1"/>
  <c r="Z113" i="96"/>
  <c r="Z119" i="96"/>
  <c r="AA119" i="96" s="1"/>
  <c r="AB119" i="96" s="1"/>
  <c r="V119" i="96" s="1"/>
  <c r="Z95" i="96"/>
  <c r="AA95" i="96" s="1"/>
  <c r="AB95" i="96" s="1"/>
  <c r="V95" i="96" s="1"/>
  <c r="Z94" i="96"/>
  <c r="AA94" i="96" s="1"/>
  <c r="AB94" i="96" s="1"/>
  <c r="V94" i="96" s="1"/>
  <c r="Z79" i="96"/>
  <c r="AA79" i="96" s="1"/>
  <c r="AB79" i="96" s="1"/>
  <c r="V79" i="96" s="1"/>
  <c r="Z57" i="96"/>
  <c r="AA57" i="96" s="1"/>
  <c r="AB57" i="96" s="1"/>
  <c r="V57" i="96" s="1"/>
  <c r="Z93" i="96"/>
  <c r="AA93" i="96" s="1"/>
  <c r="AB93" i="96" s="1"/>
  <c r="V93" i="96" s="1"/>
  <c r="C94" i="96"/>
  <c r="E94" i="96" s="1"/>
  <c r="Z33" i="96"/>
  <c r="AA33" i="96" s="1"/>
  <c r="AB33" i="96" s="1"/>
  <c r="V33" i="96" s="1"/>
  <c r="Z61" i="96"/>
  <c r="AA61" i="96" s="1"/>
  <c r="AB61" i="96" s="1"/>
  <c r="V61" i="96" s="1"/>
  <c r="Z97" i="96"/>
  <c r="AA97" i="96" s="1"/>
  <c r="AB97" i="96" s="1"/>
  <c r="V97" i="96" s="1"/>
  <c r="Z13" i="96"/>
  <c r="AA13" i="96" s="1"/>
  <c r="AB13" i="96" s="1"/>
  <c r="V13" i="96" s="1"/>
  <c r="Z20" i="96"/>
  <c r="AA20" i="96" s="1"/>
  <c r="AB20" i="96" s="1"/>
  <c r="V20" i="96" s="1"/>
  <c r="Z14" i="96"/>
  <c r="AA14" i="96" s="1"/>
  <c r="AB14" i="96" s="1"/>
  <c r="V14" i="96" s="1"/>
  <c r="Z109" i="96"/>
  <c r="AA109" i="96" s="1"/>
  <c r="AB109" i="96" s="1"/>
  <c r="V109" i="96" s="1"/>
  <c r="Z92" i="96"/>
  <c r="AA92" i="96" s="1"/>
  <c r="AB92" i="96" s="1"/>
  <c r="V92" i="96" s="1"/>
  <c r="Z123" i="96"/>
  <c r="AA123" i="96" s="1"/>
  <c r="AB123" i="96" s="1"/>
  <c r="V123" i="96" s="1"/>
  <c r="Z56" i="96"/>
  <c r="AA56" i="96" s="1"/>
  <c r="AB56" i="96" s="1"/>
  <c r="V56" i="96" s="1"/>
  <c r="Z87" i="96"/>
  <c r="AA87" i="96" s="1"/>
  <c r="AB87" i="96" s="1"/>
  <c r="V87" i="96" s="1"/>
  <c r="Z85" i="96"/>
  <c r="AA85" i="96" s="1"/>
  <c r="AB85" i="96" s="1"/>
  <c r="V85" i="96" s="1"/>
  <c r="Z32" i="96"/>
  <c r="AA32" i="96" s="1"/>
  <c r="AB32" i="96" s="1"/>
  <c r="V32" i="96" s="1"/>
  <c r="Z59" i="96"/>
  <c r="AA59" i="96" s="1"/>
  <c r="AB59" i="96" s="1"/>
  <c r="V59" i="96" s="1"/>
  <c r="Z27" i="96"/>
  <c r="AA27" i="96" s="1"/>
  <c r="AB27" i="96" s="1"/>
  <c r="V27" i="96" s="1"/>
  <c r="Z91" i="96"/>
  <c r="AA91" i="96" s="1"/>
  <c r="AB91" i="96" s="1"/>
  <c r="V91" i="96" s="1"/>
  <c r="Z12" i="96"/>
  <c r="AA12" i="96" s="1"/>
  <c r="AB12" i="96" s="1"/>
  <c r="V12" i="96" s="1"/>
  <c r="Z18" i="96"/>
  <c r="AA18" i="96" s="1"/>
  <c r="AB18" i="96" s="1"/>
  <c r="V18" i="96" s="1"/>
  <c r="Z96" i="96"/>
  <c r="AA96" i="96" s="1"/>
  <c r="AB96" i="96" s="1"/>
  <c r="V96" i="96" s="1"/>
  <c r="C91" i="96"/>
  <c r="E91" i="96" s="1"/>
  <c r="Z60" i="96"/>
  <c r="AA60" i="96" s="1"/>
  <c r="AB60" i="96" s="1"/>
  <c r="V60" i="96" s="1"/>
  <c r="Z10" i="96"/>
  <c r="AA10" i="96" s="1"/>
  <c r="AB10" i="96" s="1"/>
  <c r="V10" i="96" s="1"/>
  <c r="Z47" i="96"/>
  <c r="AA47" i="96" s="1"/>
  <c r="AB47" i="96" s="1"/>
  <c r="V47" i="96" s="1"/>
  <c r="F28" i="96"/>
  <c r="G28" i="96" s="1"/>
  <c r="D13" i="95"/>
  <c r="D14" i="95" s="1"/>
  <c r="N35" i="23" s="1"/>
  <c r="AA52" i="96"/>
  <c r="AB52" i="96" s="1"/>
  <c r="V52" i="96" s="1"/>
  <c r="G27" i="96"/>
  <c r="T108" i="96"/>
  <c r="T127" i="96" s="1"/>
  <c r="T129" i="96" s="1"/>
  <c r="T126" i="96"/>
  <c r="S68" i="96"/>
  <c r="S72" i="96"/>
  <c r="F31" i="96"/>
  <c r="G31" i="96"/>
  <c r="AA125" i="96"/>
  <c r="AB125" i="96" s="1"/>
  <c r="V125" i="96" s="1"/>
  <c r="F33" i="96"/>
  <c r="G33" i="96"/>
  <c r="S80" i="96"/>
  <c r="S81" i="96" s="1"/>
  <c r="S82" i="96" s="1"/>
  <c r="S83" i="96" s="1"/>
  <c r="S84" i="96" s="1"/>
  <c r="S85" i="96" s="1"/>
  <c r="S86" i="96" s="1"/>
  <c r="S87" i="96" s="1"/>
  <c r="S88" i="96" s="1"/>
  <c r="S89" i="96" s="1"/>
  <c r="S90" i="96" s="1"/>
  <c r="S91" i="96" s="1"/>
  <c r="S92" i="96" s="1"/>
  <c r="S93" i="96" s="1"/>
  <c r="S94" i="96" s="1"/>
  <c r="S95" i="96" s="1"/>
  <c r="S96" i="96" s="1"/>
  <c r="S97" i="96" s="1"/>
  <c r="S98" i="96" s="1"/>
  <c r="S99" i="96" s="1"/>
  <c r="S100" i="96" s="1"/>
  <c r="S101" i="96" s="1"/>
  <c r="S102" i="96" s="1"/>
  <c r="S103" i="96" s="1"/>
  <c r="S104" i="96" s="1"/>
  <c r="S105" i="96" s="1"/>
  <c r="S106" i="96" s="1"/>
  <c r="S107" i="96" s="1"/>
  <c r="S108" i="96" s="1"/>
  <c r="S109" i="96" s="1"/>
  <c r="S110" i="96" s="1"/>
  <c r="S111" i="96" s="1"/>
  <c r="S112" i="96" s="1"/>
  <c r="S113" i="96" s="1"/>
  <c r="S114" i="96" s="1"/>
  <c r="S115" i="96" s="1"/>
  <c r="S116" i="96" s="1"/>
  <c r="S117" i="96" s="1"/>
  <c r="S118" i="96" s="1"/>
  <c r="S119" i="96" s="1"/>
  <c r="S120" i="96" s="1"/>
  <c r="S121" i="96" s="1"/>
  <c r="S122" i="96" s="1"/>
  <c r="S123" i="96" s="1"/>
  <c r="S124" i="96" s="1"/>
  <c r="S125" i="96" s="1"/>
  <c r="S126" i="96" s="1"/>
  <c r="C101" i="96"/>
  <c r="T72" i="96"/>
  <c r="F32" i="96"/>
  <c r="G32" i="96"/>
  <c r="T68" i="96"/>
  <c r="D27" i="95"/>
  <c r="D28" i="95" s="1"/>
  <c r="C29" i="95"/>
  <c r="Q31" i="23"/>
  <c r="A7" i="23"/>
  <c r="A9" i="23"/>
  <c r="A10" i="23"/>
  <c r="A12" i="23"/>
  <c r="A13" i="23"/>
  <c r="A14" i="23"/>
  <c r="A15" i="23"/>
  <c r="A16" i="23"/>
  <c r="A17" i="23"/>
  <c r="A18" i="23"/>
  <c r="A19" i="23"/>
  <c r="A6" i="23"/>
  <c r="H10" i="71"/>
  <c r="H10" i="63"/>
  <c r="H8" i="63"/>
  <c r="H8" i="71"/>
  <c r="H10" i="72"/>
  <c r="H8" i="72"/>
  <c r="H10" i="84"/>
  <c r="H8" i="84"/>
  <c r="H10" i="67"/>
  <c r="H8" i="67"/>
  <c r="H10" i="80"/>
  <c r="H8" i="80"/>
  <c r="H10" i="85"/>
  <c r="H8" i="85"/>
  <c r="H10" i="76"/>
  <c r="H8" i="76"/>
  <c r="H10" i="78"/>
  <c r="H8" i="78"/>
  <c r="H10" i="82"/>
  <c r="H8" i="82"/>
  <c r="E7" i="23"/>
  <c r="E9" i="23"/>
  <c r="H9" i="76" s="1"/>
  <c r="E10" i="23"/>
  <c r="E12" i="23"/>
  <c r="H9" i="80" s="1"/>
  <c r="E13" i="23"/>
  <c r="H9" i="67" s="1"/>
  <c r="E14" i="23"/>
  <c r="H9" i="84" s="1"/>
  <c r="E15" i="23"/>
  <c r="E16" i="23"/>
  <c r="E17" i="23"/>
  <c r="H9" i="72" s="1"/>
  <c r="E18" i="23"/>
  <c r="H9" i="71" s="1"/>
  <c r="H9" i="63"/>
  <c r="E20" i="23"/>
  <c r="I20" i="23" s="1"/>
  <c r="M20" i="23" s="1"/>
  <c r="N20" i="23" s="1"/>
  <c r="E21" i="23"/>
  <c r="I21" i="23" s="1"/>
  <c r="M21" i="23" s="1"/>
  <c r="N21" i="23" s="1"/>
  <c r="E22" i="23"/>
  <c r="I22" i="23" s="1"/>
  <c r="M22" i="23" s="1"/>
  <c r="N22" i="23" s="1"/>
  <c r="E23" i="23"/>
  <c r="I23" i="23" s="1"/>
  <c r="M23" i="23" s="1"/>
  <c r="N23" i="23" s="1"/>
  <c r="E24" i="23"/>
  <c r="I24" i="23" s="1"/>
  <c r="M24" i="23" s="1"/>
  <c r="N24" i="23" s="1"/>
  <c r="E25" i="23"/>
  <c r="I25" i="23" s="1"/>
  <c r="M25" i="23" s="1"/>
  <c r="N25" i="23" s="1"/>
  <c r="E26" i="23"/>
  <c r="I26" i="23" s="1"/>
  <c r="M26" i="23" s="1"/>
  <c r="N26" i="23" s="1"/>
  <c r="E27" i="23"/>
  <c r="I27" i="23" s="1"/>
  <c r="M27" i="23" s="1"/>
  <c r="N27" i="23" s="1"/>
  <c r="E28" i="23"/>
  <c r="I28" i="23" s="1"/>
  <c r="M28" i="23" s="1"/>
  <c r="N28" i="23" s="1"/>
  <c r="E29" i="23"/>
  <c r="I29" i="23" s="1"/>
  <c r="M29" i="23" s="1"/>
  <c r="N29" i="23" s="1"/>
  <c r="E6" i="23"/>
  <c r="Z33" i="23"/>
  <c r="Y33" i="23"/>
  <c r="Q4" i="72"/>
  <c r="Q4" i="84"/>
  <c r="P7" i="84" s="1"/>
  <c r="P8" i="84" s="1"/>
  <c r="P9" i="84" s="1"/>
  <c r="P10" i="84" s="1"/>
  <c r="P11" i="84" s="1"/>
  <c r="P12" i="84" s="1"/>
  <c r="P13" i="84" s="1"/>
  <c r="P14" i="84" s="1"/>
  <c r="P15" i="84" s="1"/>
  <c r="P16" i="84" s="1"/>
  <c r="P17" i="84" s="1"/>
  <c r="P18" i="84" s="1"/>
  <c r="P19" i="84" s="1"/>
  <c r="P20" i="84" s="1"/>
  <c r="P21" i="84" s="1"/>
  <c r="P22" i="84" s="1"/>
  <c r="P23" i="84" s="1"/>
  <c r="P24" i="84" s="1"/>
  <c r="P25" i="84" s="1"/>
  <c r="P26" i="84" s="1"/>
  <c r="P27" i="84" s="1"/>
  <c r="P28" i="84" s="1"/>
  <c r="P29" i="84" s="1"/>
  <c r="P30" i="84" s="1"/>
  <c r="P31" i="84" s="1"/>
  <c r="P32" i="84" s="1"/>
  <c r="P33" i="84" s="1"/>
  <c r="P34" i="84" s="1"/>
  <c r="P35" i="84" s="1"/>
  <c r="P36" i="84" s="1"/>
  <c r="P37" i="84" s="1"/>
  <c r="P38" i="84" s="1"/>
  <c r="P39" i="84" s="1"/>
  <c r="P40" i="84" s="1"/>
  <c r="P41" i="84" s="1"/>
  <c r="P42" i="84" s="1"/>
  <c r="P43" i="84" s="1"/>
  <c r="P44" i="84" s="1"/>
  <c r="P45" i="84" s="1"/>
  <c r="P46" i="84" s="1"/>
  <c r="P47" i="84" s="1"/>
  <c r="P48" i="84" s="1"/>
  <c r="P49" i="84" s="1"/>
  <c r="P50" i="84" s="1"/>
  <c r="P51" i="84" s="1"/>
  <c r="P52" i="84" s="1"/>
  <c r="P53" i="84" s="1"/>
  <c r="P54" i="84" s="1"/>
  <c r="P55" i="84" s="1"/>
  <c r="P56" i="84" s="1"/>
  <c r="P57" i="84" s="1"/>
  <c r="P58" i="84" s="1"/>
  <c r="P59" i="84" s="1"/>
  <c r="P60" i="84" s="1"/>
  <c r="P61" i="84" s="1"/>
  <c r="P62" i="84" s="1"/>
  <c r="P63" i="84" s="1"/>
  <c r="P64" i="84" s="1"/>
  <c r="P65" i="84" s="1"/>
  <c r="P66" i="84" s="1"/>
  <c r="AB7" i="23"/>
  <c r="AB8" i="23" s="1"/>
  <c r="AC8" i="23" s="1"/>
  <c r="C33" i="63"/>
  <c r="C32" i="63"/>
  <c r="C31" i="63"/>
  <c r="E27" i="63"/>
  <c r="E28" i="63" s="1"/>
  <c r="C14" i="63"/>
  <c r="C13" i="63"/>
  <c r="C12" i="63"/>
  <c r="C11" i="63"/>
  <c r="C28" i="63" s="1"/>
  <c r="C10" i="63"/>
  <c r="C9" i="63"/>
  <c r="C30" i="63" s="1"/>
  <c r="C8" i="63"/>
  <c r="C29" i="63" s="1"/>
  <c r="F9" i="63"/>
  <c r="F8" i="63"/>
  <c r="F7" i="63"/>
  <c r="D27" i="63" s="1"/>
  <c r="C33" i="71"/>
  <c r="C32" i="71"/>
  <c r="C31" i="71"/>
  <c r="E27" i="71"/>
  <c r="E28" i="71" s="1"/>
  <c r="C13" i="71"/>
  <c r="C12" i="71"/>
  <c r="C11" i="71"/>
  <c r="C28" i="71" s="1"/>
  <c r="C10" i="71"/>
  <c r="C9" i="71"/>
  <c r="C30" i="71" s="1"/>
  <c r="C8" i="71"/>
  <c r="C29" i="71" s="1"/>
  <c r="F9" i="71"/>
  <c r="F8" i="71"/>
  <c r="F7" i="71"/>
  <c r="D27" i="71" s="1"/>
  <c r="C33" i="72"/>
  <c r="C32" i="72"/>
  <c r="C31" i="72"/>
  <c r="E27" i="72"/>
  <c r="E28" i="72" s="1"/>
  <c r="F8" i="72"/>
  <c r="AF28" i="23"/>
  <c r="AF27" i="23"/>
  <c r="AF26" i="23"/>
  <c r="AF25" i="23"/>
  <c r="AF24" i="23"/>
  <c r="AF23" i="23"/>
  <c r="AF22" i="23"/>
  <c r="AF21" i="23"/>
  <c r="AF20" i="23"/>
  <c r="AF19" i="23"/>
  <c r="AF18" i="23"/>
  <c r="AF17" i="23"/>
  <c r="AF16" i="23"/>
  <c r="Y16" i="23"/>
  <c r="Z16" i="23" s="1"/>
  <c r="Y18" i="23"/>
  <c r="Z18" i="23" s="1"/>
  <c r="Y19" i="23"/>
  <c r="Z19" i="23" s="1"/>
  <c r="AF15" i="23"/>
  <c r="Y15" i="23"/>
  <c r="Z15" i="23" s="1"/>
  <c r="AF14" i="23"/>
  <c r="C101" i="84"/>
  <c r="C100" i="84"/>
  <c r="C99" i="84"/>
  <c r="E28" i="84"/>
  <c r="C81" i="84"/>
  <c r="Q72" i="84" s="1"/>
  <c r="P75" i="84" s="1"/>
  <c r="C28" i="84"/>
  <c r="C30" i="84"/>
  <c r="C29" i="84"/>
  <c r="F77" i="84"/>
  <c r="D27" i="84"/>
  <c r="Y14" i="23"/>
  <c r="Z14" i="23" s="1"/>
  <c r="E28" i="67"/>
  <c r="C28" i="67"/>
  <c r="C30" i="67"/>
  <c r="C29" i="67"/>
  <c r="D27" i="67"/>
  <c r="Y12" i="23"/>
  <c r="Z12" i="23" s="1"/>
  <c r="Y13" i="23"/>
  <c r="Z13" i="23" s="1"/>
  <c r="E28" i="80"/>
  <c r="C105" i="85"/>
  <c r="C103" i="85"/>
  <c r="C104" i="85"/>
  <c r="C101" i="80"/>
  <c r="C100" i="80"/>
  <c r="C99" i="80"/>
  <c r="C81" i="80"/>
  <c r="Q72" i="80" s="1"/>
  <c r="P75" i="80" s="1"/>
  <c r="C28" i="80"/>
  <c r="C78" i="80"/>
  <c r="C30" i="80"/>
  <c r="C76" i="80"/>
  <c r="E28" i="85"/>
  <c r="C86" i="85"/>
  <c r="C84" i="85"/>
  <c r="C30" i="85"/>
  <c r="C29" i="85"/>
  <c r="F77" i="80"/>
  <c r="D27" i="80"/>
  <c r="AF12" i="23"/>
  <c r="AF13" i="23"/>
  <c r="E28" i="78"/>
  <c r="AF7" i="23"/>
  <c r="AF9" i="23"/>
  <c r="AF10" i="23"/>
  <c r="AF6" i="23"/>
  <c r="E27" i="82"/>
  <c r="E28" i="82" s="1"/>
  <c r="D27" i="76"/>
  <c r="Y7" i="23"/>
  <c r="Z7" i="23" s="1"/>
  <c r="Y9" i="23"/>
  <c r="Z9" i="23" s="1"/>
  <c r="Y10" i="23"/>
  <c r="Z10" i="23" s="1"/>
  <c r="C105" i="78"/>
  <c r="C104" i="78"/>
  <c r="C103" i="78"/>
  <c r="C86" i="78"/>
  <c r="C83" i="78"/>
  <c r="C100" i="78" s="1"/>
  <c r="C82" i="78"/>
  <c r="C80" i="78"/>
  <c r="C33" i="82"/>
  <c r="C32" i="82"/>
  <c r="C31" i="82"/>
  <c r="Y6" i="23"/>
  <c r="Z6" i="23" s="1"/>
  <c r="C14" i="82"/>
  <c r="C13" i="82"/>
  <c r="C12" i="82"/>
  <c r="C11" i="82"/>
  <c r="C28" i="82" s="1"/>
  <c r="C10" i="82"/>
  <c r="C9" i="82"/>
  <c r="C8" i="82"/>
  <c r="C29" i="82" s="1"/>
  <c r="G10" i="72"/>
  <c r="G10" i="71"/>
  <c r="G10" i="63"/>
  <c r="F10" i="95"/>
  <c r="AL45" i="23"/>
  <c r="F81" i="85"/>
  <c r="D27" i="85"/>
  <c r="A115" i="85"/>
  <c r="E100" i="85"/>
  <c r="A100" i="85"/>
  <c r="A101" i="85" s="1"/>
  <c r="A102" i="85" s="1"/>
  <c r="A103" i="85" s="1"/>
  <c r="A104" i="85" s="1"/>
  <c r="A105" i="85" s="1"/>
  <c r="A106" i="85" s="1"/>
  <c r="A107" i="85" s="1"/>
  <c r="A108" i="85" s="1"/>
  <c r="D91" i="85"/>
  <c r="D92" i="85" s="1"/>
  <c r="D93" i="85" s="1"/>
  <c r="D94" i="85" s="1"/>
  <c r="D95" i="85" s="1"/>
  <c r="E95" i="85" s="1"/>
  <c r="B91" i="85"/>
  <c r="B92" i="85" s="1"/>
  <c r="B93" i="85" s="1"/>
  <c r="B94" i="85" s="1"/>
  <c r="B95" i="85" s="1"/>
  <c r="A91" i="85"/>
  <c r="A92" i="85" s="1"/>
  <c r="A93" i="85" s="1"/>
  <c r="A94" i="85" s="1"/>
  <c r="A95" i="85" s="1"/>
  <c r="O80" i="85"/>
  <c r="O81" i="85" s="1"/>
  <c r="O82" i="85" s="1"/>
  <c r="O83" i="85" s="1"/>
  <c r="O84" i="85" s="1"/>
  <c r="O85" i="85" s="1"/>
  <c r="O86" i="85" s="1"/>
  <c r="O87" i="85" s="1"/>
  <c r="O88" i="85" s="1"/>
  <c r="O89" i="85" s="1"/>
  <c r="O90" i="85" s="1"/>
  <c r="O91" i="85" s="1"/>
  <c r="O92" i="85" s="1"/>
  <c r="O93" i="85" s="1"/>
  <c r="O94" i="85" s="1"/>
  <c r="O95" i="85" s="1"/>
  <c r="O96" i="85" s="1"/>
  <c r="O97" i="85" s="1"/>
  <c r="O98" i="85" s="1"/>
  <c r="O99" i="85" s="1"/>
  <c r="O100" i="85" s="1"/>
  <c r="O101" i="85" s="1"/>
  <c r="O102" i="85" s="1"/>
  <c r="O103" i="85" s="1"/>
  <c r="O104" i="85" s="1"/>
  <c r="O105" i="85" s="1"/>
  <c r="O106" i="85" s="1"/>
  <c r="O107" i="85" s="1"/>
  <c r="O108" i="85" s="1"/>
  <c r="O109" i="85" s="1"/>
  <c r="O110" i="85" s="1"/>
  <c r="O111" i="85" s="1"/>
  <c r="O112" i="85" s="1"/>
  <c r="O113" i="85" s="1"/>
  <c r="O114" i="85" s="1"/>
  <c r="O115" i="85" s="1"/>
  <c r="O116" i="85" s="1"/>
  <c r="O117" i="85" s="1"/>
  <c r="O118" i="85" s="1"/>
  <c r="O119" i="85" s="1"/>
  <c r="O120" i="85" s="1"/>
  <c r="O121" i="85" s="1"/>
  <c r="O122" i="85" s="1"/>
  <c r="O123" i="85" s="1"/>
  <c r="O124" i="85" s="1"/>
  <c r="O125" i="85" s="1"/>
  <c r="O126" i="85" s="1"/>
  <c r="I80" i="85"/>
  <c r="I81" i="85" s="1"/>
  <c r="I82" i="85" s="1"/>
  <c r="I83" i="85" s="1"/>
  <c r="I84" i="85" s="1"/>
  <c r="I85" i="85" s="1"/>
  <c r="I86" i="85" s="1"/>
  <c r="I87" i="85" s="1"/>
  <c r="I88" i="85" s="1"/>
  <c r="I89" i="85" s="1"/>
  <c r="I90" i="85" s="1"/>
  <c r="I91" i="85" s="1"/>
  <c r="I92" i="85" s="1"/>
  <c r="I93" i="85" s="1"/>
  <c r="I94" i="85" s="1"/>
  <c r="I95" i="85" s="1"/>
  <c r="I96" i="85" s="1"/>
  <c r="I97" i="85" s="1"/>
  <c r="I98" i="85" s="1"/>
  <c r="I99" i="85" s="1"/>
  <c r="I100" i="85" s="1"/>
  <c r="I101" i="85" s="1"/>
  <c r="I102" i="85" s="1"/>
  <c r="I103" i="85" s="1"/>
  <c r="I104" i="85" s="1"/>
  <c r="I105" i="85" s="1"/>
  <c r="I106" i="85" s="1"/>
  <c r="I107" i="85" s="1"/>
  <c r="I108" i="85" s="1"/>
  <c r="I109" i="85" s="1"/>
  <c r="I110" i="85" s="1"/>
  <c r="I111" i="85" s="1"/>
  <c r="I112" i="85" s="1"/>
  <c r="I113" i="85" s="1"/>
  <c r="I114" i="85" s="1"/>
  <c r="I115" i="85" s="1"/>
  <c r="I116" i="85" s="1"/>
  <c r="I117" i="85" s="1"/>
  <c r="I118" i="85" s="1"/>
  <c r="I119" i="85" s="1"/>
  <c r="I120" i="85" s="1"/>
  <c r="I121" i="85" s="1"/>
  <c r="I122" i="85" s="1"/>
  <c r="I123" i="85" s="1"/>
  <c r="I124" i="85" s="1"/>
  <c r="I125" i="85" s="1"/>
  <c r="I126" i="85" s="1"/>
  <c r="A80" i="85"/>
  <c r="A81" i="85" s="1"/>
  <c r="A82" i="85" s="1"/>
  <c r="A83" i="85" s="1"/>
  <c r="A84" i="85" s="1"/>
  <c r="A85" i="85" s="1"/>
  <c r="A86" i="85" s="1"/>
  <c r="P79" i="85"/>
  <c r="A75" i="85"/>
  <c r="T66" i="85"/>
  <c r="T65" i="85"/>
  <c r="T64" i="85"/>
  <c r="T63" i="85"/>
  <c r="T62" i="85"/>
  <c r="T61" i="85"/>
  <c r="T57" i="85"/>
  <c r="T56" i="85"/>
  <c r="A43" i="85"/>
  <c r="A28" i="85"/>
  <c r="A29" i="85" s="1"/>
  <c r="A30" i="85" s="1"/>
  <c r="A31" i="85" s="1"/>
  <c r="A32" i="85" s="1"/>
  <c r="A33" i="85" s="1"/>
  <c r="A34" i="85" s="1"/>
  <c r="A35" i="85" s="1"/>
  <c r="A36" i="85" s="1"/>
  <c r="D19" i="85"/>
  <c r="D20" i="85" s="1"/>
  <c r="D21" i="85" s="1"/>
  <c r="D22" i="85" s="1"/>
  <c r="D23" i="85" s="1"/>
  <c r="E23" i="85" s="1"/>
  <c r="B19" i="85"/>
  <c r="B20" i="85" s="1"/>
  <c r="B21" i="85" s="1"/>
  <c r="B22" i="85" s="1"/>
  <c r="B23" i="85" s="1"/>
  <c r="A19" i="85"/>
  <c r="A20" i="85" s="1"/>
  <c r="A21" i="85" s="1"/>
  <c r="A22" i="85" s="1"/>
  <c r="A23" i="85" s="1"/>
  <c r="O8" i="85"/>
  <c r="O9" i="85" s="1"/>
  <c r="O10" i="85" s="1"/>
  <c r="O11" i="85" s="1"/>
  <c r="O12" i="85" s="1"/>
  <c r="O13" i="85" s="1"/>
  <c r="O14" i="85" s="1"/>
  <c r="O15" i="85" s="1"/>
  <c r="O16" i="85" s="1"/>
  <c r="O17" i="85" s="1"/>
  <c r="O18" i="85" s="1"/>
  <c r="O19" i="85" s="1"/>
  <c r="O20" i="85" s="1"/>
  <c r="O21" i="85" s="1"/>
  <c r="O22" i="85" s="1"/>
  <c r="O23" i="85" s="1"/>
  <c r="O24" i="85" s="1"/>
  <c r="O25" i="85" s="1"/>
  <c r="O26" i="85" s="1"/>
  <c r="O27" i="85" s="1"/>
  <c r="O28" i="85" s="1"/>
  <c r="O29" i="85" s="1"/>
  <c r="O30" i="85" s="1"/>
  <c r="O31" i="85" s="1"/>
  <c r="O32" i="85" s="1"/>
  <c r="O33" i="85" s="1"/>
  <c r="O34" i="85" s="1"/>
  <c r="O35" i="85" s="1"/>
  <c r="O36" i="85" s="1"/>
  <c r="O37" i="85" s="1"/>
  <c r="O38" i="85" s="1"/>
  <c r="O39" i="85" s="1"/>
  <c r="O40" i="85" s="1"/>
  <c r="O41" i="85" s="1"/>
  <c r="O42" i="85" s="1"/>
  <c r="O43" i="85" s="1"/>
  <c r="O44" i="85" s="1"/>
  <c r="O45" i="85" s="1"/>
  <c r="O46" i="85" s="1"/>
  <c r="O47" i="85" s="1"/>
  <c r="O48" i="85" s="1"/>
  <c r="O49" i="85" s="1"/>
  <c r="O50" i="85" s="1"/>
  <c r="O51" i="85" s="1"/>
  <c r="O52" i="85" s="1"/>
  <c r="O53" i="85" s="1"/>
  <c r="O54" i="85" s="1"/>
  <c r="O55" i="85" s="1"/>
  <c r="O56" i="85" s="1"/>
  <c r="O57" i="85" s="1"/>
  <c r="O58" i="85" s="1"/>
  <c r="O59" i="85" s="1"/>
  <c r="O60" i="85" s="1"/>
  <c r="O61" i="85" s="1"/>
  <c r="O62" i="85" s="1"/>
  <c r="O63" i="85" s="1"/>
  <c r="O64" i="85" s="1"/>
  <c r="O65" i="85" s="1"/>
  <c r="O66" i="85" s="1"/>
  <c r="I8" i="85"/>
  <c r="I9" i="85" s="1"/>
  <c r="I10" i="85" s="1"/>
  <c r="I11" i="85" s="1"/>
  <c r="I12" i="85" s="1"/>
  <c r="I13" i="85" s="1"/>
  <c r="I14" i="85" s="1"/>
  <c r="I15" i="85" s="1"/>
  <c r="I16" i="85" s="1"/>
  <c r="I17" i="85" s="1"/>
  <c r="I18" i="85" s="1"/>
  <c r="I19" i="85" s="1"/>
  <c r="I20" i="85" s="1"/>
  <c r="I21" i="85" s="1"/>
  <c r="I22" i="85" s="1"/>
  <c r="I23" i="85" s="1"/>
  <c r="I24" i="85" s="1"/>
  <c r="I25" i="85" s="1"/>
  <c r="I26" i="85" s="1"/>
  <c r="I27" i="85" s="1"/>
  <c r="I28" i="85" s="1"/>
  <c r="I29" i="85" s="1"/>
  <c r="I30" i="85" s="1"/>
  <c r="I31" i="85" s="1"/>
  <c r="I32" i="85" s="1"/>
  <c r="I33" i="85" s="1"/>
  <c r="I34" i="85" s="1"/>
  <c r="I35" i="85" s="1"/>
  <c r="I36" i="85" s="1"/>
  <c r="I37" i="85" s="1"/>
  <c r="I38" i="85" s="1"/>
  <c r="I39" i="85" s="1"/>
  <c r="I40" i="85" s="1"/>
  <c r="I41" i="85" s="1"/>
  <c r="I42" i="85" s="1"/>
  <c r="I43" i="85" s="1"/>
  <c r="I44" i="85" s="1"/>
  <c r="I45" i="85" s="1"/>
  <c r="I46" i="85" s="1"/>
  <c r="I47" i="85" s="1"/>
  <c r="I48" i="85" s="1"/>
  <c r="I49" i="85" s="1"/>
  <c r="I50" i="85" s="1"/>
  <c r="I51" i="85" s="1"/>
  <c r="I52" i="85" s="1"/>
  <c r="I53" i="85" s="1"/>
  <c r="I54" i="85" s="1"/>
  <c r="I55" i="85" s="1"/>
  <c r="I56" i="85" s="1"/>
  <c r="I57" i="85" s="1"/>
  <c r="I58" i="85" s="1"/>
  <c r="I59" i="85" s="1"/>
  <c r="I60" i="85" s="1"/>
  <c r="I61" i="85" s="1"/>
  <c r="I62" i="85" s="1"/>
  <c r="I63" i="85" s="1"/>
  <c r="I64" i="85" s="1"/>
  <c r="I65" i="85" s="1"/>
  <c r="I66" i="85" s="1"/>
  <c r="A8" i="85"/>
  <c r="A9" i="85" s="1"/>
  <c r="A10" i="85" s="1"/>
  <c r="A11" i="85" s="1"/>
  <c r="A12" i="85" s="1"/>
  <c r="A13" i="85" s="1"/>
  <c r="A14" i="85" s="1"/>
  <c r="R122" i="84"/>
  <c r="M122" i="84"/>
  <c r="R121" i="84"/>
  <c r="M121" i="84"/>
  <c r="R120" i="84"/>
  <c r="M120" i="84"/>
  <c r="R119" i="84"/>
  <c r="M119" i="84"/>
  <c r="R118" i="84"/>
  <c r="M118" i="84"/>
  <c r="R117" i="84"/>
  <c r="M117" i="84"/>
  <c r="R116" i="84"/>
  <c r="M116" i="84"/>
  <c r="R115" i="84"/>
  <c r="M115" i="84"/>
  <c r="R114" i="84"/>
  <c r="M114" i="84"/>
  <c r="R113" i="84"/>
  <c r="M113" i="84"/>
  <c r="R112" i="84"/>
  <c r="M112" i="84"/>
  <c r="R111" i="84"/>
  <c r="M111" i="84"/>
  <c r="A111" i="84"/>
  <c r="E96" i="84"/>
  <c r="A96" i="84"/>
  <c r="A97" i="84" s="1"/>
  <c r="A98" i="84" s="1"/>
  <c r="A99" i="84" s="1"/>
  <c r="A100" i="84" s="1"/>
  <c r="A101" i="84" s="1"/>
  <c r="A102" i="84" s="1"/>
  <c r="A103" i="84" s="1"/>
  <c r="A104" i="84" s="1"/>
  <c r="D87" i="84"/>
  <c r="D88" i="84" s="1"/>
  <c r="D89" i="84" s="1"/>
  <c r="D90" i="84" s="1"/>
  <c r="D91" i="84" s="1"/>
  <c r="E91" i="84" s="1"/>
  <c r="B87" i="84"/>
  <c r="B88" i="84" s="1"/>
  <c r="B89" i="84" s="1"/>
  <c r="B90" i="84" s="1"/>
  <c r="B91" i="84" s="1"/>
  <c r="A87" i="84"/>
  <c r="A88" i="84" s="1"/>
  <c r="A89" i="84" s="1"/>
  <c r="A90" i="84" s="1"/>
  <c r="A91" i="84" s="1"/>
  <c r="O76" i="84"/>
  <c r="O77" i="84" s="1"/>
  <c r="O78" i="84" s="1"/>
  <c r="O79" i="84" s="1"/>
  <c r="O80" i="84" s="1"/>
  <c r="O81" i="84" s="1"/>
  <c r="O82" i="84" s="1"/>
  <c r="O83" i="84" s="1"/>
  <c r="O84" i="84" s="1"/>
  <c r="O85" i="84" s="1"/>
  <c r="O86" i="84" s="1"/>
  <c r="O87" i="84" s="1"/>
  <c r="O88" i="84" s="1"/>
  <c r="O89" i="84" s="1"/>
  <c r="O90" i="84" s="1"/>
  <c r="O91" i="84" s="1"/>
  <c r="O92" i="84" s="1"/>
  <c r="O93" i="84" s="1"/>
  <c r="O94" i="84" s="1"/>
  <c r="O95" i="84" s="1"/>
  <c r="O96" i="84" s="1"/>
  <c r="O97" i="84" s="1"/>
  <c r="O98" i="84" s="1"/>
  <c r="O99" i="84" s="1"/>
  <c r="O100" i="84" s="1"/>
  <c r="O101" i="84" s="1"/>
  <c r="O102" i="84" s="1"/>
  <c r="O103" i="84" s="1"/>
  <c r="O104" i="84" s="1"/>
  <c r="O105" i="84" s="1"/>
  <c r="O106" i="84" s="1"/>
  <c r="O107" i="84" s="1"/>
  <c r="O108" i="84" s="1"/>
  <c r="O109" i="84" s="1"/>
  <c r="O110" i="84" s="1"/>
  <c r="O111" i="84" s="1"/>
  <c r="O112" i="84" s="1"/>
  <c r="O113" i="84" s="1"/>
  <c r="O114" i="84" s="1"/>
  <c r="O115" i="84" s="1"/>
  <c r="O116" i="84" s="1"/>
  <c r="O117" i="84" s="1"/>
  <c r="O118" i="84" s="1"/>
  <c r="O119" i="84" s="1"/>
  <c r="O120" i="84" s="1"/>
  <c r="O121" i="84" s="1"/>
  <c r="O122" i="84" s="1"/>
  <c r="I76" i="84"/>
  <c r="I77" i="84" s="1"/>
  <c r="I78" i="84" s="1"/>
  <c r="I79" i="84" s="1"/>
  <c r="I80" i="84" s="1"/>
  <c r="I81" i="84" s="1"/>
  <c r="I82" i="84" s="1"/>
  <c r="I83" i="84" s="1"/>
  <c r="I84" i="84" s="1"/>
  <c r="I85" i="84" s="1"/>
  <c r="I86" i="84" s="1"/>
  <c r="I87" i="84" s="1"/>
  <c r="I88" i="84" s="1"/>
  <c r="I89" i="84" s="1"/>
  <c r="I90" i="84" s="1"/>
  <c r="I91" i="84" s="1"/>
  <c r="I92" i="84" s="1"/>
  <c r="I93" i="84" s="1"/>
  <c r="I94" i="84" s="1"/>
  <c r="I95" i="84" s="1"/>
  <c r="I96" i="84" s="1"/>
  <c r="I97" i="84" s="1"/>
  <c r="I98" i="84" s="1"/>
  <c r="I99" i="84" s="1"/>
  <c r="I100" i="84" s="1"/>
  <c r="I101" i="84" s="1"/>
  <c r="I102" i="84" s="1"/>
  <c r="I103" i="84" s="1"/>
  <c r="I104" i="84" s="1"/>
  <c r="I105" i="84" s="1"/>
  <c r="I106" i="84" s="1"/>
  <c r="I107" i="84" s="1"/>
  <c r="I108" i="84" s="1"/>
  <c r="I109" i="84" s="1"/>
  <c r="I110" i="84" s="1"/>
  <c r="I111" i="84" s="1"/>
  <c r="I112" i="84" s="1"/>
  <c r="I113" i="84" s="1"/>
  <c r="I114" i="84" s="1"/>
  <c r="I115" i="84" s="1"/>
  <c r="I116" i="84" s="1"/>
  <c r="I117" i="84" s="1"/>
  <c r="I118" i="84" s="1"/>
  <c r="I119" i="84" s="1"/>
  <c r="I120" i="84" s="1"/>
  <c r="I121" i="84" s="1"/>
  <c r="I122" i="84" s="1"/>
  <c r="A76" i="84"/>
  <c r="A77" i="84" s="1"/>
  <c r="A78" i="84" s="1"/>
  <c r="A79" i="84" s="1"/>
  <c r="A80" i="84" s="1"/>
  <c r="A81" i="84" s="1"/>
  <c r="A82" i="84" s="1"/>
  <c r="A71" i="84"/>
  <c r="T66" i="84"/>
  <c r="T65" i="84"/>
  <c r="T64" i="84"/>
  <c r="T63" i="84"/>
  <c r="T62" i="84"/>
  <c r="T61" i="84"/>
  <c r="T59" i="84"/>
  <c r="T58" i="84"/>
  <c r="T57" i="84"/>
  <c r="T56" i="84"/>
  <c r="A43" i="84"/>
  <c r="A32" i="84"/>
  <c r="A33" i="84" s="1"/>
  <c r="A34" i="84" s="1"/>
  <c r="A35" i="84" s="1"/>
  <c r="A36" i="84" s="1"/>
  <c r="A28" i="84"/>
  <c r="A29" i="84" s="1"/>
  <c r="A30" i="84" s="1"/>
  <c r="A31" i="84" s="1"/>
  <c r="D19" i="84"/>
  <c r="D20" i="84" s="1"/>
  <c r="D21" i="84" s="1"/>
  <c r="D22" i="84" s="1"/>
  <c r="D23" i="84" s="1"/>
  <c r="E23" i="84" s="1"/>
  <c r="B19" i="84"/>
  <c r="B20" i="84" s="1"/>
  <c r="B21" i="84" s="1"/>
  <c r="B22" i="84" s="1"/>
  <c r="B23" i="84" s="1"/>
  <c r="A19" i="84"/>
  <c r="A20" i="84" s="1"/>
  <c r="A21" i="84" s="1"/>
  <c r="A22" i="84" s="1"/>
  <c r="A23" i="84" s="1"/>
  <c r="O8" i="84"/>
  <c r="O9" i="84" s="1"/>
  <c r="O10" i="84" s="1"/>
  <c r="O11" i="84" s="1"/>
  <c r="O12" i="84" s="1"/>
  <c r="O13" i="84" s="1"/>
  <c r="O14" i="84" s="1"/>
  <c r="O15" i="84" s="1"/>
  <c r="O16" i="84" s="1"/>
  <c r="O17" i="84" s="1"/>
  <c r="O18" i="84" s="1"/>
  <c r="O19" i="84" s="1"/>
  <c r="O20" i="84" s="1"/>
  <c r="O21" i="84" s="1"/>
  <c r="O22" i="84" s="1"/>
  <c r="O23" i="84" s="1"/>
  <c r="O24" i="84" s="1"/>
  <c r="O25" i="84" s="1"/>
  <c r="O26" i="84" s="1"/>
  <c r="O27" i="84" s="1"/>
  <c r="O28" i="84" s="1"/>
  <c r="O29" i="84" s="1"/>
  <c r="O30" i="84" s="1"/>
  <c r="O31" i="84" s="1"/>
  <c r="O32" i="84" s="1"/>
  <c r="O33" i="84" s="1"/>
  <c r="O34" i="84" s="1"/>
  <c r="O35" i="84" s="1"/>
  <c r="O36" i="84" s="1"/>
  <c r="O37" i="84" s="1"/>
  <c r="O38" i="84" s="1"/>
  <c r="O39" i="84" s="1"/>
  <c r="O40" i="84" s="1"/>
  <c r="O41" i="84" s="1"/>
  <c r="O42" i="84" s="1"/>
  <c r="O43" i="84" s="1"/>
  <c r="O44" i="84" s="1"/>
  <c r="O45" i="84" s="1"/>
  <c r="O46" i="84" s="1"/>
  <c r="O47" i="84" s="1"/>
  <c r="O48" i="84" s="1"/>
  <c r="O49" i="84" s="1"/>
  <c r="O50" i="84" s="1"/>
  <c r="O51" i="84" s="1"/>
  <c r="O52" i="84" s="1"/>
  <c r="O53" i="84" s="1"/>
  <c r="O54" i="84" s="1"/>
  <c r="O55" i="84" s="1"/>
  <c r="O56" i="84" s="1"/>
  <c r="O57" i="84" s="1"/>
  <c r="O58" i="84" s="1"/>
  <c r="O59" i="84" s="1"/>
  <c r="O60" i="84" s="1"/>
  <c r="O61" i="84" s="1"/>
  <c r="O62" i="84" s="1"/>
  <c r="O63" i="84" s="1"/>
  <c r="O64" i="84" s="1"/>
  <c r="O65" i="84" s="1"/>
  <c r="O66" i="84" s="1"/>
  <c r="I8" i="84"/>
  <c r="I9" i="84" s="1"/>
  <c r="I10" i="84" s="1"/>
  <c r="I11" i="84" s="1"/>
  <c r="I12" i="84" s="1"/>
  <c r="I13" i="84" s="1"/>
  <c r="I14" i="84" s="1"/>
  <c r="I15" i="84" s="1"/>
  <c r="I16" i="84" s="1"/>
  <c r="I17" i="84" s="1"/>
  <c r="I18" i="84" s="1"/>
  <c r="I19" i="84" s="1"/>
  <c r="I20" i="84" s="1"/>
  <c r="I21" i="84" s="1"/>
  <c r="I22" i="84" s="1"/>
  <c r="I23" i="84" s="1"/>
  <c r="I24" i="84" s="1"/>
  <c r="I25" i="84" s="1"/>
  <c r="I26" i="84" s="1"/>
  <c r="I27" i="84" s="1"/>
  <c r="I28" i="84" s="1"/>
  <c r="I29" i="84" s="1"/>
  <c r="I30" i="84" s="1"/>
  <c r="I31" i="84" s="1"/>
  <c r="I32" i="84" s="1"/>
  <c r="I33" i="84" s="1"/>
  <c r="I34" i="84" s="1"/>
  <c r="I35" i="84" s="1"/>
  <c r="I36" i="84" s="1"/>
  <c r="I37" i="84" s="1"/>
  <c r="I38" i="84" s="1"/>
  <c r="I39" i="84" s="1"/>
  <c r="I40" i="84" s="1"/>
  <c r="I41" i="84" s="1"/>
  <c r="I42" i="84" s="1"/>
  <c r="I43" i="84" s="1"/>
  <c r="I44" i="84" s="1"/>
  <c r="I45" i="84" s="1"/>
  <c r="I46" i="84" s="1"/>
  <c r="I47" i="84" s="1"/>
  <c r="I48" i="84" s="1"/>
  <c r="I49" i="84" s="1"/>
  <c r="I50" i="84" s="1"/>
  <c r="I51" i="84" s="1"/>
  <c r="I52" i="84" s="1"/>
  <c r="I53" i="84" s="1"/>
  <c r="I54" i="84" s="1"/>
  <c r="I55" i="84" s="1"/>
  <c r="I56" i="84" s="1"/>
  <c r="I57" i="84" s="1"/>
  <c r="I58" i="84" s="1"/>
  <c r="I59" i="84" s="1"/>
  <c r="I60" i="84" s="1"/>
  <c r="I61" i="84" s="1"/>
  <c r="I62" i="84" s="1"/>
  <c r="I63" i="84" s="1"/>
  <c r="I64" i="84" s="1"/>
  <c r="I65" i="84" s="1"/>
  <c r="I66" i="84" s="1"/>
  <c r="A8" i="84"/>
  <c r="A9" i="84" s="1"/>
  <c r="A10" i="84" s="1"/>
  <c r="A11" i="84" s="1"/>
  <c r="A12" i="84" s="1"/>
  <c r="A13" i="84" s="1"/>
  <c r="A14" i="84" s="1"/>
  <c r="F9" i="82"/>
  <c r="F8" i="82"/>
  <c r="F7" i="82"/>
  <c r="D27" i="82" s="1"/>
  <c r="T66" i="82"/>
  <c r="T65" i="82"/>
  <c r="T64" i="82"/>
  <c r="T63" i="82"/>
  <c r="T62" i="82"/>
  <c r="T61" i="82"/>
  <c r="T57" i="82"/>
  <c r="T56" i="82"/>
  <c r="A43" i="82"/>
  <c r="A28" i="82"/>
  <c r="A29" i="82" s="1"/>
  <c r="A30" i="82" s="1"/>
  <c r="A31" i="82" s="1"/>
  <c r="A32" i="82" s="1"/>
  <c r="A33" i="82" s="1"/>
  <c r="A34" i="82" s="1"/>
  <c r="A35" i="82" s="1"/>
  <c r="A36" i="82" s="1"/>
  <c r="D19" i="82"/>
  <c r="D20" i="82" s="1"/>
  <c r="D21" i="82" s="1"/>
  <c r="D22" i="82" s="1"/>
  <c r="D23" i="82" s="1"/>
  <c r="E23" i="82" s="1"/>
  <c r="B19" i="82"/>
  <c r="B20" i="82" s="1"/>
  <c r="B21" i="82" s="1"/>
  <c r="B22" i="82" s="1"/>
  <c r="B23" i="82" s="1"/>
  <c r="A19" i="82"/>
  <c r="A20" i="82" s="1"/>
  <c r="A21" i="82" s="1"/>
  <c r="A22" i="82" s="1"/>
  <c r="A23" i="82" s="1"/>
  <c r="O8" i="82"/>
  <c r="O9" i="82" s="1"/>
  <c r="O10" i="82" s="1"/>
  <c r="O11" i="82" s="1"/>
  <c r="O12" i="82" s="1"/>
  <c r="O13" i="82" s="1"/>
  <c r="O14" i="82" s="1"/>
  <c r="O15" i="82" s="1"/>
  <c r="O16" i="82" s="1"/>
  <c r="O17" i="82" s="1"/>
  <c r="O18" i="82" s="1"/>
  <c r="O19" i="82" s="1"/>
  <c r="O20" i="82" s="1"/>
  <c r="O21" i="82" s="1"/>
  <c r="O22" i="82" s="1"/>
  <c r="O23" i="82" s="1"/>
  <c r="O24" i="82" s="1"/>
  <c r="O25" i="82" s="1"/>
  <c r="O26" i="82" s="1"/>
  <c r="O27" i="82" s="1"/>
  <c r="O28" i="82" s="1"/>
  <c r="O29" i="82" s="1"/>
  <c r="O30" i="82" s="1"/>
  <c r="O31" i="82" s="1"/>
  <c r="O32" i="82" s="1"/>
  <c r="O33" i="82" s="1"/>
  <c r="O34" i="82" s="1"/>
  <c r="O35" i="82" s="1"/>
  <c r="O36" i="82" s="1"/>
  <c r="O37" i="82" s="1"/>
  <c r="O38" i="82" s="1"/>
  <c r="O39" i="82" s="1"/>
  <c r="O40" i="82" s="1"/>
  <c r="O41" i="82" s="1"/>
  <c r="O42" i="82" s="1"/>
  <c r="O43" i="82" s="1"/>
  <c r="O44" i="82" s="1"/>
  <c r="O45" i="82" s="1"/>
  <c r="O46" i="82" s="1"/>
  <c r="O47" i="82" s="1"/>
  <c r="O48" i="82" s="1"/>
  <c r="O49" i="82" s="1"/>
  <c r="O50" i="82" s="1"/>
  <c r="O51" i="82" s="1"/>
  <c r="O52" i="82" s="1"/>
  <c r="O53" i="82" s="1"/>
  <c r="O54" i="82" s="1"/>
  <c r="O55" i="82" s="1"/>
  <c r="O56" i="82" s="1"/>
  <c r="O57" i="82" s="1"/>
  <c r="O58" i="82" s="1"/>
  <c r="O59" i="82" s="1"/>
  <c r="O60" i="82" s="1"/>
  <c r="O61" i="82" s="1"/>
  <c r="O62" i="82" s="1"/>
  <c r="O63" i="82" s="1"/>
  <c r="O64" i="82" s="1"/>
  <c r="O65" i="82" s="1"/>
  <c r="O66" i="82" s="1"/>
  <c r="I8" i="82"/>
  <c r="I9" i="82" s="1"/>
  <c r="I10" i="82" s="1"/>
  <c r="I11" i="82" s="1"/>
  <c r="I12" i="82" s="1"/>
  <c r="I13" i="82" s="1"/>
  <c r="I14" i="82" s="1"/>
  <c r="I15" i="82" s="1"/>
  <c r="I16" i="82" s="1"/>
  <c r="I17" i="82" s="1"/>
  <c r="I18" i="82" s="1"/>
  <c r="I19" i="82" s="1"/>
  <c r="I20" i="82" s="1"/>
  <c r="I21" i="82" s="1"/>
  <c r="I22" i="82" s="1"/>
  <c r="I23" i="82" s="1"/>
  <c r="I24" i="82" s="1"/>
  <c r="I25" i="82" s="1"/>
  <c r="I26" i="82" s="1"/>
  <c r="I27" i="82" s="1"/>
  <c r="I28" i="82" s="1"/>
  <c r="I29" i="82" s="1"/>
  <c r="I30" i="82" s="1"/>
  <c r="I31" i="82" s="1"/>
  <c r="I32" i="82" s="1"/>
  <c r="I33" i="82" s="1"/>
  <c r="I34" i="82" s="1"/>
  <c r="I35" i="82" s="1"/>
  <c r="I36" i="82" s="1"/>
  <c r="I37" i="82" s="1"/>
  <c r="I38" i="82" s="1"/>
  <c r="I39" i="82" s="1"/>
  <c r="I40" i="82" s="1"/>
  <c r="I41" i="82" s="1"/>
  <c r="I42" i="82" s="1"/>
  <c r="I43" i="82" s="1"/>
  <c r="I44" i="82" s="1"/>
  <c r="I45" i="82" s="1"/>
  <c r="I46" i="82" s="1"/>
  <c r="I47" i="82" s="1"/>
  <c r="I48" i="82" s="1"/>
  <c r="I49" i="82" s="1"/>
  <c r="I50" i="82" s="1"/>
  <c r="I51" i="82" s="1"/>
  <c r="I52" i="82" s="1"/>
  <c r="I53" i="82" s="1"/>
  <c r="I54" i="82" s="1"/>
  <c r="I55" i="82" s="1"/>
  <c r="I56" i="82" s="1"/>
  <c r="I57" i="82" s="1"/>
  <c r="I58" i="82" s="1"/>
  <c r="I59" i="82" s="1"/>
  <c r="I60" i="82" s="1"/>
  <c r="I61" i="82" s="1"/>
  <c r="I62" i="82" s="1"/>
  <c r="I63" i="82" s="1"/>
  <c r="I64" i="82" s="1"/>
  <c r="I65" i="82" s="1"/>
  <c r="I66" i="82" s="1"/>
  <c r="A8" i="82"/>
  <c r="A9" i="82" s="1"/>
  <c r="A10" i="82" s="1"/>
  <c r="A11" i="82" s="1"/>
  <c r="A12" i="82" s="1"/>
  <c r="A13" i="82" s="1"/>
  <c r="A14" i="82" s="1"/>
  <c r="R122" i="80"/>
  <c r="M122" i="80"/>
  <c r="R121" i="80"/>
  <c r="M121" i="80"/>
  <c r="R120" i="80"/>
  <c r="M120" i="80"/>
  <c r="I120" i="80"/>
  <c r="I121" i="80" s="1"/>
  <c r="I122" i="80" s="1"/>
  <c r="R119" i="80"/>
  <c r="M119" i="80"/>
  <c r="R118" i="80"/>
  <c r="M118" i="80"/>
  <c r="R117" i="80"/>
  <c r="M117" i="80"/>
  <c r="R116" i="80"/>
  <c r="M116" i="80"/>
  <c r="R115" i="80"/>
  <c r="M115" i="80"/>
  <c r="R114" i="80"/>
  <c r="M114" i="80"/>
  <c r="R113" i="80"/>
  <c r="M113" i="80"/>
  <c r="R112" i="80"/>
  <c r="M112" i="80"/>
  <c r="R111" i="80"/>
  <c r="M111" i="80"/>
  <c r="A111" i="80"/>
  <c r="A97" i="80"/>
  <c r="A98" i="80" s="1"/>
  <c r="A99" i="80" s="1"/>
  <c r="A100" i="80" s="1"/>
  <c r="A101" i="80" s="1"/>
  <c r="A102" i="80" s="1"/>
  <c r="A103" i="80" s="1"/>
  <c r="A104" i="80" s="1"/>
  <c r="E96" i="80"/>
  <c r="A96" i="80"/>
  <c r="D87" i="80"/>
  <c r="D88" i="80" s="1"/>
  <c r="D89" i="80" s="1"/>
  <c r="D90" i="80" s="1"/>
  <c r="D91" i="80" s="1"/>
  <c r="E91" i="80" s="1"/>
  <c r="B87" i="80"/>
  <c r="B88" i="80" s="1"/>
  <c r="B89" i="80" s="1"/>
  <c r="B90" i="80" s="1"/>
  <c r="B91" i="80" s="1"/>
  <c r="A87" i="80"/>
  <c r="A88" i="80" s="1"/>
  <c r="A89" i="80" s="1"/>
  <c r="A90" i="80" s="1"/>
  <c r="A91" i="80" s="1"/>
  <c r="O76" i="80"/>
  <c r="O77" i="80" s="1"/>
  <c r="O78" i="80" s="1"/>
  <c r="O79" i="80" s="1"/>
  <c r="O80" i="80" s="1"/>
  <c r="O81" i="80" s="1"/>
  <c r="O82" i="80" s="1"/>
  <c r="O83" i="80" s="1"/>
  <c r="O84" i="80" s="1"/>
  <c r="O85" i="80" s="1"/>
  <c r="O86" i="80" s="1"/>
  <c r="O87" i="80" s="1"/>
  <c r="O88" i="80" s="1"/>
  <c r="O89" i="80" s="1"/>
  <c r="O90" i="80" s="1"/>
  <c r="O91" i="80" s="1"/>
  <c r="O92" i="80" s="1"/>
  <c r="O93" i="80" s="1"/>
  <c r="O94" i="80" s="1"/>
  <c r="O95" i="80" s="1"/>
  <c r="O96" i="80" s="1"/>
  <c r="O97" i="80" s="1"/>
  <c r="O98" i="80" s="1"/>
  <c r="O99" i="80" s="1"/>
  <c r="O100" i="80" s="1"/>
  <c r="O101" i="80" s="1"/>
  <c r="O102" i="80" s="1"/>
  <c r="O103" i="80" s="1"/>
  <c r="O104" i="80" s="1"/>
  <c r="O105" i="80" s="1"/>
  <c r="O106" i="80" s="1"/>
  <c r="O107" i="80" s="1"/>
  <c r="O108" i="80" s="1"/>
  <c r="O109" i="80" s="1"/>
  <c r="O110" i="80" s="1"/>
  <c r="O111" i="80" s="1"/>
  <c r="O112" i="80" s="1"/>
  <c r="O113" i="80" s="1"/>
  <c r="O114" i="80" s="1"/>
  <c r="O115" i="80" s="1"/>
  <c r="O116" i="80" s="1"/>
  <c r="O117" i="80" s="1"/>
  <c r="O118" i="80" s="1"/>
  <c r="O119" i="80" s="1"/>
  <c r="O120" i="80" s="1"/>
  <c r="O121" i="80" s="1"/>
  <c r="O122" i="80" s="1"/>
  <c r="I76" i="80"/>
  <c r="I77" i="80" s="1"/>
  <c r="I78" i="80" s="1"/>
  <c r="I79" i="80" s="1"/>
  <c r="I80" i="80" s="1"/>
  <c r="I81" i="80" s="1"/>
  <c r="I82" i="80" s="1"/>
  <c r="I83" i="80" s="1"/>
  <c r="I84" i="80" s="1"/>
  <c r="I85" i="80" s="1"/>
  <c r="I86" i="80" s="1"/>
  <c r="I87" i="80" s="1"/>
  <c r="I88" i="80" s="1"/>
  <c r="I89" i="80" s="1"/>
  <c r="I90" i="80" s="1"/>
  <c r="I91" i="80" s="1"/>
  <c r="I92" i="80" s="1"/>
  <c r="I93" i="80" s="1"/>
  <c r="I94" i="80" s="1"/>
  <c r="I95" i="80" s="1"/>
  <c r="I96" i="80" s="1"/>
  <c r="I97" i="80" s="1"/>
  <c r="I98" i="80" s="1"/>
  <c r="I99" i="80" s="1"/>
  <c r="I100" i="80" s="1"/>
  <c r="I101" i="80" s="1"/>
  <c r="I102" i="80" s="1"/>
  <c r="I103" i="80" s="1"/>
  <c r="I104" i="80" s="1"/>
  <c r="I105" i="80" s="1"/>
  <c r="I106" i="80" s="1"/>
  <c r="I107" i="80" s="1"/>
  <c r="I108" i="80" s="1"/>
  <c r="I109" i="80" s="1"/>
  <c r="I110" i="80" s="1"/>
  <c r="I111" i="80" s="1"/>
  <c r="I112" i="80" s="1"/>
  <c r="I113" i="80" s="1"/>
  <c r="I114" i="80" s="1"/>
  <c r="I115" i="80" s="1"/>
  <c r="I116" i="80" s="1"/>
  <c r="I117" i="80" s="1"/>
  <c r="I118" i="80" s="1"/>
  <c r="I119" i="80" s="1"/>
  <c r="A76" i="80"/>
  <c r="A77" i="80" s="1"/>
  <c r="A78" i="80" s="1"/>
  <c r="A79" i="80" s="1"/>
  <c r="A80" i="80" s="1"/>
  <c r="A81" i="80" s="1"/>
  <c r="A82" i="80" s="1"/>
  <c r="A71" i="80"/>
  <c r="T66" i="80"/>
  <c r="T65" i="80"/>
  <c r="T64" i="80"/>
  <c r="T63" i="80"/>
  <c r="T62" i="80"/>
  <c r="T61" i="80"/>
  <c r="T59" i="80"/>
  <c r="T58" i="80"/>
  <c r="T57" i="80"/>
  <c r="T56" i="80"/>
  <c r="A43" i="80"/>
  <c r="A28" i="80"/>
  <c r="A29" i="80" s="1"/>
  <c r="A30" i="80" s="1"/>
  <c r="A31" i="80" s="1"/>
  <c r="A32" i="80" s="1"/>
  <c r="A33" i="80" s="1"/>
  <c r="A34" i="80" s="1"/>
  <c r="A35" i="80" s="1"/>
  <c r="A36" i="80" s="1"/>
  <c r="D19" i="80"/>
  <c r="D20" i="80" s="1"/>
  <c r="D21" i="80" s="1"/>
  <c r="D22" i="80" s="1"/>
  <c r="D23" i="80" s="1"/>
  <c r="E23" i="80" s="1"/>
  <c r="B19" i="80"/>
  <c r="B20" i="80" s="1"/>
  <c r="B21" i="80" s="1"/>
  <c r="B22" i="80" s="1"/>
  <c r="B23" i="80" s="1"/>
  <c r="A19" i="80"/>
  <c r="A20" i="80" s="1"/>
  <c r="A21" i="80" s="1"/>
  <c r="A22" i="80" s="1"/>
  <c r="A23" i="80" s="1"/>
  <c r="O8" i="80"/>
  <c r="O9" i="80" s="1"/>
  <c r="O10" i="80" s="1"/>
  <c r="O11" i="80" s="1"/>
  <c r="O12" i="80" s="1"/>
  <c r="O13" i="80" s="1"/>
  <c r="O14" i="80" s="1"/>
  <c r="O15" i="80" s="1"/>
  <c r="O16" i="80" s="1"/>
  <c r="O17" i="80" s="1"/>
  <c r="O18" i="80" s="1"/>
  <c r="O19" i="80" s="1"/>
  <c r="O20" i="80" s="1"/>
  <c r="O21" i="80" s="1"/>
  <c r="O22" i="80" s="1"/>
  <c r="O23" i="80" s="1"/>
  <c r="O24" i="80" s="1"/>
  <c r="O25" i="80" s="1"/>
  <c r="O26" i="80" s="1"/>
  <c r="O27" i="80" s="1"/>
  <c r="O28" i="80" s="1"/>
  <c r="O29" i="80" s="1"/>
  <c r="O30" i="80" s="1"/>
  <c r="O31" i="80" s="1"/>
  <c r="O32" i="80" s="1"/>
  <c r="O33" i="80" s="1"/>
  <c r="O34" i="80" s="1"/>
  <c r="O35" i="80" s="1"/>
  <c r="O36" i="80" s="1"/>
  <c r="O37" i="80" s="1"/>
  <c r="O38" i="80" s="1"/>
  <c r="O39" i="80" s="1"/>
  <c r="O40" i="80" s="1"/>
  <c r="O41" i="80" s="1"/>
  <c r="O42" i="80" s="1"/>
  <c r="O43" i="80" s="1"/>
  <c r="O44" i="80" s="1"/>
  <c r="O45" i="80" s="1"/>
  <c r="O46" i="80" s="1"/>
  <c r="O47" i="80" s="1"/>
  <c r="O48" i="80" s="1"/>
  <c r="O49" i="80" s="1"/>
  <c r="O50" i="80" s="1"/>
  <c r="O51" i="80" s="1"/>
  <c r="O52" i="80" s="1"/>
  <c r="O53" i="80" s="1"/>
  <c r="O54" i="80" s="1"/>
  <c r="O55" i="80" s="1"/>
  <c r="O56" i="80" s="1"/>
  <c r="O57" i="80" s="1"/>
  <c r="O58" i="80" s="1"/>
  <c r="O59" i="80" s="1"/>
  <c r="O60" i="80" s="1"/>
  <c r="O61" i="80" s="1"/>
  <c r="O62" i="80" s="1"/>
  <c r="O63" i="80" s="1"/>
  <c r="O64" i="80" s="1"/>
  <c r="O65" i="80" s="1"/>
  <c r="O66" i="80" s="1"/>
  <c r="I8" i="80"/>
  <c r="I9" i="80" s="1"/>
  <c r="I10" i="80" s="1"/>
  <c r="I11" i="80" s="1"/>
  <c r="I12" i="80" s="1"/>
  <c r="I13" i="80" s="1"/>
  <c r="I14" i="80" s="1"/>
  <c r="I15" i="80" s="1"/>
  <c r="I16" i="80" s="1"/>
  <c r="I17" i="80" s="1"/>
  <c r="I18" i="80" s="1"/>
  <c r="I19" i="80" s="1"/>
  <c r="I20" i="80" s="1"/>
  <c r="I21" i="80" s="1"/>
  <c r="I22" i="80" s="1"/>
  <c r="I23" i="80" s="1"/>
  <c r="I24" i="80" s="1"/>
  <c r="I25" i="80" s="1"/>
  <c r="I26" i="80" s="1"/>
  <c r="I27" i="80" s="1"/>
  <c r="I28" i="80" s="1"/>
  <c r="I29" i="80" s="1"/>
  <c r="I30" i="80" s="1"/>
  <c r="I31" i="80" s="1"/>
  <c r="I32" i="80" s="1"/>
  <c r="I33" i="80" s="1"/>
  <c r="I34" i="80" s="1"/>
  <c r="I35" i="80" s="1"/>
  <c r="I36" i="80" s="1"/>
  <c r="I37" i="80" s="1"/>
  <c r="I38" i="80" s="1"/>
  <c r="I39" i="80" s="1"/>
  <c r="I40" i="80" s="1"/>
  <c r="I41" i="80" s="1"/>
  <c r="I42" i="80" s="1"/>
  <c r="I43" i="80" s="1"/>
  <c r="I44" i="80" s="1"/>
  <c r="I45" i="80" s="1"/>
  <c r="I46" i="80" s="1"/>
  <c r="I47" i="80" s="1"/>
  <c r="I48" i="80" s="1"/>
  <c r="I49" i="80" s="1"/>
  <c r="I50" i="80" s="1"/>
  <c r="I51" i="80" s="1"/>
  <c r="I52" i="80" s="1"/>
  <c r="I53" i="80" s="1"/>
  <c r="I54" i="80" s="1"/>
  <c r="I55" i="80" s="1"/>
  <c r="I56" i="80" s="1"/>
  <c r="I57" i="80" s="1"/>
  <c r="I58" i="80" s="1"/>
  <c r="I59" i="80" s="1"/>
  <c r="I60" i="80" s="1"/>
  <c r="I61" i="80" s="1"/>
  <c r="I62" i="80" s="1"/>
  <c r="I63" i="80" s="1"/>
  <c r="I64" i="80" s="1"/>
  <c r="I65" i="80" s="1"/>
  <c r="I66" i="80" s="1"/>
  <c r="A8" i="80"/>
  <c r="A9" i="80" s="1"/>
  <c r="A10" i="80" s="1"/>
  <c r="A11" i="80" s="1"/>
  <c r="A12" i="80" s="1"/>
  <c r="A13" i="80" s="1"/>
  <c r="A14" i="80" s="1"/>
  <c r="F81" i="78"/>
  <c r="D27" i="78"/>
  <c r="A115" i="78"/>
  <c r="E100" i="78"/>
  <c r="A100" i="78"/>
  <c r="A101" i="78" s="1"/>
  <c r="A102" i="78" s="1"/>
  <c r="A103" i="78" s="1"/>
  <c r="A104" i="78" s="1"/>
  <c r="A105" i="78" s="1"/>
  <c r="A106" i="78" s="1"/>
  <c r="A107" i="78" s="1"/>
  <c r="A108" i="78" s="1"/>
  <c r="D91" i="78"/>
  <c r="D92" i="78" s="1"/>
  <c r="D93" i="78" s="1"/>
  <c r="D94" i="78" s="1"/>
  <c r="D95" i="78" s="1"/>
  <c r="E95" i="78" s="1"/>
  <c r="B91" i="78"/>
  <c r="B92" i="78" s="1"/>
  <c r="B93" i="78" s="1"/>
  <c r="B94" i="78" s="1"/>
  <c r="B95" i="78" s="1"/>
  <c r="A91" i="78"/>
  <c r="A92" i="78" s="1"/>
  <c r="A93" i="78" s="1"/>
  <c r="A94" i="78" s="1"/>
  <c r="A95" i="78" s="1"/>
  <c r="O80" i="78"/>
  <c r="O81" i="78" s="1"/>
  <c r="O82" i="78" s="1"/>
  <c r="O83" i="78" s="1"/>
  <c r="O84" i="78" s="1"/>
  <c r="O85" i="78" s="1"/>
  <c r="O86" i="78" s="1"/>
  <c r="O87" i="78" s="1"/>
  <c r="O88" i="78" s="1"/>
  <c r="O89" i="78" s="1"/>
  <c r="O90" i="78" s="1"/>
  <c r="O91" i="78" s="1"/>
  <c r="O92" i="78" s="1"/>
  <c r="O93" i="78" s="1"/>
  <c r="O94" i="78" s="1"/>
  <c r="O95" i="78" s="1"/>
  <c r="O96" i="78" s="1"/>
  <c r="O97" i="78" s="1"/>
  <c r="O98" i="78" s="1"/>
  <c r="O99" i="78" s="1"/>
  <c r="O100" i="78" s="1"/>
  <c r="O101" i="78" s="1"/>
  <c r="O102" i="78" s="1"/>
  <c r="O103" i="78" s="1"/>
  <c r="O104" i="78" s="1"/>
  <c r="O105" i="78" s="1"/>
  <c r="O106" i="78" s="1"/>
  <c r="O107" i="78" s="1"/>
  <c r="O108" i="78" s="1"/>
  <c r="O109" i="78" s="1"/>
  <c r="O110" i="78" s="1"/>
  <c r="O111" i="78" s="1"/>
  <c r="O112" i="78" s="1"/>
  <c r="O113" i="78" s="1"/>
  <c r="O114" i="78" s="1"/>
  <c r="O115" i="78" s="1"/>
  <c r="O116" i="78" s="1"/>
  <c r="O117" i="78" s="1"/>
  <c r="O118" i="78" s="1"/>
  <c r="O119" i="78" s="1"/>
  <c r="O120" i="78" s="1"/>
  <c r="O121" i="78" s="1"/>
  <c r="O122" i="78" s="1"/>
  <c r="O123" i="78" s="1"/>
  <c r="O124" i="78" s="1"/>
  <c r="O125" i="78" s="1"/>
  <c r="O126" i="78" s="1"/>
  <c r="I80" i="78"/>
  <c r="I81" i="78" s="1"/>
  <c r="I82" i="78" s="1"/>
  <c r="I83" i="78" s="1"/>
  <c r="I84" i="78" s="1"/>
  <c r="I85" i="78" s="1"/>
  <c r="I86" i="78" s="1"/>
  <c r="I87" i="78" s="1"/>
  <c r="I88" i="78" s="1"/>
  <c r="I89" i="78" s="1"/>
  <c r="I90" i="78" s="1"/>
  <c r="I91" i="78" s="1"/>
  <c r="I92" i="78" s="1"/>
  <c r="I93" i="78" s="1"/>
  <c r="I94" i="78" s="1"/>
  <c r="I95" i="78" s="1"/>
  <c r="I96" i="78" s="1"/>
  <c r="I97" i="78" s="1"/>
  <c r="I98" i="78" s="1"/>
  <c r="I99" i="78" s="1"/>
  <c r="I100" i="78" s="1"/>
  <c r="I101" i="78" s="1"/>
  <c r="I102" i="78" s="1"/>
  <c r="I103" i="78" s="1"/>
  <c r="I104" i="78" s="1"/>
  <c r="I105" i="78" s="1"/>
  <c r="I106" i="78" s="1"/>
  <c r="I107" i="78" s="1"/>
  <c r="I108" i="78" s="1"/>
  <c r="I109" i="78" s="1"/>
  <c r="I110" i="78" s="1"/>
  <c r="I111" i="78" s="1"/>
  <c r="I112" i="78" s="1"/>
  <c r="I113" i="78" s="1"/>
  <c r="I114" i="78" s="1"/>
  <c r="I115" i="78" s="1"/>
  <c r="I116" i="78" s="1"/>
  <c r="I117" i="78" s="1"/>
  <c r="I118" i="78" s="1"/>
  <c r="I119" i="78" s="1"/>
  <c r="I120" i="78" s="1"/>
  <c r="I121" i="78" s="1"/>
  <c r="I122" i="78" s="1"/>
  <c r="I123" i="78" s="1"/>
  <c r="I124" i="78" s="1"/>
  <c r="I125" i="78" s="1"/>
  <c r="I126" i="78" s="1"/>
  <c r="A80" i="78"/>
  <c r="A81" i="78" s="1"/>
  <c r="A82" i="78" s="1"/>
  <c r="A83" i="78" s="1"/>
  <c r="A84" i="78" s="1"/>
  <c r="A85" i="78" s="1"/>
  <c r="A86" i="78" s="1"/>
  <c r="P79" i="78"/>
  <c r="A75" i="78"/>
  <c r="T66" i="78"/>
  <c r="T65" i="78"/>
  <c r="T64" i="78"/>
  <c r="T63" i="78"/>
  <c r="T62" i="78"/>
  <c r="T61" i="78"/>
  <c r="T57" i="78"/>
  <c r="T56" i="78"/>
  <c r="A43" i="78"/>
  <c r="A28" i="78"/>
  <c r="A29" i="78" s="1"/>
  <c r="A30" i="78" s="1"/>
  <c r="A31" i="78" s="1"/>
  <c r="A32" i="78" s="1"/>
  <c r="A33" i="78" s="1"/>
  <c r="A34" i="78" s="1"/>
  <c r="A35" i="78" s="1"/>
  <c r="A36" i="78" s="1"/>
  <c r="D19" i="78"/>
  <c r="D20" i="78" s="1"/>
  <c r="D21" i="78" s="1"/>
  <c r="D22" i="78" s="1"/>
  <c r="D23" i="78" s="1"/>
  <c r="E23" i="78" s="1"/>
  <c r="B19" i="78"/>
  <c r="B20" i="78" s="1"/>
  <c r="B21" i="78" s="1"/>
  <c r="B22" i="78" s="1"/>
  <c r="B23" i="78" s="1"/>
  <c r="A19" i="78"/>
  <c r="A20" i="78" s="1"/>
  <c r="A21" i="78" s="1"/>
  <c r="A22" i="78" s="1"/>
  <c r="A23" i="78" s="1"/>
  <c r="O8" i="78"/>
  <c r="O9" i="78" s="1"/>
  <c r="O10" i="78" s="1"/>
  <c r="O11" i="78" s="1"/>
  <c r="O12" i="78" s="1"/>
  <c r="O13" i="78" s="1"/>
  <c r="O14" i="78" s="1"/>
  <c r="O15" i="78" s="1"/>
  <c r="O16" i="78" s="1"/>
  <c r="O17" i="78" s="1"/>
  <c r="O18" i="78" s="1"/>
  <c r="O19" i="78" s="1"/>
  <c r="O20" i="78" s="1"/>
  <c r="O21" i="78" s="1"/>
  <c r="O22" i="78" s="1"/>
  <c r="O23" i="78" s="1"/>
  <c r="O24" i="78" s="1"/>
  <c r="O25" i="78" s="1"/>
  <c r="O26" i="78" s="1"/>
  <c r="O27" i="78" s="1"/>
  <c r="O28" i="78" s="1"/>
  <c r="O29" i="78" s="1"/>
  <c r="O30" i="78" s="1"/>
  <c r="O31" i="78" s="1"/>
  <c r="O32" i="78" s="1"/>
  <c r="O33" i="78" s="1"/>
  <c r="O34" i="78" s="1"/>
  <c r="O35" i="78" s="1"/>
  <c r="O36" i="78" s="1"/>
  <c r="O37" i="78" s="1"/>
  <c r="O38" i="78" s="1"/>
  <c r="O39" i="78" s="1"/>
  <c r="O40" i="78" s="1"/>
  <c r="O41" i="78" s="1"/>
  <c r="O42" i="78" s="1"/>
  <c r="O43" i="78" s="1"/>
  <c r="O44" i="78" s="1"/>
  <c r="O45" i="78" s="1"/>
  <c r="O46" i="78" s="1"/>
  <c r="O47" i="78" s="1"/>
  <c r="O48" i="78" s="1"/>
  <c r="O49" i="78" s="1"/>
  <c r="O50" i="78" s="1"/>
  <c r="O51" i="78" s="1"/>
  <c r="O52" i="78" s="1"/>
  <c r="O53" i="78" s="1"/>
  <c r="O54" i="78" s="1"/>
  <c r="O55" i="78" s="1"/>
  <c r="O56" i="78" s="1"/>
  <c r="O57" i="78" s="1"/>
  <c r="O58" i="78" s="1"/>
  <c r="O59" i="78" s="1"/>
  <c r="O60" i="78" s="1"/>
  <c r="O61" i="78" s="1"/>
  <c r="O62" i="78" s="1"/>
  <c r="O63" i="78" s="1"/>
  <c r="O64" i="78" s="1"/>
  <c r="O65" i="78" s="1"/>
  <c r="O66" i="78" s="1"/>
  <c r="I8" i="78"/>
  <c r="I9" i="78" s="1"/>
  <c r="I10" i="78" s="1"/>
  <c r="I11" i="78" s="1"/>
  <c r="I12" i="78" s="1"/>
  <c r="I13" i="78" s="1"/>
  <c r="I14" i="78" s="1"/>
  <c r="I15" i="78" s="1"/>
  <c r="I16" i="78" s="1"/>
  <c r="I17" i="78" s="1"/>
  <c r="I18" i="78" s="1"/>
  <c r="I19" i="78" s="1"/>
  <c r="I20" i="78" s="1"/>
  <c r="I21" i="78" s="1"/>
  <c r="I22" i="78" s="1"/>
  <c r="I23" i="78" s="1"/>
  <c r="I24" i="78" s="1"/>
  <c r="I25" i="78" s="1"/>
  <c r="I26" i="78" s="1"/>
  <c r="I27" i="78" s="1"/>
  <c r="I28" i="78" s="1"/>
  <c r="I29" i="78" s="1"/>
  <c r="I30" i="78" s="1"/>
  <c r="I31" i="78" s="1"/>
  <c r="I32" i="78" s="1"/>
  <c r="I33" i="78" s="1"/>
  <c r="I34" i="78" s="1"/>
  <c r="I35" i="78" s="1"/>
  <c r="I36" i="78" s="1"/>
  <c r="I37" i="78" s="1"/>
  <c r="I38" i="78" s="1"/>
  <c r="I39" i="78" s="1"/>
  <c r="I40" i="78" s="1"/>
  <c r="I41" i="78" s="1"/>
  <c r="I42" i="78" s="1"/>
  <c r="I43" i="78" s="1"/>
  <c r="I44" i="78" s="1"/>
  <c r="I45" i="78" s="1"/>
  <c r="I46" i="78" s="1"/>
  <c r="I47" i="78" s="1"/>
  <c r="I48" i="78" s="1"/>
  <c r="I49" i="78" s="1"/>
  <c r="I50" i="78" s="1"/>
  <c r="I51" i="78" s="1"/>
  <c r="I52" i="78" s="1"/>
  <c r="I53" i="78" s="1"/>
  <c r="I54" i="78" s="1"/>
  <c r="I55" i="78" s="1"/>
  <c r="I56" i="78" s="1"/>
  <c r="I57" i="78" s="1"/>
  <c r="I58" i="78" s="1"/>
  <c r="I59" i="78" s="1"/>
  <c r="I60" i="78" s="1"/>
  <c r="I61" i="78" s="1"/>
  <c r="I62" i="78" s="1"/>
  <c r="I63" i="78" s="1"/>
  <c r="I64" i="78" s="1"/>
  <c r="I65" i="78" s="1"/>
  <c r="I66" i="78" s="1"/>
  <c r="A8" i="78"/>
  <c r="A9" i="78" s="1"/>
  <c r="A10" i="78" s="1"/>
  <c r="A11" i="78" s="1"/>
  <c r="A12" i="78" s="1"/>
  <c r="A13" i="78" s="1"/>
  <c r="A14" i="78" s="1"/>
  <c r="H9" i="103" l="1"/>
  <c r="F11" i="103" s="1"/>
  <c r="C7" i="103" s="1"/>
  <c r="J7" i="103" s="1"/>
  <c r="H9" i="105"/>
  <c r="F11" i="105" s="1"/>
  <c r="C7" i="105" s="1"/>
  <c r="AE35" i="105"/>
  <c r="O36" i="105"/>
  <c r="Z35" i="105"/>
  <c r="AA34" i="105"/>
  <c r="AB34" i="105" s="1"/>
  <c r="V34" i="105" s="1"/>
  <c r="K83" i="104"/>
  <c r="M83" i="104" s="1"/>
  <c r="J84" i="104" s="1"/>
  <c r="K84" i="104" s="1"/>
  <c r="M84" i="104" s="1"/>
  <c r="J85" i="104" s="1"/>
  <c r="K85" i="104" s="1"/>
  <c r="M85" i="104" s="1"/>
  <c r="J86" i="104" s="1"/>
  <c r="K86" i="104" s="1"/>
  <c r="M86" i="104" s="1"/>
  <c r="J87" i="104" s="1"/>
  <c r="K87" i="104" s="1"/>
  <c r="M87" i="104" s="1"/>
  <c r="J88" i="104" s="1"/>
  <c r="K88" i="104" s="1"/>
  <c r="M88" i="104" s="1"/>
  <c r="J89" i="104" s="1"/>
  <c r="H9" i="78"/>
  <c r="H9" i="104"/>
  <c r="F11" i="104" s="1"/>
  <c r="C7" i="104" s="1"/>
  <c r="T67" i="103"/>
  <c r="T69" i="103" s="1"/>
  <c r="T55" i="103" s="1"/>
  <c r="T73" i="103" s="1"/>
  <c r="V67" i="103"/>
  <c r="D30" i="103" s="1"/>
  <c r="F30" i="103" s="1"/>
  <c r="G30" i="103" s="1"/>
  <c r="O10" i="95"/>
  <c r="AE9" i="95"/>
  <c r="I12" i="23"/>
  <c r="M12" i="23" s="1"/>
  <c r="N12" i="23" s="1"/>
  <c r="H9" i="85"/>
  <c r="H9" i="96"/>
  <c r="H9" i="82"/>
  <c r="H9" i="95"/>
  <c r="F11" i="95" s="1"/>
  <c r="C7" i="95" s="1"/>
  <c r="L69" i="95" s="1"/>
  <c r="L7" i="95" s="1"/>
  <c r="R7" i="95" s="1"/>
  <c r="C79" i="80"/>
  <c r="C96" i="80" s="1"/>
  <c r="AB11" i="96"/>
  <c r="V11" i="96" s="1"/>
  <c r="AB80" i="96"/>
  <c r="V80" i="96" s="1"/>
  <c r="AA113" i="96"/>
  <c r="AB113" i="96" s="1"/>
  <c r="V113" i="96" s="1"/>
  <c r="AA44" i="96"/>
  <c r="AB44" i="96" s="1"/>
  <c r="V44" i="96" s="1"/>
  <c r="G82" i="96"/>
  <c r="F82" i="96" s="1"/>
  <c r="F83" i="96" s="1"/>
  <c r="F10" i="96"/>
  <c r="T54" i="96"/>
  <c r="T36" i="96"/>
  <c r="S127" i="96"/>
  <c r="S129" i="96" s="1"/>
  <c r="F28" i="95"/>
  <c r="G28" i="95" s="1"/>
  <c r="D33" i="95"/>
  <c r="AJ4" i="95" s="1"/>
  <c r="C22" i="95"/>
  <c r="E22" i="95" s="1"/>
  <c r="C20" i="95"/>
  <c r="E20" i="95" s="1"/>
  <c r="C19" i="95"/>
  <c r="E19" i="95" s="1"/>
  <c r="Z10" i="95"/>
  <c r="D32" i="95"/>
  <c r="AH4" i="95" s="1"/>
  <c r="D31" i="95"/>
  <c r="Z7" i="95"/>
  <c r="F27" i="95"/>
  <c r="G27" i="95" s="1"/>
  <c r="C21" i="95"/>
  <c r="E21" i="95" s="1"/>
  <c r="C18" i="95"/>
  <c r="E18" i="95" s="1"/>
  <c r="Z8" i="95"/>
  <c r="Z9" i="95"/>
  <c r="I19" i="23"/>
  <c r="M19" i="23" s="1"/>
  <c r="N19" i="23" s="1"/>
  <c r="I10" i="23"/>
  <c r="M10" i="23" s="1"/>
  <c r="N10" i="23" s="1"/>
  <c r="I18" i="23"/>
  <c r="M18" i="23" s="1"/>
  <c r="N18" i="23" s="1"/>
  <c r="I14" i="23"/>
  <c r="M14" i="23" s="1"/>
  <c r="N14" i="23" s="1"/>
  <c r="I9" i="23"/>
  <c r="M9" i="23" s="1"/>
  <c r="N9" i="23" s="1"/>
  <c r="I13" i="23"/>
  <c r="M13" i="23" s="1"/>
  <c r="N13" i="23" s="1"/>
  <c r="I7" i="23"/>
  <c r="M7" i="23" s="1"/>
  <c r="N7" i="23" s="1"/>
  <c r="I6" i="23"/>
  <c r="M6" i="23" s="1"/>
  <c r="N6" i="23" s="1"/>
  <c r="D13" i="63"/>
  <c r="D14" i="63" s="1"/>
  <c r="N47" i="23" s="1"/>
  <c r="C76" i="84"/>
  <c r="C97" i="84" s="1"/>
  <c r="C29" i="78"/>
  <c r="P76" i="84"/>
  <c r="P77" i="84" s="1"/>
  <c r="P78" i="84" s="1"/>
  <c r="P79" i="84" s="1"/>
  <c r="P80" i="84" s="1"/>
  <c r="P81" i="84" s="1"/>
  <c r="P82" i="84" s="1"/>
  <c r="P83" i="84" s="1"/>
  <c r="P84" i="84" s="1"/>
  <c r="P85" i="84" s="1"/>
  <c r="P86" i="84" s="1"/>
  <c r="P87" i="84" s="1"/>
  <c r="P88" i="84" s="1"/>
  <c r="P89" i="84" s="1"/>
  <c r="P90" i="84" s="1"/>
  <c r="P91" i="84" s="1"/>
  <c r="P92" i="84" s="1"/>
  <c r="P93" i="84" s="1"/>
  <c r="P94" i="84" s="1"/>
  <c r="P95" i="84" s="1"/>
  <c r="P96" i="84" s="1"/>
  <c r="P97" i="84" s="1"/>
  <c r="P98" i="84" s="1"/>
  <c r="P99" i="84" s="1"/>
  <c r="P100" i="84" s="1"/>
  <c r="P101" i="84" s="1"/>
  <c r="P102" i="84" s="1"/>
  <c r="P103" i="84" s="1"/>
  <c r="P104" i="84" s="1"/>
  <c r="P105" i="84" s="1"/>
  <c r="P106" i="84" s="1"/>
  <c r="P107" i="84" s="1"/>
  <c r="P108" i="84" s="1"/>
  <c r="P109" i="84" s="1"/>
  <c r="P110" i="84" s="1"/>
  <c r="P111" i="84" s="1"/>
  <c r="P112" i="84" s="1"/>
  <c r="P113" i="84" s="1"/>
  <c r="P114" i="84" s="1"/>
  <c r="P115" i="84" s="1"/>
  <c r="P116" i="84" s="1"/>
  <c r="P117" i="84" s="1"/>
  <c r="P118" i="84" s="1"/>
  <c r="P119" i="84" s="1"/>
  <c r="P120" i="84" s="1"/>
  <c r="P121" i="84" s="1"/>
  <c r="P122" i="84" s="1"/>
  <c r="C81" i="85"/>
  <c r="C102" i="85" s="1"/>
  <c r="AB9" i="23"/>
  <c r="AC7" i="23"/>
  <c r="AC6" i="23"/>
  <c r="F10" i="63"/>
  <c r="F10" i="71"/>
  <c r="D13" i="71"/>
  <c r="F10" i="80"/>
  <c r="F11" i="80" s="1"/>
  <c r="C29" i="80"/>
  <c r="F10" i="67"/>
  <c r="F11" i="67" s="1"/>
  <c r="D13" i="80"/>
  <c r="D14" i="80" s="1"/>
  <c r="N42" i="23" s="1"/>
  <c r="C80" i="85"/>
  <c r="C101" i="85" s="1"/>
  <c r="F10" i="84"/>
  <c r="D13" i="84"/>
  <c r="D14" i="84" s="1"/>
  <c r="N44" i="23" s="1"/>
  <c r="F10" i="76"/>
  <c r="C83" i="85"/>
  <c r="C100" i="85" s="1"/>
  <c r="C28" i="85"/>
  <c r="C85" i="85"/>
  <c r="D13" i="85"/>
  <c r="D14" i="85" s="1"/>
  <c r="N41" i="23" s="1"/>
  <c r="C82" i="85"/>
  <c r="C35" i="85"/>
  <c r="C107" i="85" s="1"/>
  <c r="S128" i="85"/>
  <c r="S79" i="85" s="1"/>
  <c r="G103" i="85"/>
  <c r="F103" i="85"/>
  <c r="G105" i="85"/>
  <c r="F105" i="85"/>
  <c r="F104" i="85"/>
  <c r="T128" i="85"/>
  <c r="G104" i="85"/>
  <c r="C77" i="84"/>
  <c r="C98" i="84" s="1"/>
  <c r="C79" i="84"/>
  <c r="C96" i="84" s="1"/>
  <c r="C78" i="84"/>
  <c r="C35" i="84"/>
  <c r="C103" i="84" s="1"/>
  <c r="C30" i="82"/>
  <c r="C35" i="82"/>
  <c r="D13" i="82"/>
  <c r="D14" i="82" s="1"/>
  <c r="N34" i="23" s="1"/>
  <c r="C77" i="80"/>
  <c r="C98" i="80" s="1"/>
  <c r="C35" i="80"/>
  <c r="C103" i="80" s="1"/>
  <c r="C97" i="80"/>
  <c r="C81" i="78"/>
  <c r="C102" i="78" s="1"/>
  <c r="C30" i="78"/>
  <c r="C84" i="78"/>
  <c r="C85" i="78"/>
  <c r="D13" i="78"/>
  <c r="D14" i="78" s="1"/>
  <c r="N37" i="23" s="1"/>
  <c r="C35" i="78"/>
  <c r="C107" i="78" s="1"/>
  <c r="C28" i="78"/>
  <c r="F105" i="78"/>
  <c r="G105" i="78"/>
  <c r="C101" i="78"/>
  <c r="S128" i="78"/>
  <c r="F103" i="78"/>
  <c r="T128" i="78"/>
  <c r="G104" i="78"/>
  <c r="G103" i="78"/>
  <c r="F104" i="78"/>
  <c r="P10" i="23"/>
  <c r="Q10" i="23" s="1"/>
  <c r="T66" i="76"/>
  <c r="T65" i="76"/>
  <c r="T64" i="76"/>
  <c r="T63" i="76"/>
  <c r="T62" i="76"/>
  <c r="T61" i="76"/>
  <c r="T57" i="76"/>
  <c r="T56" i="76"/>
  <c r="A115" i="76"/>
  <c r="C105" i="76"/>
  <c r="C104" i="76"/>
  <c r="C103" i="76"/>
  <c r="E100" i="76"/>
  <c r="A100" i="76"/>
  <c r="A101" i="76" s="1"/>
  <c r="A102" i="76" s="1"/>
  <c r="A103" i="76" s="1"/>
  <c r="A104" i="76" s="1"/>
  <c r="A105" i="76" s="1"/>
  <c r="A106" i="76" s="1"/>
  <c r="A107" i="76" s="1"/>
  <c r="A108" i="76" s="1"/>
  <c r="D91" i="76"/>
  <c r="D92" i="76" s="1"/>
  <c r="D93" i="76" s="1"/>
  <c r="D94" i="76" s="1"/>
  <c r="D95" i="76" s="1"/>
  <c r="E95" i="76" s="1"/>
  <c r="B91" i="76"/>
  <c r="B92" i="76" s="1"/>
  <c r="B93" i="76" s="1"/>
  <c r="B94" i="76" s="1"/>
  <c r="B95" i="76" s="1"/>
  <c r="A91" i="76"/>
  <c r="A92" i="76" s="1"/>
  <c r="A93" i="76" s="1"/>
  <c r="A94" i="76" s="1"/>
  <c r="A95" i="76" s="1"/>
  <c r="O80" i="76"/>
  <c r="O81" i="76" s="1"/>
  <c r="O82" i="76" s="1"/>
  <c r="O83" i="76" s="1"/>
  <c r="O84" i="76" s="1"/>
  <c r="O85" i="76" s="1"/>
  <c r="O86" i="76" s="1"/>
  <c r="O87" i="76" s="1"/>
  <c r="I80" i="76"/>
  <c r="I81" i="76" s="1"/>
  <c r="I82" i="76" s="1"/>
  <c r="I83" i="76" s="1"/>
  <c r="I84" i="76" s="1"/>
  <c r="I85" i="76" s="1"/>
  <c r="I86" i="76" s="1"/>
  <c r="I87" i="76" s="1"/>
  <c r="I88" i="76" s="1"/>
  <c r="I89" i="76" s="1"/>
  <c r="I90" i="76" s="1"/>
  <c r="I91" i="76" s="1"/>
  <c r="I92" i="76" s="1"/>
  <c r="I93" i="76" s="1"/>
  <c r="I94" i="76" s="1"/>
  <c r="I95" i="76" s="1"/>
  <c r="I96" i="76" s="1"/>
  <c r="I97" i="76" s="1"/>
  <c r="I98" i="76" s="1"/>
  <c r="I99" i="76" s="1"/>
  <c r="I100" i="76" s="1"/>
  <c r="I101" i="76" s="1"/>
  <c r="I102" i="76" s="1"/>
  <c r="I103" i="76" s="1"/>
  <c r="I104" i="76" s="1"/>
  <c r="I105" i="76" s="1"/>
  <c r="I106" i="76" s="1"/>
  <c r="I107" i="76" s="1"/>
  <c r="I108" i="76" s="1"/>
  <c r="I109" i="76" s="1"/>
  <c r="I110" i="76" s="1"/>
  <c r="I111" i="76" s="1"/>
  <c r="I112" i="76" s="1"/>
  <c r="I113" i="76" s="1"/>
  <c r="I114" i="76" s="1"/>
  <c r="I115" i="76" s="1"/>
  <c r="I116" i="76" s="1"/>
  <c r="I117" i="76" s="1"/>
  <c r="I118" i="76" s="1"/>
  <c r="I119" i="76" s="1"/>
  <c r="I120" i="76" s="1"/>
  <c r="I121" i="76" s="1"/>
  <c r="I122" i="76" s="1"/>
  <c r="I123" i="76" s="1"/>
  <c r="I124" i="76" s="1"/>
  <c r="I125" i="76" s="1"/>
  <c r="I126" i="76" s="1"/>
  <c r="A80" i="76"/>
  <c r="A81" i="76" s="1"/>
  <c r="A82" i="76" s="1"/>
  <c r="A83" i="76" s="1"/>
  <c r="A84" i="76" s="1"/>
  <c r="A85" i="76" s="1"/>
  <c r="A86" i="76" s="1"/>
  <c r="P79" i="76"/>
  <c r="A75" i="76"/>
  <c r="A43" i="76"/>
  <c r="E28" i="76"/>
  <c r="A28" i="76"/>
  <c r="A29" i="76" s="1"/>
  <c r="A30" i="76" s="1"/>
  <c r="A31" i="76" s="1"/>
  <c r="A32" i="76" s="1"/>
  <c r="A33" i="76" s="1"/>
  <c r="A34" i="76" s="1"/>
  <c r="A35" i="76" s="1"/>
  <c r="A36" i="76" s="1"/>
  <c r="D19" i="76"/>
  <c r="D20" i="76" s="1"/>
  <c r="D21" i="76" s="1"/>
  <c r="D22" i="76" s="1"/>
  <c r="D23" i="76" s="1"/>
  <c r="E23" i="76" s="1"/>
  <c r="B19" i="76"/>
  <c r="B20" i="76" s="1"/>
  <c r="B21" i="76" s="1"/>
  <c r="B22" i="76" s="1"/>
  <c r="B23" i="76" s="1"/>
  <c r="A19" i="76"/>
  <c r="A20" i="76" s="1"/>
  <c r="A21" i="76" s="1"/>
  <c r="A22" i="76" s="1"/>
  <c r="A23" i="76" s="1"/>
  <c r="C86" i="76"/>
  <c r="C85" i="76"/>
  <c r="C84" i="76"/>
  <c r="C83" i="76"/>
  <c r="C100" i="76" s="1"/>
  <c r="G82" i="76"/>
  <c r="F81" i="76"/>
  <c r="O8" i="76"/>
  <c r="O9" i="76" s="1"/>
  <c r="O10" i="76" s="1"/>
  <c r="I8" i="76"/>
  <c r="I9" i="76" s="1"/>
  <c r="I10" i="76" s="1"/>
  <c r="I11" i="76" s="1"/>
  <c r="I12" i="76" s="1"/>
  <c r="I13" i="76" s="1"/>
  <c r="I14" i="76" s="1"/>
  <c r="I15" i="76" s="1"/>
  <c r="I16" i="76" s="1"/>
  <c r="I17" i="76" s="1"/>
  <c r="I18" i="76" s="1"/>
  <c r="I19" i="76" s="1"/>
  <c r="I20" i="76" s="1"/>
  <c r="I21" i="76" s="1"/>
  <c r="I22" i="76" s="1"/>
  <c r="I23" i="76" s="1"/>
  <c r="I24" i="76" s="1"/>
  <c r="I25" i="76" s="1"/>
  <c r="I26" i="76" s="1"/>
  <c r="I27" i="76" s="1"/>
  <c r="I28" i="76" s="1"/>
  <c r="I29" i="76" s="1"/>
  <c r="I30" i="76" s="1"/>
  <c r="I31" i="76" s="1"/>
  <c r="I32" i="76" s="1"/>
  <c r="I33" i="76" s="1"/>
  <c r="I34" i="76" s="1"/>
  <c r="I35" i="76" s="1"/>
  <c r="I36" i="76" s="1"/>
  <c r="I37" i="76" s="1"/>
  <c r="I38" i="76" s="1"/>
  <c r="I39" i="76" s="1"/>
  <c r="I40" i="76" s="1"/>
  <c r="I41" i="76" s="1"/>
  <c r="I42" i="76" s="1"/>
  <c r="I43" i="76" s="1"/>
  <c r="I44" i="76" s="1"/>
  <c r="I45" i="76" s="1"/>
  <c r="I46" i="76" s="1"/>
  <c r="I47" i="76" s="1"/>
  <c r="I48" i="76" s="1"/>
  <c r="I49" i="76" s="1"/>
  <c r="I50" i="76" s="1"/>
  <c r="I51" i="76" s="1"/>
  <c r="I52" i="76" s="1"/>
  <c r="I53" i="76" s="1"/>
  <c r="I54" i="76" s="1"/>
  <c r="I55" i="76" s="1"/>
  <c r="I56" i="76" s="1"/>
  <c r="I57" i="76" s="1"/>
  <c r="I58" i="76" s="1"/>
  <c r="I59" i="76" s="1"/>
  <c r="I60" i="76" s="1"/>
  <c r="I61" i="76" s="1"/>
  <c r="I62" i="76" s="1"/>
  <c r="I63" i="76" s="1"/>
  <c r="I64" i="76" s="1"/>
  <c r="I65" i="76" s="1"/>
  <c r="I66" i="76" s="1"/>
  <c r="A8" i="76"/>
  <c r="A9" i="76" s="1"/>
  <c r="A10" i="76" s="1"/>
  <c r="A11" i="76" s="1"/>
  <c r="A12" i="76" s="1"/>
  <c r="A13" i="76" s="1"/>
  <c r="A14" i="76" s="1"/>
  <c r="J67" i="103" l="1"/>
  <c r="L69" i="103"/>
  <c r="L7" i="103" s="1"/>
  <c r="R7" i="103" s="1"/>
  <c r="S7" i="103" s="1"/>
  <c r="AD7" i="103" s="1"/>
  <c r="AD8" i="103" s="1"/>
  <c r="AE8" i="103" s="1"/>
  <c r="L69" i="105"/>
  <c r="L7" i="105" s="1"/>
  <c r="R7" i="105" s="1"/>
  <c r="S7" i="105" s="1"/>
  <c r="J7" i="105"/>
  <c r="K7" i="105" s="1"/>
  <c r="J67" i="105"/>
  <c r="Q4" i="103"/>
  <c r="P7" i="103" s="1"/>
  <c r="P8" i="103" s="1"/>
  <c r="P9" i="103" s="1"/>
  <c r="P10" i="103" s="1"/>
  <c r="P11" i="103" s="1"/>
  <c r="P12" i="103" s="1"/>
  <c r="P13" i="103" s="1"/>
  <c r="P14" i="103" s="1"/>
  <c r="P15" i="103" s="1"/>
  <c r="P16" i="103" s="1"/>
  <c r="P17" i="103" s="1"/>
  <c r="P18" i="103" s="1"/>
  <c r="P19" i="103" s="1"/>
  <c r="P20" i="103" s="1"/>
  <c r="P21" i="103" s="1"/>
  <c r="P22" i="103" s="1"/>
  <c r="P23" i="103" s="1"/>
  <c r="P24" i="103" s="1"/>
  <c r="P25" i="103" s="1"/>
  <c r="P26" i="103" s="1"/>
  <c r="P27" i="103" s="1"/>
  <c r="P28" i="103" s="1"/>
  <c r="P29" i="103" s="1"/>
  <c r="P30" i="103" s="1"/>
  <c r="P31" i="103" s="1"/>
  <c r="P32" i="103" s="1"/>
  <c r="P33" i="103" s="1"/>
  <c r="P34" i="103" s="1"/>
  <c r="P35" i="103" s="1"/>
  <c r="P36" i="103" s="1"/>
  <c r="P37" i="103" s="1"/>
  <c r="P38" i="103" s="1"/>
  <c r="P39" i="103" s="1"/>
  <c r="P40" i="103" s="1"/>
  <c r="P41" i="103" s="1"/>
  <c r="P42" i="103" s="1"/>
  <c r="P43" i="103" s="1"/>
  <c r="P44" i="103" s="1"/>
  <c r="P45" i="103" s="1"/>
  <c r="P46" i="103" s="1"/>
  <c r="P47" i="103" s="1"/>
  <c r="P48" i="103" s="1"/>
  <c r="P49" i="103" s="1"/>
  <c r="P50" i="103" s="1"/>
  <c r="P51" i="103" s="1"/>
  <c r="P52" i="103" s="1"/>
  <c r="P53" i="103" s="1"/>
  <c r="P54" i="103" s="1"/>
  <c r="P55" i="103" s="1"/>
  <c r="P56" i="103" s="1"/>
  <c r="P57" i="103" s="1"/>
  <c r="P58" i="103" s="1"/>
  <c r="P59" i="103" s="1"/>
  <c r="P60" i="103" s="1"/>
  <c r="P61" i="103" s="1"/>
  <c r="P62" i="103" s="1"/>
  <c r="P63" i="103" s="1"/>
  <c r="P64" i="103" s="1"/>
  <c r="P65" i="103" s="1"/>
  <c r="P66" i="103" s="1"/>
  <c r="Q4" i="105"/>
  <c r="P7" i="105" s="1"/>
  <c r="AA35" i="105"/>
  <c r="AB35" i="105" s="1"/>
  <c r="V35" i="105" s="1"/>
  <c r="O37" i="105"/>
  <c r="AE36" i="105"/>
  <c r="Z36" i="105"/>
  <c r="K89" i="104"/>
  <c r="M89" i="104" s="1"/>
  <c r="J90" i="104" s="1"/>
  <c r="K90" i="104" s="1"/>
  <c r="M90" i="104" s="1"/>
  <c r="J91" i="104" s="1"/>
  <c r="K91" i="104" s="1"/>
  <c r="M91" i="104" s="1"/>
  <c r="J92" i="104" s="1"/>
  <c r="K7" i="103"/>
  <c r="J67" i="104"/>
  <c r="J7" i="104"/>
  <c r="L69" i="104"/>
  <c r="L7" i="104" s="1"/>
  <c r="R7" i="104" s="1"/>
  <c r="S7" i="104" s="1"/>
  <c r="Q4" i="78"/>
  <c r="P7" i="78" s="1"/>
  <c r="P8" i="78" s="1"/>
  <c r="P9" i="78" s="1"/>
  <c r="P10" i="78" s="1"/>
  <c r="P11" i="78" s="1"/>
  <c r="P12" i="78" s="1"/>
  <c r="P13" i="78" s="1"/>
  <c r="P14" i="78" s="1"/>
  <c r="P15" i="78" s="1"/>
  <c r="P16" i="78" s="1"/>
  <c r="P17" i="78" s="1"/>
  <c r="P18" i="78" s="1"/>
  <c r="P19" i="78" s="1"/>
  <c r="P20" i="78" s="1"/>
  <c r="P21" i="78" s="1"/>
  <c r="P22" i="78" s="1"/>
  <c r="P23" i="78" s="1"/>
  <c r="P24" i="78" s="1"/>
  <c r="P25" i="78" s="1"/>
  <c r="P26" i="78" s="1"/>
  <c r="P27" i="78" s="1"/>
  <c r="P28" i="78" s="1"/>
  <c r="P29" i="78" s="1"/>
  <c r="P30" i="78" s="1"/>
  <c r="P31" i="78" s="1"/>
  <c r="P32" i="78" s="1"/>
  <c r="P33" i="78" s="1"/>
  <c r="P34" i="78" s="1"/>
  <c r="P35" i="78" s="1"/>
  <c r="P36" i="78" s="1"/>
  <c r="P37" i="78" s="1"/>
  <c r="P38" i="78" s="1"/>
  <c r="P39" i="78" s="1"/>
  <c r="P40" i="78" s="1"/>
  <c r="P41" i="78" s="1"/>
  <c r="P42" i="78" s="1"/>
  <c r="P43" i="78" s="1"/>
  <c r="P44" i="78" s="1"/>
  <c r="P45" i="78" s="1"/>
  <c r="P46" i="78" s="1"/>
  <c r="P47" i="78" s="1"/>
  <c r="P48" i="78" s="1"/>
  <c r="P49" i="78" s="1"/>
  <c r="P50" i="78" s="1"/>
  <c r="P51" i="78" s="1"/>
  <c r="P52" i="78" s="1"/>
  <c r="P53" i="78" s="1"/>
  <c r="P54" i="78" s="1"/>
  <c r="P55" i="78" s="1"/>
  <c r="P56" i="78" s="1"/>
  <c r="P57" i="78" s="1"/>
  <c r="P58" i="78" s="1"/>
  <c r="P59" i="78" s="1"/>
  <c r="P60" i="78" s="1"/>
  <c r="P61" i="78" s="1"/>
  <c r="P62" i="78" s="1"/>
  <c r="P63" i="78" s="1"/>
  <c r="P64" i="78" s="1"/>
  <c r="P65" i="78" s="1"/>
  <c r="P66" i="78" s="1"/>
  <c r="Q4" i="104"/>
  <c r="O11" i="95"/>
  <c r="AE10" i="95"/>
  <c r="D14" i="71"/>
  <c r="N46" i="23" s="1"/>
  <c r="V67" i="96"/>
  <c r="D30" i="96" s="1"/>
  <c r="F30" i="96" s="1"/>
  <c r="G30" i="96" s="1"/>
  <c r="T67" i="96"/>
  <c r="T69" i="96" s="1"/>
  <c r="T55" i="96" s="1"/>
  <c r="T73" i="96" s="1"/>
  <c r="V127" i="96"/>
  <c r="D102" i="96" s="1"/>
  <c r="F102" i="96" s="1"/>
  <c r="G102" i="96" s="1"/>
  <c r="F11" i="96"/>
  <c r="C7" i="96" s="1"/>
  <c r="J67" i="96" s="1"/>
  <c r="J67" i="95"/>
  <c r="J7" i="95"/>
  <c r="K7" i="95" s="1"/>
  <c r="M7" i="95" s="1"/>
  <c r="AG4" i="95"/>
  <c r="AI4" i="95"/>
  <c r="Q4" i="82"/>
  <c r="P7" i="82" s="1"/>
  <c r="P8" i="82" s="1"/>
  <c r="P9" i="82" s="1"/>
  <c r="P10" i="82" s="1"/>
  <c r="P11" i="82" s="1"/>
  <c r="P12" i="82" s="1"/>
  <c r="P13" i="82" s="1"/>
  <c r="P14" i="82" s="1"/>
  <c r="P15" i="82" s="1"/>
  <c r="P16" i="82" s="1"/>
  <c r="P17" i="82" s="1"/>
  <c r="P18" i="82" s="1"/>
  <c r="P19" i="82" s="1"/>
  <c r="P20" i="82" s="1"/>
  <c r="P21" i="82" s="1"/>
  <c r="P22" i="82" s="1"/>
  <c r="P23" i="82" s="1"/>
  <c r="P24" i="82" s="1"/>
  <c r="P25" i="82" s="1"/>
  <c r="P26" i="82" s="1"/>
  <c r="P27" i="82" s="1"/>
  <c r="P28" i="82" s="1"/>
  <c r="P29" i="82" s="1"/>
  <c r="P30" i="82" s="1"/>
  <c r="P31" i="82" s="1"/>
  <c r="P32" i="82" s="1"/>
  <c r="P33" i="82" s="1"/>
  <c r="P34" i="82" s="1"/>
  <c r="P35" i="82" s="1"/>
  <c r="P36" i="82" s="1"/>
  <c r="P37" i="82" s="1"/>
  <c r="P38" i="82" s="1"/>
  <c r="P39" i="82" s="1"/>
  <c r="P40" i="82" s="1"/>
  <c r="P41" i="82" s="1"/>
  <c r="P42" i="82" s="1"/>
  <c r="P43" i="82" s="1"/>
  <c r="P44" i="82" s="1"/>
  <c r="P45" i="82" s="1"/>
  <c r="P46" i="82" s="1"/>
  <c r="P47" i="82" s="1"/>
  <c r="P48" i="82" s="1"/>
  <c r="P49" i="82" s="1"/>
  <c r="P50" i="82" s="1"/>
  <c r="P51" i="82" s="1"/>
  <c r="P52" i="82" s="1"/>
  <c r="P53" i="82" s="1"/>
  <c r="P54" i="82" s="1"/>
  <c r="P55" i="82" s="1"/>
  <c r="P56" i="82" s="1"/>
  <c r="P57" i="82" s="1"/>
  <c r="P58" i="82" s="1"/>
  <c r="P59" i="82" s="1"/>
  <c r="P60" i="82" s="1"/>
  <c r="P61" i="82" s="1"/>
  <c r="P62" i="82" s="1"/>
  <c r="P63" i="82" s="1"/>
  <c r="P64" i="82" s="1"/>
  <c r="P65" i="82" s="1"/>
  <c r="P66" i="82" s="1"/>
  <c r="Q4" i="95"/>
  <c r="P7" i="95" s="1"/>
  <c r="L129" i="96"/>
  <c r="L126" i="96" s="1"/>
  <c r="L79" i="96" s="1"/>
  <c r="J79" i="96"/>
  <c r="K79" i="96" s="1"/>
  <c r="J127" i="96"/>
  <c r="D99" i="96"/>
  <c r="F99" i="96" s="1"/>
  <c r="D100" i="96"/>
  <c r="F100" i="96" s="1"/>
  <c r="G100" i="96" s="1"/>
  <c r="AA10" i="95"/>
  <c r="AB10" i="95" s="1"/>
  <c r="V10" i="95" s="1"/>
  <c r="G33" i="95"/>
  <c r="F33" i="95"/>
  <c r="AA8" i="95"/>
  <c r="AB8" i="95" s="1"/>
  <c r="V8" i="95" s="1"/>
  <c r="S68" i="95"/>
  <c r="S7" i="95" s="1"/>
  <c r="S72" i="95"/>
  <c r="G31" i="95"/>
  <c r="F31" i="95"/>
  <c r="T72" i="95"/>
  <c r="T68" i="95"/>
  <c r="G32" i="95"/>
  <c r="F32" i="95"/>
  <c r="AA9" i="95"/>
  <c r="AB9" i="95" s="1"/>
  <c r="V9" i="95" s="1"/>
  <c r="AA7" i="95"/>
  <c r="AB7" i="95" s="1"/>
  <c r="V7" i="95" s="1"/>
  <c r="C7" i="80"/>
  <c r="D33" i="80" s="1"/>
  <c r="F11" i="71"/>
  <c r="C7" i="71" s="1"/>
  <c r="F11" i="76"/>
  <c r="C7" i="76" s="1"/>
  <c r="F11" i="84"/>
  <c r="C7" i="84" s="1"/>
  <c r="D33" i="84" s="1"/>
  <c r="F11" i="63"/>
  <c r="C7" i="63" s="1"/>
  <c r="D33" i="63" s="1"/>
  <c r="C7" i="67"/>
  <c r="D33" i="67" s="1"/>
  <c r="D31" i="80"/>
  <c r="D32" i="80"/>
  <c r="D33" i="71"/>
  <c r="D31" i="71"/>
  <c r="D28" i="71"/>
  <c r="D32" i="71"/>
  <c r="D32" i="84"/>
  <c r="D28" i="80"/>
  <c r="AB10" i="23"/>
  <c r="AC9" i="23"/>
  <c r="Q4" i="76" s="1"/>
  <c r="P7" i="76" s="1"/>
  <c r="P8" i="76" s="1"/>
  <c r="P9" i="76" s="1"/>
  <c r="P10" i="76" s="1"/>
  <c r="P11" i="76" s="1"/>
  <c r="P12" i="76" s="1"/>
  <c r="P13" i="76" s="1"/>
  <c r="P14" i="76" s="1"/>
  <c r="P15" i="76" s="1"/>
  <c r="P16" i="76" s="1"/>
  <c r="P17" i="76" s="1"/>
  <c r="P18" i="76" s="1"/>
  <c r="P19" i="76" s="1"/>
  <c r="P20" i="76" s="1"/>
  <c r="P21" i="76" s="1"/>
  <c r="P22" i="76" s="1"/>
  <c r="P23" i="76" s="1"/>
  <c r="P24" i="76" s="1"/>
  <c r="P25" i="76" s="1"/>
  <c r="P26" i="76" s="1"/>
  <c r="P27" i="76" s="1"/>
  <c r="P28" i="76" s="1"/>
  <c r="P29" i="76" s="1"/>
  <c r="P30" i="76" s="1"/>
  <c r="P31" i="76" s="1"/>
  <c r="P32" i="76" s="1"/>
  <c r="P33" i="76" s="1"/>
  <c r="P34" i="76" s="1"/>
  <c r="P35" i="76" s="1"/>
  <c r="P36" i="76" s="1"/>
  <c r="P37" i="76" s="1"/>
  <c r="P38" i="76" s="1"/>
  <c r="P39" i="76" s="1"/>
  <c r="P40" i="76" s="1"/>
  <c r="P41" i="76" s="1"/>
  <c r="P42" i="76" s="1"/>
  <c r="P43" i="76" s="1"/>
  <c r="P44" i="76" s="1"/>
  <c r="P45" i="76" s="1"/>
  <c r="P46" i="76" s="1"/>
  <c r="P47" i="76" s="1"/>
  <c r="P48" i="76" s="1"/>
  <c r="P49" i="76" s="1"/>
  <c r="P50" i="76" s="1"/>
  <c r="P51" i="76" s="1"/>
  <c r="P52" i="76" s="1"/>
  <c r="P53" i="76" s="1"/>
  <c r="P54" i="76" s="1"/>
  <c r="P55" i="76" s="1"/>
  <c r="P56" i="76" s="1"/>
  <c r="P57" i="76" s="1"/>
  <c r="P58" i="76" s="1"/>
  <c r="P59" i="76" s="1"/>
  <c r="P60" i="76" s="1"/>
  <c r="P61" i="76" s="1"/>
  <c r="P62" i="76" s="1"/>
  <c r="P63" i="76" s="1"/>
  <c r="P64" i="76" s="1"/>
  <c r="P65" i="76" s="1"/>
  <c r="P66" i="76" s="1"/>
  <c r="D32" i="63"/>
  <c r="D28" i="84"/>
  <c r="D31" i="84"/>
  <c r="D28" i="63"/>
  <c r="D31" i="67"/>
  <c r="D32" i="67"/>
  <c r="D31" i="63"/>
  <c r="D28" i="67"/>
  <c r="T126" i="85"/>
  <c r="T108" i="85"/>
  <c r="S80" i="85"/>
  <c r="S81" i="85" s="1"/>
  <c r="S82" i="85" s="1"/>
  <c r="S83" i="85" s="1"/>
  <c r="S84" i="85" s="1"/>
  <c r="S85" i="85" s="1"/>
  <c r="S86" i="85" s="1"/>
  <c r="S87" i="85" s="1"/>
  <c r="S88" i="85" s="1"/>
  <c r="S89" i="85" s="1"/>
  <c r="S90" i="85" s="1"/>
  <c r="S91" i="85" s="1"/>
  <c r="S92" i="85" s="1"/>
  <c r="S93" i="85" s="1"/>
  <c r="S94" i="85" s="1"/>
  <c r="S95" i="85" s="1"/>
  <c r="S96" i="85" s="1"/>
  <c r="S97" i="85" s="1"/>
  <c r="S98" i="85" s="1"/>
  <c r="S99" i="85" s="1"/>
  <c r="S100" i="85" s="1"/>
  <c r="S101" i="85" s="1"/>
  <c r="S102" i="85" s="1"/>
  <c r="S103" i="85" s="1"/>
  <c r="S104" i="85" s="1"/>
  <c r="S105" i="85" s="1"/>
  <c r="S106" i="85" s="1"/>
  <c r="S107" i="85" s="1"/>
  <c r="S108" i="85" s="1"/>
  <c r="S109" i="85" s="1"/>
  <c r="S110" i="85" s="1"/>
  <c r="S111" i="85" s="1"/>
  <c r="S112" i="85" s="1"/>
  <c r="S113" i="85" s="1"/>
  <c r="S114" i="85" s="1"/>
  <c r="S115" i="85" s="1"/>
  <c r="S116" i="85" s="1"/>
  <c r="S117" i="85" s="1"/>
  <c r="S118" i="85" s="1"/>
  <c r="S119" i="85" s="1"/>
  <c r="S120" i="85" s="1"/>
  <c r="S121" i="85" s="1"/>
  <c r="S122" i="85" s="1"/>
  <c r="S123" i="85" s="1"/>
  <c r="S124" i="85" s="1"/>
  <c r="S125" i="85" s="1"/>
  <c r="S126" i="85" s="1"/>
  <c r="S79" i="78"/>
  <c r="T108" i="78"/>
  <c r="T126" i="78"/>
  <c r="D13" i="76"/>
  <c r="D14" i="76" s="1"/>
  <c r="N38" i="23" s="1"/>
  <c r="C28" i="76"/>
  <c r="T128" i="76"/>
  <c r="T126" i="76" s="1"/>
  <c r="G104" i="76"/>
  <c r="F104" i="76"/>
  <c r="C82" i="76"/>
  <c r="C35" i="76"/>
  <c r="C107" i="76" s="1"/>
  <c r="O88" i="76"/>
  <c r="O89" i="76" s="1"/>
  <c r="O90" i="76" s="1"/>
  <c r="O91" i="76" s="1"/>
  <c r="O92" i="76" s="1"/>
  <c r="O93" i="76" s="1"/>
  <c r="O94" i="76" s="1"/>
  <c r="O95" i="76" s="1"/>
  <c r="O96" i="76" s="1"/>
  <c r="O97" i="76" s="1"/>
  <c r="O98" i="76" s="1"/>
  <c r="O99" i="76" s="1"/>
  <c r="O100" i="76" s="1"/>
  <c r="O101" i="76" s="1"/>
  <c r="O102" i="76" s="1"/>
  <c r="O103" i="76" s="1"/>
  <c r="O104" i="76" s="1"/>
  <c r="O105" i="76" s="1"/>
  <c r="O106" i="76" s="1"/>
  <c r="O107" i="76" s="1"/>
  <c r="O108" i="76" s="1"/>
  <c r="O109" i="76" s="1"/>
  <c r="O110" i="76" s="1"/>
  <c r="O111" i="76" s="1"/>
  <c r="O112" i="76" s="1"/>
  <c r="O113" i="76" s="1"/>
  <c r="O114" i="76" s="1"/>
  <c r="O115" i="76" s="1"/>
  <c r="O116" i="76" s="1"/>
  <c r="O117" i="76" s="1"/>
  <c r="O118" i="76" s="1"/>
  <c r="O119" i="76" s="1"/>
  <c r="O120" i="76" s="1"/>
  <c r="O121" i="76" s="1"/>
  <c r="O122" i="76" s="1"/>
  <c r="O123" i="76" s="1"/>
  <c r="O124" i="76" s="1"/>
  <c r="O125" i="76" s="1"/>
  <c r="O126" i="76" s="1"/>
  <c r="C80" i="76"/>
  <c r="C29" i="76"/>
  <c r="O11" i="76"/>
  <c r="O12" i="76" s="1"/>
  <c r="F82" i="76"/>
  <c r="F83" i="76" s="1"/>
  <c r="C81" i="76"/>
  <c r="C102" i="76" s="1"/>
  <c r="C30" i="76"/>
  <c r="G105" i="76"/>
  <c r="F105" i="76"/>
  <c r="S128" i="76"/>
  <c r="S79" i="76" s="1"/>
  <c r="F103" i="76"/>
  <c r="G103" i="76"/>
  <c r="M7" i="105" l="1"/>
  <c r="L8" i="105" s="1"/>
  <c r="R8" i="105" s="1"/>
  <c r="S8" i="105" s="1"/>
  <c r="AD9" i="103"/>
  <c r="AD10" i="103" s="1"/>
  <c r="M7" i="103"/>
  <c r="J8" i="103" s="1"/>
  <c r="AE7" i="103"/>
  <c r="AF7" i="105"/>
  <c r="P8" i="105"/>
  <c r="AA36" i="105"/>
  <c r="AB36" i="105" s="1"/>
  <c r="V36" i="105" s="1"/>
  <c r="O38" i="105"/>
  <c r="AE37" i="105"/>
  <c r="Z37" i="105"/>
  <c r="K92" i="104"/>
  <c r="M92" i="104" s="1"/>
  <c r="J93" i="104" s="1"/>
  <c r="K93" i="104" s="1"/>
  <c r="M93" i="104" s="1"/>
  <c r="J94" i="104" s="1"/>
  <c r="K94" i="104" s="1"/>
  <c r="M94" i="104" s="1"/>
  <c r="J95" i="104" s="1"/>
  <c r="P80" i="78"/>
  <c r="P81" i="78" s="1"/>
  <c r="P82" i="78" s="1"/>
  <c r="P83" i="78" s="1"/>
  <c r="P84" i="78" s="1"/>
  <c r="P85" i="78" s="1"/>
  <c r="P86" i="78" s="1"/>
  <c r="P87" i="78" s="1"/>
  <c r="P88" i="78" s="1"/>
  <c r="P89" i="78" s="1"/>
  <c r="P90" i="78" s="1"/>
  <c r="P91" i="78" s="1"/>
  <c r="P92" i="78" s="1"/>
  <c r="P93" i="78" s="1"/>
  <c r="P94" i="78" s="1"/>
  <c r="P95" i="78" s="1"/>
  <c r="P96" i="78" s="1"/>
  <c r="P97" i="78" s="1"/>
  <c r="P98" i="78" s="1"/>
  <c r="P99" i="78" s="1"/>
  <c r="P100" i="78" s="1"/>
  <c r="P101" i="78" s="1"/>
  <c r="P102" i="78" s="1"/>
  <c r="P103" i="78" s="1"/>
  <c r="P104" i="78" s="1"/>
  <c r="P105" i="78" s="1"/>
  <c r="P106" i="78" s="1"/>
  <c r="P107" i="78" s="1"/>
  <c r="P108" i="78" s="1"/>
  <c r="P109" i="78" s="1"/>
  <c r="P110" i="78" s="1"/>
  <c r="P111" i="78" s="1"/>
  <c r="P112" i="78" s="1"/>
  <c r="P113" i="78" s="1"/>
  <c r="P114" i="78" s="1"/>
  <c r="P115" i="78" s="1"/>
  <c r="P116" i="78" s="1"/>
  <c r="P117" i="78" s="1"/>
  <c r="P118" i="78" s="1"/>
  <c r="P119" i="78" s="1"/>
  <c r="P120" i="78" s="1"/>
  <c r="P121" i="78" s="1"/>
  <c r="P122" i="78" s="1"/>
  <c r="P123" i="78" s="1"/>
  <c r="P124" i="78" s="1"/>
  <c r="P125" i="78" s="1"/>
  <c r="P126" i="78" s="1"/>
  <c r="K7" i="104"/>
  <c r="M7" i="104" s="1"/>
  <c r="AD7" i="104"/>
  <c r="P7" i="104"/>
  <c r="P8" i="104" s="1"/>
  <c r="P9" i="104" s="1"/>
  <c r="P10" i="104" s="1"/>
  <c r="P11" i="104" s="1"/>
  <c r="P12" i="104" s="1"/>
  <c r="P13" i="104" s="1"/>
  <c r="P14" i="104" s="1"/>
  <c r="P15" i="104" s="1"/>
  <c r="P16" i="104" s="1"/>
  <c r="P17" i="104" s="1"/>
  <c r="P18" i="104" s="1"/>
  <c r="P19" i="104" s="1"/>
  <c r="P20" i="104" s="1"/>
  <c r="P21" i="104" s="1"/>
  <c r="P22" i="104" s="1"/>
  <c r="P23" i="104" s="1"/>
  <c r="P24" i="104" s="1"/>
  <c r="P25" i="104" s="1"/>
  <c r="P26" i="104" s="1"/>
  <c r="P27" i="104" s="1"/>
  <c r="P28" i="104" s="1"/>
  <c r="P29" i="104" s="1"/>
  <c r="P30" i="104" s="1"/>
  <c r="P31" i="104" s="1"/>
  <c r="P32" i="104" s="1"/>
  <c r="P33" i="104" s="1"/>
  <c r="P34" i="104" s="1"/>
  <c r="P35" i="104" s="1"/>
  <c r="P36" i="104" s="1"/>
  <c r="P37" i="104" s="1"/>
  <c r="P38" i="104" s="1"/>
  <c r="P39" i="104" s="1"/>
  <c r="P40" i="104" s="1"/>
  <c r="P41" i="104" s="1"/>
  <c r="P42" i="104" s="1"/>
  <c r="P43" i="104" s="1"/>
  <c r="P44" i="104" s="1"/>
  <c r="P45" i="104" s="1"/>
  <c r="P46" i="104" s="1"/>
  <c r="P47" i="104" s="1"/>
  <c r="P48" i="104" s="1"/>
  <c r="P49" i="104" s="1"/>
  <c r="P50" i="104" s="1"/>
  <c r="P51" i="104" s="1"/>
  <c r="P52" i="104" s="1"/>
  <c r="P53" i="104" s="1"/>
  <c r="P54" i="104" s="1"/>
  <c r="P55" i="104" s="1"/>
  <c r="P56" i="104" s="1"/>
  <c r="P57" i="104" s="1"/>
  <c r="P58" i="104" s="1"/>
  <c r="P59" i="104" s="1"/>
  <c r="P60" i="104" s="1"/>
  <c r="P61" i="104" s="1"/>
  <c r="P62" i="104" s="1"/>
  <c r="P63" i="104" s="1"/>
  <c r="P64" i="104" s="1"/>
  <c r="P65" i="104" s="1"/>
  <c r="P66" i="104" s="1"/>
  <c r="P80" i="104"/>
  <c r="P81" i="104" s="1"/>
  <c r="P82" i="104" s="1"/>
  <c r="P83" i="104" s="1"/>
  <c r="P84" i="104" s="1"/>
  <c r="P85" i="104" s="1"/>
  <c r="P86" i="104" s="1"/>
  <c r="P87" i="104" s="1"/>
  <c r="P88" i="104" s="1"/>
  <c r="P89" i="104" s="1"/>
  <c r="P90" i="104" s="1"/>
  <c r="P91" i="104" s="1"/>
  <c r="P92" i="104" s="1"/>
  <c r="P93" i="104" s="1"/>
  <c r="P94" i="104" s="1"/>
  <c r="P95" i="104" s="1"/>
  <c r="P96" i="104" s="1"/>
  <c r="P97" i="104" s="1"/>
  <c r="P98" i="104" s="1"/>
  <c r="P99" i="104" s="1"/>
  <c r="P100" i="104" s="1"/>
  <c r="P101" i="104" s="1"/>
  <c r="P102" i="104" s="1"/>
  <c r="P103" i="104" s="1"/>
  <c r="P104" i="104" s="1"/>
  <c r="P105" i="104" s="1"/>
  <c r="P106" i="104" s="1"/>
  <c r="P107" i="104" s="1"/>
  <c r="P108" i="104" s="1"/>
  <c r="P109" i="104" s="1"/>
  <c r="P110" i="104" s="1"/>
  <c r="P111" i="104" s="1"/>
  <c r="P112" i="104" s="1"/>
  <c r="P113" i="104" s="1"/>
  <c r="P114" i="104" s="1"/>
  <c r="P115" i="104" s="1"/>
  <c r="P116" i="104" s="1"/>
  <c r="P117" i="104" s="1"/>
  <c r="P118" i="104" s="1"/>
  <c r="P119" i="104" s="1"/>
  <c r="P120" i="104" s="1"/>
  <c r="P121" i="104" s="1"/>
  <c r="P122" i="104" s="1"/>
  <c r="P123" i="104" s="1"/>
  <c r="P124" i="104" s="1"/>
  <c r="P125" i="104" s="1"/>
  <c r="P126" i="104" s="1"/>
  <c r="O12" i="95"/>
  <c r="AE11" i="95"/>
  <c r="Z11" i="95"/>
  <c r="AA11" i="95" s="1"/>
  <c r="AB11" i="95" s="1"/>
  <c r="V11" i="95" s="1"/>
  <c r="L69" i="96"/>
  <c r="L7" i="96" s="1"/>
  <c r="R7" i="96" s="1"/>
  <c r="S7" i="96" s="1"/>
  <c r="AD7" i="96" s="1"/>
  <c r="AE7" i="96" s="1"/>
  <c r="J7" i="96"/>
  <c r="K7" i="96" s="1"/>
  <c r="G99" i="96"/>
  <c r="M79" i="96"/>
  <c r="J80" i="96" s="1"/>
  <c r="K80" i="96" s="1"/>
  <c r="AI62" i="95"/>
  <c r="AI47" i="95"/>
  <c r="AI40" i="95"/>
  <c r="AI33" i="95"/>
  <c r="AI26" i="95"/>
  <c r="AI19" i="95"/>
  <c r="AI12" i="95"/>
  <c r="AI37" i="95"/>
  <c r="AI53" i="95"/>
  <c r="AI55" i="95"/>
  <c r="AI48" i="95"/>
  <c r="AI41" i="95"/>
  <c r="AI34" i="95"/>
  <c r="AI27" i="95"/>
  <c r="AI20" i="95"/>
  <c r="AI14" i="95"/>
  <c r="AI63" i="95"/>
  <c r="AI61" i="95"/>
  <c r="AI56" i="95"/>
  <c r="AI49" i="95"/>
  <c r="AI42" i="95"/>
  <c r="AI35" i="95"/>
  <c r="AI28" i="95"/>
  <c r="AI23" i="95"/>
  <c r="AI16" i="95"/>
  <c r="AI59" i="95"/>
  <c r="AI22" i="95"/>
  <c r="AI64" i="95"/>
  <c r="AI45" i="95"/>
  <c r="AI57" i="95"/>
  <c r="AI50" i="95"/>
  <c r="AI43" i="95"/>
  <c r="AI36" i="95"/>
  <c r="AI38" i="95"/>
  <c r="AI9" i="95"/>
  <c r="AI66" i="95"/>
  <c r="AI52" i="95"/>
  <c r="AI30" i="95"/>
  <c r="AI15" i="95"/>
  <c r="AI8" i="95"/>
  <c r="AI65" i="95"/>
  <c r="AI29" i="95"/>
  <c r="AI58" i="95"/>
  <c r="AI51" i="95"/>
  <c r="AI44" i="95"/>
  <c r="AI46" i="95"/>
  <c r="AI31" i="95"/>
  <c r="AI24" i="95"/>
  <c r="AI17" i="95"/>
  <c r="AI10" i="95"/>
  <c r="AI7" i="95"/>
  <c r="AI21" i="95"/>
  <c r="AI60" i="95"/>
  <c r="AI54" i="95"/>
  <c r="AI39" i="95"/>
  <c r="AI32" i="95"/>
  <c r="AI25" i="95"/>
  <c r="AI18" i="95"/>
  <c r="AI11" i="95"/>
  <c r="AI13" i="95"/>
  <c r="AG66" i="95"/>
  <c r="AG51" i="95"/>
  <c r="AG44" i="95"/>
  <c r="AG37" i="95"/>
  <c r="AG30" i="95"/>
  <c r="AG23" i="95"/>
  <c r="AG16" i="95"/>
  <c r="AG25" i="95"/>
  <c r="AG27" i="95"/>
  <c r="AG7" i="95"/>
  <c r="AG10" i="95"/>
  <c r="AG59" i="95"/>
  <c r="AG52" i="95"/>
  <c r="AG45" i="95"/>
  <c r="AG38" i="95"/>
  <c r="AG31" i="95"/>
  <c r="AG24" i="95"/>
  <c r="AG42" i="95"/>
  <c r="AG63" i="95"/>
  <c r="AG18" i="95"/>
  <c r="AG17" i="95"/>
  <c r="AG60" i="95"/>
  <c r="AG53" i="95"/>
  <c r="AG46" i="95"/>
  <c r="AG39" i="95"/>
  <c r="AG32" i="95"/>
  <c r="AG20" i="95"/>
  <c r="AG13" i="95"/>
  <c r="AG9" i="95"/>
  <c r="AG26" i="95"/>
  <c r="AG65" i="95"/>
  <c r="AG11" i="95"/>
  <c r="AG33" i="95"/>
  <c r="AG61" i="95"/>
  <c r="AG54" i="95"/>
  <c r="AG47" i="95"/>
  <c r="AG40" i="95"/>
  <c r="AG34" i="95"/>
  <c r="AG19" i="95"/>
  <c r="AG12" i="95"/>
  <c r="AG41" i="95"/>
  <c r="AG62" i="95"/>
  <c r="AG55" i="95"/>
  <c r="AG48" i="95"/>
  <c r="AG56" i="95"/>
  <c r="AG50" i="95"/>
  <c r="AG35" i="95"/>
  <c r="AG28" i="95"/>
  <c r="AG21" i="95"/>
  <c r="AG14" i="95"/>
  <c r="AG49" i="95"/>
  <c r="AG64" i="95"/>
  <c r="AG58" i="95"/>
  <c r="AG43" i="95"/>
  <c r="AG36" i="95"/>
  <c r="AG29" i="95"/>
  <c r="AG22" i="95"/>
  <c r="AG15" i="95"/>
  <c r="AG57" i="95"/>
  <c r="AG8" i="95"/>
  <c r="P8" i="95"/>
  <c r="AF7" i="95"/>
  <c r="L80" i="96"/>
  <c r="L81" i="96" s="1"/>
  <c r="L82" i="96" s="1"/>
  <c r="L83" i="96" s="1"/>
  <c r="L84" i="96" s="1"/>
  <c r="L85" i="96" s="1"/>
  <c r="L86" i="96" s="1"/>
  <c r="L87" i="96" s="1"/>
  <c r="L88" i="96" s="1"/>
  <c r="L89" i="96" s="1"/>
  <c r="L90" i="96" s="1"/>
  <c r="L91" i="96" s="1"/>
  <c r="L92" i="96" s="1"/>
  <c r="L93" i="96" s="1"/>
  <c r="L94" i="96" s="1"/>
  <c r="L95" i="96" s="1"/>
  <c r="L96" i="96" s="1"/>
  <c r="L97" i="96" s="1"/>
  <c r="L98" i="96" s="1"/>
  <c r="L99" i="96" s="1"/>
  <c r="L100" i="96" s="1"/>
  <c r="L101" i="96" s="1"/>
  <c r="L102" i="96" s="1"/>
  <c r="L103" i="96" s="1"/>
  <c r="L104" i="96" s="1"/>
  <c r="L105" i="96" s="1"/>
  <c r="L106" i="96" s="1"/>
  <c r="L107" i="96" s="1"/>
  <c r="L108" i="96" s="1"/>
  <c r="L109" i="96" s="1"/>
  <c r="L110" i="96" s="1"/>
  <c r="L111" i="96" s="1"/>
  <c r="L112" i="96" s="1"/>
  <c r="L113" i="96" s="1"/>
  <c r="L114" i="96" s="1"/>
  <c r="L115" i="96" s="1"/>
  <c r="L116" i="96" s="1"/>
  <c r="L117" i="96" s="1"/>
  <c r="L118" i="96" s="1"/>
  <c r="L119" i="96" s="1"/>
  <c r="L120" i="96" s="1"/>
  <c r="L121" i="96" s="1"/>
  <c r="L122" i="96" s="1"/>
  <c r="L123" i="96" s="1"/>
  <c r="L124" i="96" s="1"/>
  <c r="L125" i="96" s="1"/>
  <c r="R79" i="96"/>
  <c r="R80" i="96" s="1"/>
  <c r="R81" i="96" s="1"/>
  <c r="R82" i="96" s="1"/>
  <c r="R83" i="96" s="1"/>
  <c r="R84" i="96" s="1"/>
  <c r="R85" i="96" s="1"/>
  <c r="R86" i="96" s="1"/>
  <c r="R87" i="96" s="1"/>
  <c r="R88" i="96" s="1"/>
  <c r="R89" i="96" s="1"/>
  <c r="R90" i="96" s="1"/>
  <c r="R91" i="96" s="1"/>
  <c r="R92" i="96" s="1"/>
  <c r="R93" i="96" s="1"/>
  <c r="R94" i="96" s="1"/>
  <c r="R95" i="96" s="1"/>
  <c r="R96" i="96" s="1"/>
  <c r="R97" i="96" s="1"/>
  <c r="R98" i="96" s="1"/>
  <c r="R99" i="96" s="1"/>
  <c r="R100" i="96" s="1"/>
  <c r="R101" i="96" s="1"/>
  <c r="R102" i="96" s="1"/>
  <c r="R103" i="96" s="1"/>
  <c r="R104" i="96" s="1"/>
  <c r="R105" i="96" s="1"/>
  <c r="R106" i="96" s="1"/>
  <c r="R107" i="96" s="1"/>
  <c r="R108" i="96" s="1"/>
  <c r="R109" i="96" s="1"/>
  <c r="R110" i="96" s="1"/>
  <c r="R111" i="96" s="1"/>
  <c r="R112" i="96" s="1"/>
  <c r="R113" i="96" s="1"/>
  <c r="R114" i="96" s="1"/>
  <c r="R115" i="96" s="1"/>
  <c r="R116" i="96" s="1"/>
  <c r="R117" i="96" s="1"/>
  <c r="R118" i="96" s="1"/>
  <c r="R119" i="96" s="1"/>
  <c r="R120" i="96" s="1"/>
  <c r="R121" i="96" s="1"/>
  <c r="R122" i="96" s="1"/>
  <c r="R123" i="96" s="1"/>
  <c r="R124" i="96" s="1"/>
  <c r="R125" i="96" s="1"/>
  <c r="R126" i="96" s="1"/>
  <c r="L8" i="95"/>
  <c r="R8" i="95" s="1"/>
  <c r="J8" i="95"/>
  <c r="T54" i="95"/>
  <c r="T36" i="95"/>
  <c r="AB12" i="23"/>
  <c r="AC10" i="23"/>
  <c r="P80" i="76"/>
  <c r="P81" i="76" s="1"/>
  <c r="P82" i="76" s="1"/>
  <c r="P83" i="76" s="1"/>
  <c r="P84" i="76" s="1"/>
  <c r="P85" i="76" s="1"/>
  <c r="P86" i="76" s="1"/>
  <c r="P87" i="76" s="1"/>
  <c r="P88" i="76" s="1"/>
  <c r="P89" i="76" s="1"/>
  <c r="P90" i="76" s="1"/>
  <c r="P91" i="76" s="1"/>
  <c r="P92" i="76" s="1"/>
  <c r="P93" i="76" s="1"/>
  <c r="P94" i="76" s="1"/>
  <c r="P95" i="76" s="1"/>
  <c r="P96" i="76" s="1"/>
  <c r="P97" i="76" s="1"/>
  <c r="P98" i="76" s="1"/>
  <c r="P99" i="76" s="1"/>
  <c r="P100" i="76" s="1"/>
  <c r="P101" i="76" s="1"/>
  <c r="P102" i="76" s="1"/>
  <c r="P103" i="76" s="1"/>
  <c r="P104" i="76" s="1"/>
  <c r="P105" i="76" s="1"/>
  <c r="P106" i="76" s="1"/>
  <c r="P107" i="76" s="1"/>
  <c r="P108" i="76" s="1"/>
  <c r="P109" i="76" s="1"/>
  <c r="P110" i="76" s="1"/>
  <c r="P111" i="76" s="1"/>
  <c r="P112" i="76" s="1"/>
  <c r="P113" i="76" s="1"/>
  <c r="P114" i="76" s="1"/>
  <c r="P115" i="76" s="1"/>
  <c r="P116" i="76" s="1"/>
  <c r="P117" i="76" s="1"/>
  <c r="P118" i="76" s="1"/>
  <c r="P119" i="76" s="1"/>
  <c r="P120" i="76" s="1"/>
  <c r="P121" i="76" s="1"/>
  <c r="P122" i="76" s="1"/>
  <c r="P123" i="76" s="1"/>
  <c r="P124" i="76" s="1"/>
  <c r="P125" i="76" s="1"/>
  <c r="P126" i="76" s="1"/>
  <c r="T127" i="85"/>
  <c r="T129" i="85" s="1"/>
  <c r="T127" i="78"/>
  <c r="T129" i="78" s="1"/>
  <c r="S127" i="85"/>
  <c r="S129" i="85" s="1"/>
  <c r="S80" i="78"/>
  <c r="S81" i="78" s="1"/>
  <c r="S82" i="78" s="1"/>
  <c r="S83" i="78" s="1"/>
  <c r="S84" i="78" s="1"/>
  <c r="S85" i="78" s="1"/>
  <c r="S86" i="78" s="1"/>
  <c r="S87" i="78" s="1"/>
  <c r="S88" i="78" s="1"/>
  <c r="S89" i="78" s="1"/>
  <c r="S90" i="78" s="1"/>
  <c r="S91" i="78" s="1"/>
  <c r="S92" i="78" s="1"/>
  <c r="S93" i="78" s="1"/>
  <c r="S94" i="78" s="1"/>
  <c r="S95" i="78" s="1"/>
  <c r="S96" i="78" s="1"/>
  <c r="S97" i="78" s="1"/>
  <c r="S98" i="78" s="1"/>
  <c r="S99" i="78" s="1"/>
  <c r="S100" i="78" s="1"/>
  <c r="S101" i="78" s="1"/>
  <c r="S102" i="78" s="1"/>
  <c r="S103" i="78" s="1"/>
  <c r="S104" i="78" s="1"/>
  <c r="S105" i="78" s="1"/>
  <c r="S106" i="78" s="1"/>
  <c r="S107" i="78" s="1"/>
  <c r="S108" i="78" s="1"/>
  <c r="S109" i="78" s="1"/>
  <c r="S110" i="78" s="1"/>
  <c r="S111" i="78" s="1"/>
  <c r="S112" i="78" s="1"/>
  <c r="S113" i="78" s="1"/>
  <c r="S114" i="78" s="1"/>
  <c r="S115" i="78" s="1"/>
  <c r="S116" i="78" s="1"/>
  <c r="S117" i="78" s="1"/>
  <c r="S118" i="78" s="1"/>
  <c r="S119" i="78" s="1"/>
  <c r="S120" i="78" s="1"/>
  <c r="S121" i="78" s="1"/>
  <c r="S122" i="78" s="1"/>
  <c r="S123" i="78" s="1"/>
  <c r="S124" i="78" s="1"/>
  <c r="S125" i="78" s="1"/>
  <c r="S126" i="78" s="1"/>
  <c r="J67" i="76"/>
  <c r="J7" i="76"/>
  <c r="K7" i="76" s="1"/>
  <c r="L69" i="76"/>
  <c r="L7" i="76" s="1"/>
  <c r="R7" i="76" s="1"/>
  <c r="T108" i="76"/>
  <c r="T127" i="76" s="1"/>
  <c r="T129" i="76" s="1"/>
  <c r="J127" i="76"/>
  <c r="J79" i="76"/>
  <c r="D99" i="76"/>
  <c r="S80" i="76"/>
  <c r="S81" i="76" s="1"/>
  <c r="S82" i="76" s="1"/>
  <c r="S83" i="76" s="1"/>
  <c r="S84" i="76" s="1"/>
  <c r="S85" i="76" s="1"/>
  <c r="S86" i="76" s="1"/>
  <c r="S87" i="76" s="1"/>
  <c r="S88" i="76" s="1"/>
  <c r="S89" i="76" s="1"/>
  <c r="S90" i="76" s="1"/>
  <c r="S91" i="76" s="1"/>
  <c r="S92" i="76" s="1"/>
  <c r="S93" i="76" s="1"/>
  <c r="S94" i="76" s="1"/>
  <c r="S95" i="76" s="1"/>
  <c r="S96" i="76" s="1"/>
  <c r="S97" i="76" s="1"/>
  <c r="S98" i="76" s="1"/>
  <c r="S99" i="76" s="1"/>
  <c r="S100" i="76" s="1"/>
  <c r="S101" i="76" s="1"/>
  <c r="S102" i="76" s="1"/>
  <c r="S103" i="76" s="1"/>
  <c r="S104" i="76" s="1"/>
  <c r="S105" i="76" s="1"/>
  <c r="S106" i="76" s="1"/>
  <c r="S107" i="76" s="1"/>
  <c r="S108" i="76" s="1"/>
  <c r="S109" i="76" s="1"/>
  <c r="S110" i="76" s="1"/>
  <c r="S111" i="76" s="1"/>
  <c r="S112" i="76" s="1"/>
  <c r="S113" i="76" s="1"/>
  <c r="S114" i="76" s="1"/>
  <c r="S115" i="76" s="1"/>
  <c r="S116" i="76" s="1"/>
  <c r="S117" i="76" s="1"/>
  <c r="S118" i="76" s="1"/>
  <c r="S119" i="76" s="1"/>
  <c r="S120" i="76" s="1"/>
  <c r="S121" i="76" s="1"/>
  <c r="S122" i="76" s="1"/>
  <c r="S123" i="76" s="1"/>
  <c r="S124" i="76" s="1"/>
  <c r="S125" i="76" s="1"/>
  <c r="S126" i="76" s="1"/>
  <c r="D100" i="76"/>
  <c r="O13" i="76"/>
  <c r="L129" i="76"/>
  <c r="L126" i="76" s="1"/>
  <c r="L79" i="76" s="1"/>
  <c r="C101" i="76"/>
  <c r="J8" i="105" l="1"/>
  <c r="AE9" i="103"/>
  <c r="L8" i="103"/>
  <c r="R8" i="103" s="1"/>
  <c r="S8" i="103" s="1"/>
  <c r="S9" i="103" s="1"/>
  <c r="S10" i="103" s="1"/>
  <c r="S11" i="103" s="1"/>
  <c r="S12" i="103" s="1"/>
  <c r="S13" i="103" s="1"/>
  <c r="S14" i="103" s="1"/>
  <c r="S15" i="103" s="1"/>
  <c r="S16" i="103" s="1"/>
  <c r="S17" i="103" s="1"/>
  <c r="S18" i="103" s="1"/>
  <c r="S19" i="103" s="1"/>
  <c r="S20" i="103" s="1"/>
  <c r="S21" i="103" s="1"/>
  <c r="S22" i="103" s="1"/>
  <c r="S23" i="103" s="1"/>
  <c r="S24" i="103" s="1"/>
  <c r="S25" i="103" s="1"/>
  <c r="S26" i="103" s="1"/>
  <c r="S27" i="103" s="1"/>
  <c r="S28" i="103" s="1"/>
  <c r="S29" i="103" s="1"/>
  <c r="S30" i="103" s="1"/>
  <c r="S31" i="103" s="1"/>
  <c r="S32" i="103" s="1"/>
  <c r="S33" i="103" s="1"/>
  <c r="S34" i="103" s="1"/>
  <c r="S35" i="103" s="1"/>
  <c r="S36" i="103" s="1"/>
  <c r="S37" i="103" s="1"/>
  <c r="S38" i="103" s="1"/>
  <c r="S39" i="103" s="1"/>
  <c r="S40" i="103" s="1"/>
  <c r="S41" i="103" s="1"/>
  <c r="S42" i="103" s="1"/>
  <c r="S43" i="103" s="1"/>
  <c r="S44" i="103" s="1"/>
  <c r="S45" i="103" s="1"/>
  <c r="S46" i="103" s="1"/>
  <c r="S47" i="103" s="1"/>
  <c r="S48" i="103" s="1"/>
  <c r="S49" i="103" s="1"/>
  <c r="S50" i="103" s="1"/>
  <c r="S51" i="103" s="1"/>
  <c r="S52" i="103" s="1"/>
  <c r="S53" i="103" s="1"/>
  <c r="S54" i="103" s="1"/>
  <c r="S55" i="103" s="1"/>
  <c r="S9" i="105"/>
  <c r="S10" i="105" s="1"/>
  <c r="S11" i="105" s="1"/>
  <c r="S12" i="105" s="1"/>
  <c r="S13" i="105" s="1"/>
  <c r="S14" i="105" s="1"/>
  <c r="S15" i="105" s="1"/>
  <c r="S16" i="105" s="1"/>
  <c r="S17" i="105" s="1"/>
  <c r="S18" i="105" s="1"/>
  <c r="S19" i="105" s="1"/>
  <c r="S20" i="105" s="1"/>
  <c r="S21" i="105" s="1"/>
  <c r="S22" i="105" s="1"/>
  <c r="S23" i="105" s="1"/>
  <c r="S24" i="105" s="1"/>
  <c r="S25" i="105" s="1"/>
  <c r="S26" i="105" s="1"/>
  <c r="S27" i="105" s="1"/>
  <c r="S28" i="105" s="1"/>
  <c r="S29" i="105" s="1"/>
  <c r="S30" i="105" s="1"/>
  <c r="S31" i="105" s="1"/>
  <c r="S32" i="105" s="1"/>
  <c r="S33" i="105" s="1"/>
  <c r="S34" i="105" s="1"/>
  <c r="S35" i="105" s="1"/>
  <c r="S36" i="105" s="1"/>
  <c r="S37" i="105" s="1"/>
  <c r="S38" i="105" s="1"/>
  <c r="S39" i="105" s="1"/>
  <c r="S40" i="105" s="1"/>
  <c r="S41" i="105" s="1"/>
  <c r="S42" i="105" s="1"/>
  <c r="S43" i="105" s="1"/>
  <c r="S44" i="105" s="1"/>
  <c r="S45" i="105" s="1"/>
  <c r="S46" i="105" s="1"/>
  <c r="S47" i="105" s="1"/>
  <c r="S48" i="105" s="1"/>
  <c r="S49" i="105" s="1"/>
  <c r="S50" i="105" s="1"/>
  <c r="S51" i="105" s="1"/>
  <c r="S52" i="105" s="1"/>
  <c r="S53" i="105" s="1"/>
  <c r="S54" i="105" s="1"/>
  <c r="S55" i="105" s="1"/>
  <c r="K8" i="105"/>
  <c r="M8" i="105" s="1"/>
  <c r="AF8" i="105"/>
  <c r="P9" i="105"/>
  <c r="AA37" i="105"/>
  <c r="AB37" i="105" s="1"/>
  <c r="V37" i="105" s="1"/>
  <c r="AE38" i="105"/>
  <c r="O39" i="105"/>
  <c r="Z38" i="105"/>
  <c r="K95" i="104"/>
  <c r="M95" i="104" s="1"/>
  <c r="J96" i="104" s="1"/>
  <c r="K96" i="104" s="1"/>
  <c r="M96" i="104" s="1"/>
  <c r="J97" i="104" s="1"/>
  <c r="K97" i="104" s="1"/>
  <c r="M97" i="104" s="1"/>
  <c r="J98" i="104" s="1"/>
  <c r="K98" i="104" s="1"/>
  <c r="M98" i="104" s="1"/>
  <c r="J99" i="104" s="1"/>
  <c r="K8" i="103"/>
  <c r="J8" i="104"/>
  <c r="L8" i="104"/>
  <c r="R8" i="104" s="1"/>
  <c r="S8" i="104" s="1"/>
  <c r="AE7" i="104"/>
  <c r="AE10" i="103"/>
  <c r="AD11" i="103"/>
  <c r="O13" i="95"/>
  <c r="AE12" i="95"/>
  <c r="Z12" i="95"/>
  <c r="AA12" i="95" s="1"/>
  <c r="AB12" i="95" s="1"/>
  <c r="V12" i="95" s="1"/>
  <c r="M7" i="96"/>
  <c r="J8" i="96" s="1"/>
  <c r="K8" i="96" s="1"/>
  <c r="R127" i="96"/>
  <c r="P9" i="95"/>
  <c r="AF8" i="95"/>
  <c r="Q4" i="85"/>
  <c r="P7" i="85" s="1"/>
  <c r="P8" i="85" s="1"/>
  <c r="P9" i="85" s="1"/>
  <c r="P10" i="85" s="1"/>
  <c r="P11" i="85" s="1"/>
  <c r="P12" i="85" s="1"/>
  <c r="P13" i="85" s="1"/>
  <c r="P14" i="85" s="1"/>
  <c r="P15" i="85" s="1"/>
  <c r="P16" i="85" s="1"/>
  <c r="P17" i="85" s="1"/>
  <c r="P18" i="85" s="1"/>
  <c r="P19" i="85" s="1"/>
  <c r="P20" i="85" s="1"/>
  <c r="P21" i="85" s="1"/>
  <c r="P22" i="85" s="1"/>
  <c r="P23" i="85" s="1"/>
  <c r="P24" i="85" s="1"/>
  <c r="P25" i="85" s="1"/>
  <c r="P26" i="85" s="1"/>
  <c r="P27" i="85" s="1"/>
  <c r="P28" i="85" s="1"/>
  <c r="P29" i="85" s="1"/>
  <c r="P30" i="85" s="1"/>
  <c r="P31" i="85" s="1"/>
  <c r="P32" i="85" s="1"/>
  <c r="P33" i="85" s="1"/>
  <c r="P34" i="85" s="1"/>
  <c r="P35" i="85" s="1"/>
  <c r="P36" i="85" s="1"/>
  <c r="P37" i="85" s="1"/>
  <c r="P38" i="85" s="1"/>
  <c r="P39" i="85" s="1"/>
  <c r="P40" i="85" s="1"/>
  <c r="P41" i="85" s="1"/>
  <c r="P42" i="85" s="1"/>
  <c r="P43" i="85" s="1"/>
  <c r="P44" i="85" s="1"/>
  <c r="P45" i="85" s="1"/>
  <c r="P46" i="85" s="1"/>
  <c r="P47" i="85" s="1"/>
  <c r="P48" i="85" s="1"/>
  <c r="P49" i="85" s="1"/>
  <c r="P50" i="85" s="1"/>
  <c r="P51" i="85" s="1"/>
  <c r="P52" i="85" s="1"/>
  <c r="P53" i="85" s="1"/>
  <c r="P54" i="85" s="1"/>
  <c r="P55" i="85" s="1"/>
  <c r="P56" i="85" s="1"/>
  <c r="P57" i="85" s="1"/>
  <c r="P58" i="85" s="1"/>
  <c r="P59" i="85" s="1"/>
  <c r="P60" i="85" s="1"/>
  <c r="P61" i="85" s="1"/>
  <c r="P62" i="85" s="1"/>
  <c r="P63" i="85" s="1"/>
  <c r="P64" i="85" s="1"/>
  <c r="P65" i="85" s="1"/>
  <c r="P66" i="85" s="1"/>
  <c r="Q4" i="96"/>
  <c r="M80" i="96"/>
  <c r="J81" i="96" s="1"/>
  <c r="T67" i="95"/>
  <c r="T69" i="95" s="1"/>
  <c r="T55" i="95" s="1"/>
  <c r="T73" i="95" s="1"/>
  <c r="K8" i="95"/>
  <c r="S8" i="95"/>
  <c r="AB13" i="23"/>
  <c r="AC12" i="23"/>
  <c r="Q4" i="80" s="1"/>
  <c r="D28" i="76"/>
  <c r="Z105" i="76" s="1"/>
  <c r="AA105" i="76" s="1"/>
  <c r="AB105" i="76" s="1"/>
  <c r="V105" i="76" s="1"/>
  <c r="S127" i="78"/>
  <c r="S129" i="78" s="1"/>
  <c r="M7" i="76"/>
  <c r="D33" i="76"/>
  <c r="D31" i="76"/>
  <c r="F27" i="76"/>
  <c r="G27" i="76" s="1"/>
  <c r="D32" i="76"/>
  <c r="S127" i="76"/>
  <c r="S129" i="76" s="1"/>
  <c r="F99" i="76"/>
  <c r="L80" i="76"/>
  <c r="L81" i="76" s="1"/>
  <c r="L82" i="76" s="1"/>
  <c r="L83" i="76" s="1"/>
  <c r="L84" i="76" s="1"/>
  <c r="L85" i="76" s="1"/>
  <c r="L86" i="76" s="1"/>
  <c r="L87" i="76" s="1"/>
  <c r="L88" i="76" s="1"/>
  <c r="L89" i="76" s="1"/>
  <c r="L90" i="76" s="1"/>
  <c r="L91" i="76" s="1"/>
  <c r="L92" i="76" s="1"/>
  <c r="L93" i="76" s="1"/>
  <c r="L94" i="76" s="1"/>
  <c r="L95" i="76" s="1"/>
  <c r="L96" i="76" s="1"/>
  <c r="L97" i="76" s="1"/>
  <c r="L98" i="76" s="1"/>
  <c r="L99" i="76" s="1"/>
  <c r="L100" i="76" s="1"/>
  <c r="L101" i="76" s="1"/>
  <c r="L102" i="76" s="1"/>
  <c r="L103" i="76" s="1"/>
  <c r="L104" i="76" s="1"/>
  <c r="L105" i="76" s="1"/>
  <c r="L106" i="76" s="1"/>
  <c r="L107" i="76" s="1"/>
  <c r="L108" i="76" s="1"/>
  <c r="L109" i="76" s="1"/>
  <c r="L110" i="76" s="1"/>
  <c r="L111" i="76" s="1"/>
  <c r="L112" i="76" s="1"/>
  <c r="L113" i="76" s="1"/>
  <c r="L114" i="76" s="1"/>
  <c r="L115" i="76" s="1"/>
  <c r="L116" i="76" s="1"/>
  <c r="L117" i="76" s="1"/>
  <c r="L118" i="76" s="1"/>
  <c r="L119" i="76" s="1"/>
  <c r="L120" i="76" s="1"/>
  <c r="L121" i="76" s="1"/>
  <c r="L122" i="76" s="1"/>
  <c r="L123" i="76" s="1"/>
  <c r="L124" i="76" s="1"/>
  <c r="L125" i="76" s="1"/>
  <c r="R79" i="76"/>
  <c r="F100" i="76"/>
  <c r="G100" i="76" s="1"/>
  <c r="K79" i="76"/>
  <c r="O14" i="76"/>
  <c r="M8" i="103" l="1"/>
  <c r="L9" i="103" s="1"/>
  <c r="R9" i="103" s="1"/>
  <c r="P10" i="105"/>
  <c r="AF9" i="105"/>
  <c r="J9" i="105"/>
  <c r="L9" i="105"/>
  <c r="R9" i="105" s="1"/>
  <c r="S67" i="105"/>
  <c r="S69" i="105" s="1"/>
  <c r="S56" i="105"/>
  <c r="S57" i="105" s="1"/>
  <c r="S58" i="105" s="1"/>
  <c r="S59" i="105" s="1"/>
  <c r="S60" i="105" s="1"/>
  <c r="S61" i="105" s="1"/>
  <c r="S73" i="105"/>
  <c r="AE39" i="105"/>
  <c r="O40" i="105"/>
  <c r="Z39" i="105"/>
  <c r="AA38" i="105"/>
  <c r="AB38" i="105" s="1"/>
  <c r="V38" i="105" s="1"/>
  <c r="S9" i="104"/>
  <c r="S10" i="104" s="1"/>
  <c r="S11" i="104" s="1"/>
  <c r="S12" i="104" s="1"/>
  <c r="S13" i="104" s="1"/>
  <c r="S14" i="104" s="1"/>
  <c r="S15" i="104" s="1"/>
  <c r="S16" i="104" s="1"/>
  <c r="S17" i="104" s="1"/>
  <c r="S18" i="104" s="1"/>
  <c r="S19" i="104" s="1"/>
  <c r="S20" i="104" s="1"/>
  <c r="S21" i="104" s="1"/>
  <c r="S22" i="104" s="1"/>
  <c r="S23" i="104" s="1"/>
  <c r="S24" i="104" s="1"/>
  <c r="S25" i="104" s="1"/>
  <c r="S26" i="104" s="1"/>
  <c r="S27" i="104" s="1"/>
  <c r="S28" i="104" s="1"/>
  <c r="S29" i="104" s="1"/>
  <c r="S30" i="104" s="1"/>
  <c r="S31" i="104" s="1"/>
  <c r="S32" i="104" s="1"/>
  <c r="S33" i="104" s="1"/>
  <c r="S34" i="104" s="1"/>
  <c r="S35" i="104" s="1"/>
  <c r="S36" i="104" s="1"/>
  <c r="S37" i="104" s="1"/>
  <c r="S38" i="104" s="1"/>
  <c r="S39" i="104" s="1"/>
  <c r="S40" i="104" s="1"/>
  <c r="S41" i="104" s="1"/>
  <c r="S42" i="104" s="1"/>
  <c r="S43" i="104" s="1"/>
  <c r="S44" i="104" s="1"/>
  <c r="S45" i="104" s="1"/>
  <c r="S46" i="104" s="1"/>
  <c r="S47" i="104" s="1"/>
  <c r="S48" i="104" s="1"/>
  <c r="S49" i="104" s="1"/>
  <c r="S50" i="104" s="1"/>
  <c r="S51" i="104" s="1"/>
  <c r="S52" i="104" s="1"/>
  <c r="S53" i="104" s="1"/>
  <c r="S54" i="104" s="1"/>
  <c r="S55" i="104" s="1"/>
  <c r="K8" i="104"/>
  <c r="M8" i="104" s="1"/>
  <c r="S67" i="103"/>
  <c r="S69" i="103" s="1"/>
  <c r="S73" i="103"/>
  <c r="S56" i="103"/>
  <c r="S57" i="103" s="1"/>
  <c r="S58" i="103" s="1"/>
  <c r="S59" i="103" s="1"/>
  <c r="S60" i="103" s="1"/>
  <c r="S61" i="103" s="1"/>
  <c r="K99" i="104"/>
  <c r="M99" i="104" s="1"/>
  <c r="J100" i="104" s="1"/>
  <c r="AD8" i="104"/>
  <c r="AD12" i="103"/>
  <c r="AE11" i="103"/>
  <c r="P80" i="85"/>
  <c r="P81" i="85" s="1"/>
  <c r="P82" i="85" s="1"/>
  <c r="P83" i="85" s="1"/>
  <c r="P84" i="85" s="1"/>
  <c r="P85" i="85" s="1"/>
  <c r="P86" i="85" s="1"/>
  <c r="P87" i="85" s="1"/>
  <c r="P88" i="85" s="1"/>
  <c r="P89" i="85" s="1"/>
  <c r="P90" i="85" s="1"/>
  <c r="P91" i="85" s="1"/>
  <c r="P92" i="85" s="1"/>
  <c r="P93" i="85" s="1"/>
  <c r="P94" i="85" s="1"/>
  <c r="P95" i="85" s="1"/>
  <c r="P96" i="85" s="1"/>
  <c r="P97" i="85" s="1"/>
  <c r="P98" i="85" s="1"/>
  <c r="P99" i="85" s="1"/>
  <c r="P100" i="85" s="1"/>
  <c r="P101" i="85" s="1"/>
  <c r="P102" i="85" s="1"/>
  <c r="P103" i="85" s="1"/>
  <c r="P104" i="85" s="1"/>
  <c r="P105" i="85" s="1"/>
  <c r="P106" i="85" s="1"/>
  <c r="P107" i="85" s="1"/>
  <c r="P108" i="85" s="1"/>
  <c r="P109" i="85" s="1"/>
  <c r="P110" i="85" s="1"/>
  <c r="P111" i="85" s="1"/>
  <c r="P112" i="85" s="1"/>
  <c r="P113" i="85" s="1"/>
  <c r="P114" i="85" s="1"/>
  <c r="P115" i="85" s="1"/>
  <c r="P116" i="85" s="1"/>
  <c r="P117" i="85" s="1"/>
  <c r="P118" i="85" s="1"/>
  <c r="P119" i="85" s="1"/>
  <c r="P120" i="85" s="1"/>
  <c r="P121" i="85" s="1"/>
  <c r="P122" i="85" s="1"/>
  <c r="P123" i="85" s="1"/>
  <c r="P124" i="85" s="1"/>
  <c r="P125" i="85" s="1"/>
  <c r="P126" i="85" s="1"/>
  <c r="O14" i="95"/>
  <c r="AE13" i="95"/>
  <c r="Z13" i="95"/>
  <c r="AA13" i="95" s="1"/>
  <c r="AB13" i="95" s="1"/>
  <c r="V13" i="95" s="1"/>
  <c r="L8" i="96"/>
  <c r="R8" i="96" s="1"/>
  <c r="S8" i="96" s="1"/>
  <c r="S9" i="96" s="1"/>
  <c r="S10" i="96" s="1"/>
  <c r="S11" i="96" s="1"/>
  <c r="S12" i="96" s="1"/>
  <c r="S13" i="96" s="1"/>
  <c r="S14" i="96" s="1"/>
  <c r="S15" i="96" s="1"/>
  <c r="S16" i="96" s="1"/>
  <c r="S17" i="96" s="1"/>
  <c r="S18" i="96" s="1"/>
  <c r="S19" i="96" s="1"/>
  <c r="S20" i="96" s="1"/>
  <c r="S21" i="96" s="1"/>
  <c r="S22" i="96" s="1"/>
  <c r="S23" i="96" s="1"/>
  <c r="S24" i="96" s="1"/>
  <c r="S25" i="96" s="1"/>
  <c r="S26" i="96" s="1"/>
  <c r="S27" i="96" s="1"/>
  <c r="S28" i="96" s="1"/>
  <c r="S29" i="96" s="1"/>
  <c r="S30" i="96" s="1"/>
  <c r="S31" i="96" s="1"/>
  <c r="S32" i="96" s="1"/>
  <c r="S33" i="96" s="1"/>
  <c r="S34" i="96" s="1"/>
  <c r="S35" i="96" s="1"/>
  <c r="S36" i="96" s="1"/>
  <c r="S37" i="96" s="1"/>
  <c r="S38" i="96" s="1"/>
  <c r="S39" i="96" s="1"/>
  <c r="S40" i="96" s="1"/>
  <c r="S41" i="96" s="1"/>
  <c r="S42" i="96" s="1"/>
  <c r="S43" i="96" s="1"/>
  <c r="S44" i="96" s="1"/>
  <c r="S45" i="96" s="1"/>
  <c r="S46" i="96" s="1"/>
  <c r="S47" i="96" s="1"/>
  <c r="S48" i="96" s="1"/>
  <c r="S49" i="96" s="1"/>
  <c r="S50" i="96" s="1"/>
  <c r="S51" i="96" s="1"/>
  <c r="S52" i="96" s="1"/>
  <c r="S53" i="96" s="1"/>
  <c r="S54" i="96" s="1"/>
  <c r="S55" i="96" s="1"/>
  <c r="P7" i="96"/>
  <c r="P8" i="96" s="1"/>
  <c r="P9" i="96" s="1"/>
  <c r="P10" i="96" s="1"/>
  <c r="P11" i="96" s="1"/>
  <c r="P12" i="96" s="1"/>
  <c r="P13" i="96" s="1"/>
  <c r="P14" i="96" s="1"/>
  <c r="P15" i="96" s="1"/>
  <c r="P16" i="96" s="1"/>
  <c r="P17" i="96" s="1"/>
  <c r="P18" i="96" s="1"/>
  <c r="P19" i="96" s="1"/>
  <c r="P20" i="96" s="1"/>
  <c r="P21" i="96" s="1"/>
  <c r="P22" i="96" s="1"/>
  <c r="P23" i="96" s="1"/>
  <c r="P24" i="96" s="1"/>
  <c r="P25" i="96" s="1"/>
  <c r="P26" i="96" s="1"/>
  <c r="P27" i="96" s="1"/>
  <c r="P28" i="96" s="1"/>
  <c r="P29" i="96" s="1"/>
  <c r="P30" i="96" s="1"/>
  <c r="P31" i="96" s="1"/>
  <c r="P32" i="96" s="1"/>
  <c r="P33" i="96" s="1"/>
  <c r="P34" i="96" s="1"/>
  <c r="P35" i="96" s="1"/>
  <c r="P36" i="96" s="1"/>
  <c r="P37" i="96" s="1"/>
  <c r="P38" i="96" s="1"/>
  <c r="P39" i="96" s="1"/>
  <c r="P40" i="96" s="1"/>
  <c r="P41" i="96" s="1"/>
  <c r="P42" i="96" s="1"/>
  <c r="P43" i="96" s="1"/>
  <c r="P44" i="96" s="1"/>
  <c r="P45" i="96" s="1"/>
  <c r="P46" i="96" s="1"/>
  <c r="P47" i="96" s="1"/>
  <c r="P48" i="96" s="1"/>
  <c r="P49" i="96" s="1"/>
  <c r="P50" i="96" s="1"/>
  <c r="P51" i="96" s="1"/>
  <c r="P52" i="96" s="1"/>
  <c r="P53" i="96" s="1"/>
  <c r="P54" i="96" s="1"/>
  <c r="P55" i="96" s="1"/>
  <c r="P56" i="96" s="1"/>
  <c r="P57" i="96" s="1"/>
  <c r="P58" i="96" s="1"/>
  <c r="P59" i="96" s="1"/>
  <c r="P60" i="96" s="1"/>
  <c r="P61" i="96" s="1"/>
  <c r="P62" i="96" s="1"/>
  <c r="P63" i="96" s="1"/>
  <c r="P64" i="96" s="1"/>
  <c r="P65" i="96" s="1"/>
  <c r="P66" i="96" s="1"/>
  <c r="P80" i="96"/>
  <c r="P81" i="96" s="1"/>
  <c r="P82" i="96" s="1"/>
  <c r="P83" i="96" s="1"/>
  <c r="P84" i="96" s="1"/>
  <c r="P85" i="96" s="1"/>
  <c r="P86" i="96" s="1"/>
  <c r="P87" i="96" s="1"/>
  <c r="P88" i="96" s="1"/>
  <c r="P89" i="96" s="1"/>
  <c r="P90" i="96" s="1"/>
  <c r="P91" i="96" s="1"/>
  <c r="P92" i="96" s="1"/>
  <c r="P93" i="96" s="1"/>
  <c r="P94" i="96" s="1"/>
  <c r="P95" i="96" s="1"/>
  <c r="P96" i="96" s="1"/>
  <c r="P97" i="96" s="1"/>
  <c r="P98" i="96" s="1"/>
  <c r="P99" i="96" s="1"/>
  <c r="P100" i="96" s="1"/>
  <c r="P101" i="96" s="1"/>
  <c r="P102" i="96" s="1"/>
  <c r="P103" i="96" s="1"/>
  <c r="P104" i="96" s="1"/>
  <c r="P105" i="96" s="1"/>
  <c r="P106" i="96" s="1"/>
  <c r="P107" i="96" s="1"/>
  <c r="P108" i="96" s="1"/>
  <c r="P109" i="96" s="1"/>
  <c r="P110" i="96" s="1"/>
  <c r="P111" i="96" s="1"/>
  <c r="P112" i="96" s="1"/>
  <c r="P113" i="96" s="1"/>
  <c r="P114" i="96" s="1"/>
  <c r="P115" i="96" s="1"/>
  <c r="P116" i="96" s="1"/>
  <c r="P117" i="96" s="1"/>
  <c r="P118" i="96" s="1"/>
  <c r="P119" i="96" s="1"/>
  <c r="P120" i="96" s="1"/>
  <c r="P121" i="96" s="1"/>
  <c r="P122" i="96" s="1"/>
  <c r="P123" i="96" s="1"/>
  <c r="P124" i="96" s="1"/>
  <c r="P125" i="96" s="1"/>
  <c r="P126" i="96" s="1"/>
  <c r="P10" i="95"/>
  <c r="AF9" i="95"/>
  <c r="K81" i="96"/>
  <c r="M81" i="96" s="1"/>
  <c r="J82" i="96" s="1"/>
  <c r="K82" i="96" s="1"/>
  <c r="M82" i="96" s="1"/>
  <c r="J83" i="96" s="1"/>
  <c r="K83" i="96" s="1"/>
  <c r="M83" i="96" s="1"/>
  <c r="J84" i="96" s="1"/>
  <c r="M8" i="95"/>
  <c r="S9" i="95"/>
  <c r="S10" i="95" s="1"/>
  <c r="S11" i="95" s="1"/>
  <c r="S12" i="95" s="1"/>
  <c r="S13" i="95" s="1"/>
  <c r="S14" i="95" s="1"/>
  <c r="S15" i="95" s="1"/>
  <c r="S16" i="95" s="1"/>
  <c r="S17" i="95" s="1"/>
  <c r="S18" i="95" s="1"/>
  <c r="S19" i="95" s="1"/>
  <c r="S20" i="95" s="1"/>
  <c r="S21" i="95" s="1"/>
  <c r="S22" i="95" s="1"/>
  <c r="S23" i="95" s="1"/>
  <c r="S24" i="95" s="1"/>
  <c r="S25" i="95" s="1"/>
  <c r="S26" i="95" s="1"/>
  <c r="S27" i="95" s="1"/>
  <c r="S28" i="95" s="1"/>
  <c r="S29" i="95" s="1"/>
  <c r="S30" i="95" s="1"/>
  <c r="S31" i="95" s="1"/>
  <c r="S32" i="95" s="1"/>
  <c r="S33" i="95" s="1"/>
  <c r="S34" i="95" s="1"/>
  <c r="S35" i="95" s="1"/>
  <c r="S36" i="95" s="1"/>
  <c r="S37" i="95" s="1"/>
  <c r="S38" i="95" s="1"/>
  <c r="S39" i="95" s="1"/>
  <c r="S40" i="95" s="1"/>
  <c r="S41" i="95" s="1"/>
  <c r="S42" i="95" s="1"/>
  <c r="S43" i="95" s="1"/>
  <c r="S44" i="95" s="1"/>
  <c r="S45" i="95" s="1"/>
  <c r="S46" i="95" s="1"/>
  <c r="S47" i="95" s="1"/>
  <c r="S48" i="95" s="1"/>
  <c r="S49" i="95" s="1"/>
  <c r="S50" i="95" s="1"/>
  <c r="S51" i="95" s="1"/>
  <c r="S52" i="95" s="1"/>
  <c r="S53" i="95" s="1"/>
  <c r="S54" i="95" s="1"/>
  <c r="S55" i="95" s="1"/>
  <c r="P7" i="80"/>
  <c r="P8" i="80" s="1"/>
  <c r="P9" i="80" s="1"/>
  <c r="P10" i="80" s="1"/>
  <c r="P11" i="80" s="1"/>
  <c r="P12" i="80" s="1"/>
  <c r="P13" i="80" s="1"/>
  <c r="P14" i="80" s="1"/>
  <c r="P15" i="80" s="1"/>
  <c r="P16" i="80" s="1"/>
  <c r="P17" i="80" s="1"/>
  <c r="P18" i="80" s="1"/>
  <c r="P19" i="80" s="1"/>
  <c r="P20" i="80" s="1"/>
  <c r="P21" i="80" s="1"/>
  <c r="P22" i="80" s="1"/>
  <c r="P23" i="80" s="1"/>
  <c r="P24" i="80" s="1"/>
  <c r="P25" i="80" s="1"/>
  <c r="P26" i="80" s="1"/>
  <c r="P27" i="80" s="1"/>
  <c r="P28" i="80" s="1"/>
  <c r="P29" i="80" s="1"/>
  <c r="P30" i="80" s="1"/>
  <c r="P31" i="80" s="1"/>
  <c r="P32" i="80" s="1"/>
  <c r="P33" i="80" s="1"/>
  <c r="P34" i="80" s="1"/>
  <c r="P35" i="80" s="1"/>
  <c r="P36" i="80" s="1"/>
  <c r="P37" i="80" s="1"/>
  <c r="P38" i="80" s="1"/>
  <c r="P39" i="80" s="1"/>
  <c r="P40" i="80" s="1"/>
  <c r="P41" i="80" s="1"/>
  <c r="P42" i="80" s="1"/>
  <c r="P43" i="80" s="1"/>
  <c r="P44" i="80" s="1"/>
  <c r="P45" i="80" s="1"/>
  <c r="P46" i="80" s="1"/>
  <c r="P47" i="80" s="1"/>
  <c r="P48" i="80" s="1"/>
  <c r="P49" i="80" s="1"/>
  <c r="P50" i="80" s="1"/>
  <c r="P51" i="80" s="1"/>
  <c r="P52" i="80" s="1"/>
  <c r="P53" i="80" s="1"/>
  <c r="P54" i="80" s="1"/>
  <c r="P55" i="80" s="1"/>
  <c r="P56" i="80" s="1"/>
  <c r="P57" i="80" s="1"/>
  <c r="P58" i="80" s="1"/>
  <c r="P59" i="80" s="1"/>
  <c r="P60" i="80" s="1"/>
  <c r="P61" i="80" s="1"/>
  <c r="P62" i="80" s="1"/>
  <c r="P63" i="80" s="1"/>
  <c r="P64" i="80" s="1"/>
  <c r="P65" i="80" s="1"/>
  <c r="P66" i="80" s="1"/>
  <c r="P76" i="80"/>
  <c r="P77" i="80" s="1"/>
  <c r="P78" i="80" s="1"/>
  <c r="P79" i="80" s="1"/>
  <c r="P80" i="80" s="1"/>
  <c r="P81" i="80" s="1"/>
  <c r="P82" i="80" s="1"/>
  <c r="P83" i="80" s="1"/>
  <c r="P84" i="80" s="1"/>
  <c r="P85" i="80" s="1"/>
  <c r="P86" i="80" s="1"/>
  <c r="P87" i="80" s="1"/>
  <c r="P88" i="80" s="1"/>
  <c r="P89" i="80" s="1"/>
  <c r="P90" i="80" s="1"/>
  <c r="P91" i="80" s="1"/>
  <c r="P92" i="80" s="1"/>
  <c r="P93" i="80" s="1"/>
  <c r="P94" i="80" s="1"/>
  <c r="P95" i="80" s="1"/>
  <c r="P96" i="80" s="1"/>
  <c r="P97" i="80" s="1"/>
  <c r="P98" i="80" s="1"/>
  <c r="P99" i="80" s="1"/>
  <c r="P100" i="80" s="1"/>
  <c r="P101" i="80" s="1"/>
  <c r="P102" i="80" s="1"/>
  <c r="P103" i="80" s="1"/>
  <c r="P104" i="80" s="1"/>
  <c r="P105" i="80" s="1"/>
  <c r="P106" i="80" s="1"/>
  <c r="P107" i="80" s="1"/>
  <c r="P108" i="80" s="1"/>
  <c r="P109" i="80" s="1"/>
  <c r="P110" i="80" s="1"/>
  <c r="P111" i="80" s="1"/>
  <c r="P112" i="80" s="1"/>
  <c r="P113" i="80" s="1"/>
  <c r="P114" i="80" s="1"/>
  <c r="P115" i="80" s="1"/>
  <c r="P116" i="80" s="1"/>
  <c r="P117" i="80" s="1"/>
  <c r="P118" i="80" s="1"/>
  <c r="P119" i="80" s="1"/>
  <c r="P120" i="80" s="1"/>
  <c r="P121" i="80" s="1"/>
  <c r="P122" i="80" s="1"/>
  <c r="AB14" i="23"/>
  <c r="AB15" i="23" s="1"/>
  <c r="AC13" i="23"/>
  <c r="Q4" i="67" s="1"/>
  <c r="Z7" i="76"/>
  <c r="AA7" i="76" s="1"/>
  <c r="AB7" i="76" s="1"/>
  <c r="V7" i="76" s="1"/>
  <c r="C22" i="76"/>
  <c r="E22" i="76" s="1"/>
  <c r="Z79" i="76"/>
  <c r="AA79" i="76" s="1"/>
  <c r="AB79" i="76" s="1"/>
  <c r="V79" i="76" s="1"/>
  <c r="Z126" i="76"/>
  <c r="AA126" i="76" s="1"/>
  <c r="AB126" i="76" s="1"/>
  <c r="V126" i="76" s="1"/>
  <c r="Z109" i="76"/>
  <c r="AA109" i="76" s="1"/>
  <c r="AB109" i="76" s="1"/>
  <c r="V109" i="76" s="1"/>
  <c r="Z94" i="76"/>
  <c r="AA94" i="76" s="1"/>
  <c r="AB94" i="76" s="1"/>
  <c r="V94" i="76" s="1"/>
  <c r="C19" i="76"/>
  <c r="E19" i="76" s="1"/>
  <c r="Z111" i="76"/>
  <c r="AA111" i="76" s="1"/>
  <c r="AB111" i="76" s="1"/>
  <c r="V111" i="76" s="1"/>
  <c r="Z10" i="76"/>
  <c r="AA10" i="76" s="1"/>
  <c r="AB10" i="76" s="1"/>
  <c r="V10" i="76" s="1"/>
  <c r="C21" i="76"/>
  <c r="E21" i="76" s="1"/>
  <c r="Z110" i="76"/>
  <c r="AA110" i="76" s="1"/>
  <c r="AB110" i="76" s="1"/>
  <c r="V110" i="76" s="1"/>
  <c r="C18" i="76"/>
  <c r="E18" i="76" s="1"/>
  <c r="Z96" i="76"/>
  <c r="AA96" i="76" s="1"/>
  <c r="AB96" i="76" s="1"/>
  <c r="V96" i="76" s="1"/>
  <c r="Z120" i="76"/>
  <c r="AA120" i="76" s="1"/>
  <c r="AB120" i="76" s="1"/>
  <c r="V120" i="76" s="1"/>
  <c r="C90" i="76"/>
  <c r="E90" i="76" s="1"/>
  <c r="Z89" i="76"/>
  <c r="AA89" i="76" s="1"/>
  <c r="AB89" i="76" s="1"/>
  <c r="V89" i="76" s="1"/>
  <c r="Z86" i="76"/>
  <c r="AA86" i="76" s="1"/>
  <c r="AB86" i="76" s="1"/>
  <c r="V86" i="76" s="1"/>
  <c r="C91" i="76"/>
  <c r="E91" i="76" s="1"/>
  <c r="Z101" i="76"/>
  <c r="AA101" i="76" s="1"/>
  <c r="AB101" i="76" s="1"/>
  <c r="V101" i="76" s="1"/>
  <c r="Z115" i="76"/>
  <c r="AA115" i="76" s="1"/>
  <c r="AB115" i="76" s="1"/>
  <c r="V115" i="76" s="1"/>
  <c r="Z12" i="76"/>
  <c r="AA12" i="76" s="1"/>
  <c r="AB12" i="76" s="1"/>
  <c r="V12" i="76" s="1"/>
  <c r="Z81" i="76"/>
  <c r="AA81" i="76" s="1"/>
  <c r="AB81" i="76" s="1"/>
  <c r="V81" i="76" s="1"/>
  <c r="Z84" i="76"/>
  <c r="AA84" i="76" s="1"/>
  <c r="AB84" i="76" s="1"/>
  <c r="V84" i="76" s="1"/>
  <c r="Z13" i="76"/>
  <c r="AA13" i="76" s="1"/>
  <c r="AB13" i="76" s="1"/>
  <c r="V13" i="76" s="1"/>
  <c r="Z90" i="76"/>
  <c r="AA90" i="76" s="1"/>
  <c r="AB90" i="76" s="1"/>
  <c r="V90" i="76" s="1"/>
  <c r="Z93" i="76"/>
  <c r="AA93" i="76" s="1"/>
  <c r="AB93" i="76" s="1"/>
  <c r="V93" i="76" s="1"/>
  <c r="Z85" i="76"/>
  <c r="AA85" i="76" s="1"/>
  <c r="AB85" i="76" s="1"/>
  <c r="V85" i="76" s="1"/>
  <c r="C92" i="76"/>
  <c r="E92" i="76" s="1"/>
  <c r="Z97" i="76"/>
  <c r="AA97" i="76" s="1"/>
  <c r="AB97" i="76" s="1"/>
  <c r="V97" i="76" s="1"/>
  <c r="Z114" i="76"/>
  <c r="AA114" i="76" s="1"/>
  <c r="AB114" i="76" s="1"/>
  <c r="V114" i="76" s="1"/>
  <c r="Z91" i="76"/>
  <c r="AA91" i="76" s="1"/>
  <c r="AB91" i="76" s="1"/>
  <c r="V91" i="76" s="1"/>
  <c r="Z98" i="76"/>
  <c r="AA98" i="76" s="1"/>
  <c r="AB98" i="76" s="1"/>
  <c r="V98" i="76" s="1"/>
  <c r="Z122" i="76"/>
  <c r="AA122" i="76" s="1"/>
  <c r="AB122" i="76" s="1"/>
  <c r="V122" i="76" s="1"/>
  <c r="Z102" i="76"/>
  <c r="AA102" i="76" s="1"/>
  <c r="AB102" i="76" s="1"/>
  <c r="V102" i="76" s="1"/>
  <c r="Z107" i="76"/>
  <c r="AA107" i="76" s="1"/>
  <c r="AB107" i="76" s="1"/>
  <c r="V107" i="76" s="1"/>
  <c r="Z82" i="76"/>
  <c r="AA82" i="76" s="1"/>
  <c r="AB82" i="76" s="1"/>
  <c r="V82" i="76" s="1"/>
  <c r="Z106" i="76"/>
  <c r="AA106" i="76" s="1"/>
  <c r="AB106" i="76" s="1"/>
  <c r="V106" i="76" s="1"/>
  <c r="Z87" i="76"/>
  <c r="AA87" i="76" s="1"/>
  <c r="AB87" i="76" s="1"/>
  <c r="V87" i="76" s="1"/>
  <c r="C94" i="76"/>
  <c r="E94" i="76" s="1"/>
  <c r="C93" i="76"/>
  <c r="E93" i="76" s="1"/>
  <c r="Z9" i="76"/>
  <c r="AA9" i="76" s="1"/>
  <c r="AB9" i="76" s="1"/>
  <c r="V9" i="76" s="1"/>
  <c r="Z108" i="76"/>
  <c r="AA108" i="76" s="1"/>
  <c r="AB108" i="76" s="1"/>
  <c r="V108" i="76" s="1"/>
  <c r="Z116" i="76"/>
  <c r="AA116" i="76" s="1"/>
  <c r="AB116" i="76" s="1"/>
  <c r="V116" i="76" s="1"/>
  <c r="Z100" i="76"/>
  <c r="AA100" i="76" s="1"/>
  <c r="AB100" i="76" s="1"/>
  <c r="V100" i="76" s="1"/>
  <c r="Z117" i="76"/>
  <c r="AA117" i="76" s="1"/>
  <c r="AB117" i="76" s="1"/>
  <c r="V117" i="76" s="1"/>
  <c r="Z80" i="76"/>
  <c r="AA80" i="76" s="1"/>
  <c r="AB80" i="76" s="1"/>
  <c r="V80" i="76" s="1"/>
  <c r="Z99" i="76"/>
  <c r="AA99" i="76" s="1"/>
  <c r="AB99" i="76" s="1"/>
  <c r="V99" i="76" s="1"/>
  <c r="Z92" i="76"/>
  <c r="AA92" i="76" s="1"/>
  <c r="AB92" i="76" s="1"/>
  <c r="V92" i="76" s="1"/>
  <c r="Z95" i="76"/>
  <c r="AA95" i="76" s="1"/>
  <c r="AB95" i="76" s="1"/>
  <c r="V95" i="76" s="1"/>
  <c r="Z83" i="76"/>
  <c r="AA83" i="76" s="1"/>
  <c r="AB83" i="76" s="1"/>
  <c r="V83" i="76" s="1"/>
  <c r="Z123" i="76"/>
  <c r="AA123" i="76" s="1"/>
  <c r="AB123" i="76" s="1"/>
  <c r="V123" i="76" s="1"/>
  <c r="Z104" i="76"/>
  <c r="AA104" i="76" s="1"/>
  <c r="AB104" i="76" s="1"/>
  <c r="V104" i="76" s="1"/>
  <c r="Z124" i="76"/>
  <c r="AA124" i="76" s="1"/>
  <c r="AB124" i="76" s="1"/>
  <c r="V124" i="76" s="1"/>
  <c r="C20" i="76"/>
  <c r="E20" i="76" s="1"/>
  <c r="Z121" i="76"/>
  <c r="AA121" i="76" s="1"/>
  <c r="AB121" i="76" s="1"/>
  <c r="V121" i="76" s="1"/>
  <c r="Z119" i="76"/>
  <c r="AA119" i="76" s="1"/>
  <c r="AB119" i="76" s="1"/>
  <c r="V119" i="76" s="1"/>
  <c r="F28" i="76"/>
  <c r="G28" i="76" s="1"/>
  <c r="Z118" i="76"/>
  <c r="AA118" i="76" s="1"/>
  <c r="AB118" i="76" s="1"/>
  <c r="V118" i="76" s="1"/>
  <c r="Z88" i="76"/>
  <c r="AA88" i="76" s="1"/>
  <c r="AB88" i="76" s="1"/>
  <c r="V88" i="76" s="1"/>
  <c r="Z113" i="76"/>
  <c r="Z125" i="76"/>
  <c r="AA125" i="76" s="1"/>
  <c r="AB125" i="76" s="1"/>
  <c r="V125" i="76" s="1"/>
  <c r="Z103" i="76"/>
  <c r="AA103" i="76" s="1"/>
  <c r="AB103" i="76" s="1"/>
  <c r="V103" i="76" s="1"/>
  <c r="Z112" i="76"/>
  <c r="AA112" i="76" s="1"/>
  <c r="AB112" i="76" s="1"/>
  <c r="V112" i="76" s="1"/>
  <c r="Z8" i="76"/>
  <c r="AA8" i="76" s="1"/>
  <c r="AB8" i="76" s="1"/>
  <c r="V8" i="76" s="1"/>
  <c r="Z11" i="76"/>
  <c r="AA11" i="76" s="1"/>
  <c r="AB11" i="76" s="1"/>
  <c r="V11" i="76" s="1"/>
  <c r="S68" i="76"/>
  <c r="S7" i="76" s="1"/>
  <c r="S72" i="76"/>
  <c r="G31" i="76"/>
  <c r="F31" i="76"/>
  <c r="F33" i="76"/>
  <c r="G33" i="76"/>
  <c r="T68" i="76"/>
  <c r="F32" i="76"/>
  <c r="T72" i="76"/>
  <c r="G32" i="76"/>
  <c r="L8" i="76"/>
  <c r="R8" i="76" s="1"/>
  <c r="J8" i="76"/>
  <c r="K8" i="76" s="1"/>
  <c r="O15" i="76"/>
  <c r="Z14" i="76"/>
  <c r="M79" i="76"/>
  <c r="J80" i="76" s="1"/>
  <c r="R80" i="76"/>
  <c r="R81" i="76" s="1"/>
  <c r="R82" i="76" s="1"/>
  <c r="R83" i="76" s="1"/>
  <c r="R84" i="76" s="1"/>
  <c r="R85" i="76" s="1"/>
  <c r="R86" i="76" s="1"/>
  <c r="R87" i="76" s="1"/>
  <c r="R88" i="76" s="1"/>
  <c r="R89" i="76" s="1"/>
  <c r="R90" i="76" s="1"/>
  <c r="R91" i="76" s="1"/>
  <c r="R92" i="76" s="1"/>
  <c r="R93" i="76" s="1"/>
  <c r="R94" i="76" s="1"/>
  <c r="R95" i="76" s="1"/>
  <c r="R96" i="76" s="1"/>
  <c r="R97" i="76" s="1"/>
  <c r="R98" i="76" s="1"/>
  <c r="R99" i="76" s="1"/>
  <c r="R100" i="76" s="1"/>
  <c r="R101" i="76" s="1"/>
  <c r="R102" i="76" s="1"/>
  <c r="R103" i="76" s="1"/>
  <c r="R104" i="76" s="1"/>
  <c r="R105" i="76" s="1"/>
  <c r="R106" i="76" s="1"/>
  <c r="R107" i="76" s="1"/>
  <c r="R108" i="76" s="1"/>
  <c r="R109" i="76" s="1"/>
  <c r="R110" i="76" s="1"/>
  <c r="R111" i="76" s="1"/>
  <c r="R112" i="76" s="1"/>
  <c r="R113" i="76" s="1"/>
  <c r="R114" i="76" s="1"/>
  <c r="R115" i="76" s="1"/>
  <c r="R116" i="76" s="1"/>
  <c r="R117" i="76" s="1"/>
  <c r="R118" i="76" s="1"/>
  <c r="R119" i="76" s="1"/>
  <c r="R120" i="76" s="1"/>
  <c r="R121" i="76" s="1"/>
  <c r="R122" i="76" s="1"/>
  <c r="R123" i="76" s="1"/>
  <c r="R124" i="76" s="1"/>
  <c r="R125" i="76" s="1"/>
  <c r="R126" i="76" s="1"/>
  <c r="G99" i="76"/>
  <c r="J9" i="103" l="1"/>
  <c r="K9" i="103" s="1"/>
  <c r="S63" i="105"/>
  <c r="S62" i="105"/>
  <c r="S64" i="105"/>
  <c r="K9" i="105"/>
  <c r="M9" i="105" s="1"/>
  <c r="AF10" i="105"/>
  <c r="P11" i="105"/>
  <c r="AA39" i="105"/>
  <c r="AB39" i="105" s="1"/>
  <c r="V39" i="105" s="1"/>
  <c r="AE40" i="105"/>
  <c r="O41" i="105"/>
  <c r="Z40" i="105"/>
  <c r="K100" i="104"/>
  <c r="M100" i="104" s="1"/>
  <c r="J101" i="104" s="1"/>
  <c r="S64" i="103"/>
  <c r="S62" i="103"/>
  <c r="S63" i="103"/>
  <c r="AE8" i="104"/>
  <c r="AD9" i="104"/>
  <c r="L9" i="104"/>
  <c r="R9" i="104" s="1"/>
  <c r="J9" i="104"/>
  <c r="S67" i="104"/>
  <c r="S69" i="104" s="1"/>
  <c r="S73" i="104"/>
  <c r="S56" i="104"/>
  <c r="S57" i="104" s="1"/>
  <c r="S58" i="104" s="1"/>
  <c r="S59" i="104" s="1"/>
  <c r="S60" i="104" s="1"/>
  <c r="S61" i="104" s="1"/>
  <c r="AE12" i="103"/>
  <c r="AD13" i="103"/>
  <c r="O15" i="95"/>
  <c r="AE14" i="95"/>
  <c r="Z14" i="95"/>
  <c r="AA14" i="95" s="1"/>
  <c r="AB14" i="95" s="1"/>
  <c r="V14" i="95" s="1"/>
  <c r="M8" i="96"/>
  <c r="J9" i="96" s="1"/>
  <c r="AD8" i="96"/>
  <c r="AD9" i="96" s="1"/>
  <c r="P11" i="95"/>
  <c r="AF10" i="95"/>
  <c r="K84" i="96"/>
  <c r="M84" i="96" s="1"/>
  <c r="J85" i="96" s="1"/>
  <c r="S73" i="96"/>
  <c r="S56" i="96"/>
  <c r="S57" i="96" s="1"/>
  <c r="S58" i="96" s="1"/>
  <c r="S59" i="96" s="1"/>
  <c r="S60" i="96" s="1"/>
  <c r="S61" i="96" s="1"/>
  <c r="S67" i="96"/>
  <c r="S69" i="96" s="1"/>
  <c r="S67" i="95"/>
  <c r="S69" i="95" s="1"/>
  <c r="S73" i="95"/>
  <c r="S56" i="95"/>
  <c r="S57" i="95" s="1"/>
  <c r="S58" i="95" s="1"/>
  <c r="S59" i="95" s="1"/>
  <c r="S60" i="95" s="1"/>
  <c r="S61" i="95" s="1"/>
  <c r="J9" i="95"/>
  <c r="L9" i="95"/>
  <c r="R9" i="95" s="1"/>
  <c r="AB16" i="23"/>
  <c r="AC15" i="23"/>
  <c r="S8" i="76"/>
  <c r="S9" i="76" s="1"/>
  <c r="S10" i="76" s="1"/>
  <c r="S11" i="76" s="1"/>
  <c r="S12" i="76" s="1"/>
  <c r="S13" i="76" s="1"/>
  <c r="S14" i="76" s="1"/>
  <c r="S15" i="76" s="1"/>
  <c r="S16" i="76" s="1"/>
  <c r="S17" i="76" s="1"/>
  <c r="S18" i="76" s="1"/>
  <c r="S19" i="76" s="1"/>
  <c r="S20" i="76" s="1"/>
  <c r="S21" i="76" s="1"/>
  <c r="S22" i="76" s="1"/>
  <c r="S23" i="76" s="1"/>
  <c r="S24" i="76" s="1"/>
  <c r="S25" i="76" s="1"/>
  <c r="S26" i="76" s="1"/>
  <c r="S27" i="76" s="1"/>
  <c r="S28" i="76" s="1"/>
  <c r="S29" i="76" s="1"/>
  <c r="S30" i="76" s="1"/>
  <c r="S31" i="76" s="1"/>
  <c r="S32" i="76" s="1"/>
  <c r="S33" i="76" s="1"/>
  <c r="S34" i="76" s="1"/>
  <c r="S35" i="76" s="1"/>
  <c r="S36" i="76" s="1"/>
  <c r="S37" i="76" s="1"/>
  <c r="S38" i="76" s="1"/>
  <c r="S39" i="76" s="1"/>
  <c r="S40" i="76" s="1"/>
  <c r="S41" i="76" s="1"/>
  <c r="S42" i="76" s="1"/>
  <c r="S43" i="76" s="1"/>
  <c r="S44" i="76" s="1"/>
  <c r="S45" i="76" s="1"/>
  <c r="S46" i="76" s="1"/>
  <c r="S47" i="76" s="1"/>
  <c r="S48" i="76" s="1"/>
  <c r="S49" i="76" s="1"/>
  <c r="S50" i="76" s="1"/>
  <c r="S51" i="76" s="1"/>
  <c r="S52" i="76" s="1"/>
  <c r="S53" i="76" s="1"/>
  <c r="S54" i="76" s="1"/>
  <c r="S55" i="76" s="1"/>
  <c r="S56" i="76" s="1"/>
  <c r="S57" i="76" s="1"/>
  <c r="S58" i="76" s="1"/>
  <c r="S59" i="76" s="1"/>
  <c r="S60" i="76" s="1"/>
  <c r="S61" i="76" s="1"/>
  <c r="S62" i="76" s="1"/>
  <c r="AA113" i="76"/>
  <c r="AB113" i="76" s="1"/>
  <c r="V113" i="76" s="1"/>
  <c r="V127" i="76" s="1"/>
  <c r="D102" i="76" s="1"/>
  <c r="F102" i="76" s="1"/>
  <c r="G102" i="76" s="1"/>
  <c r="M8" i="76"/>
  <c r="L9" i="76" s="1"/>
  <c r="R9" i="76" s="1"/>
  <c r="T54" i="76"/>
  <c r="T36" i="76"/>
  <c r="AD7" i="76"/>
  <c r="R127" i="76"/>
  <c r="AA14" i="76"/>
  <c r="AB14" i="76" s="1"/>
  <c r="V14" i="76" s="1"/>
  <c r="K80" i="76"/>
  <c r="M80" i="76" s="1"/>
  <c r="J81" i="76" s="1"/>
  <c r="O16" i="76"/>
  <c r="Z15" i="76"/>
  <c r="M9" i="103" l="1"/>
  <c r="J10" i="103" s="1"/>
  <c r="AF11" i="105"/>
  <c r="P12" i="105"/>
  <c r="J10" i="105"/>
  <c r="K10" i="105" s="1"/>
  <c r="L10" i="105"/>
  <c r="R10" i="105" s="1"/>
  <c r="S66" i="105"/>
  <c r="S65" i="105"/>
  <c r="AE41" i="105"/>
  <c r="O42" i="105"/>
  <c r="Z41" i="105"/>
  <c r="AA40" i="105"/>
  <c r="AB40" i="105" s="1"/>
  <c r="V40" i="105" s="1"/>
  <c r="K101" i="104"/>
  <c r="M101" i="104" s="1"/>
  <c r="J102" i="104" s="1"/>
  <c r="AE9" i="104"/>
  <c r="AD10" i="104"/>
  <c r="S63" i="104"/>
  <c r="S62" i="104"/>
  <c r="S64" i="104"/>
  <c r="S66" i="103"/>
  <c r="S65" i="103"/>
  <c r="K9" i="104"/>
  <c r="M9" i="104" s="1"/>
  <c r="AD14" i="103"/>
  <c r="AE13" i="103"/>
  <c r="O16" i="95"/>
  <c r="AE15" i="95"/>
  <c r="Z15" i="95"/>
  <c r="AA15" i="95" s="1"/>
  <c r="AB15" i="95" s="1"/>
  <c r="V15" i="95" s="1"/>
  <c r="L9" i="96"/>
  <c r="R9" i="96" s="1"/>
  <c r="AE8" i="96"/>
  <c r="P12" i="95"/>
  <c r="AF11" i="95"/>
  <c r="K85" i="96"/>
  <c r="M85" i="96" s="1"/>
  <c r="J86" i="96" s="1"/>
  <c r="S64" i="96"/>
  <c r="S62" i="96"/>
  <c r="S63" i="96"/>
  <c r="AE9" i="96"/>
  <c r="AD10" i="96"/>
  <c r="K9" i="96"/>
  <c r="K9" i="95"/>
  <c r="S64" i="95"/>
  <c r="S63" i="95"/>
  <c r="S62" i="95"/>
  <c r="AB17" i="23"/>
  <c r="AB18" i="23" s="1"/>
  <c r="AC16" i="23"/>
  <c r="S67" i="76"/>
  <c r="S69" i="76" s="1"/>
  <c r="S64" i="76"/>
  <c r="S63" i="76"/>
  <c r="S73" i="76"/>
  <c r="T67" i="76"/>
  <c r="T69" i="76" s="1"/>
  <c r="T55" i="76" s="1"/>
  <c r="T73" i="76" s="1"/>
  <c r="J9" i="76"/>
  <c r="K9" i="76" s="1"/>
  <c r="M9" i="76" s="1"/>
  <c r="L10" i="76" s="1"/>
  <c r="R10" i="76" s="1"/>
  <c r="AE7" i="76"/>
  <c r="AD8" i="76"/>
  <c r="S66" i="76"/>
  <c r="S65" i="76"/>
  <c r="AA15" i="76"/>
  <c r="AB15" i="76" s="1"/>
  <c r="V15" i="76" s="1"/>
  <c r="K81" i="76"/>
  <c r="M81" i="76" s="1"/>
  <c r="J82" i="76" s="1"/>
  <c r="O17" i="76"/>
  <c r="Z16" i="76"/>
  <c r="L10" i="103" l="1"/>
  <c r="R10" i="103" s="1"/>
  <c r="M10" i="105"/>
  <c r="AF12" i="105"/>
  <c r="P13" i="105"/>
  <c r="AA41" i="105"/>
  <c r="AB41" i="105" s="1"/>
  <c r="V41" i="105" s="1"/>
  <c r="AE42" i="105"/>
  <c r="O43" i="105"/>
  <c r="Z42" i="105"/>
  <c r="K102" i="104"/>
  <c r="M102" i="104" s="1"/>
  <c r="J103" i="104" s="1"/>
  <c r="S65" i="104"/>
  <c r="S66" i="104"/>
  <c r="AD11" i="104"/>
  <c r="AE10" i="104"/>
  <c r="L10" i="104"/>
  <c r="R10" i="104" s="1"/>
  <c r="J10" i="104"/>
  <c r="K10" i="104" s="1"/>
  <c r="K10" i="103"/>
  <c r="AD15" i="103"/>
  <c r="AE14" i="103"/>
  <c r="O17" i="95"/>
  <c r="AE16" i="95"/>
  <c r="Z16" i="95"/>
  <c r="AA16" i="95" s="1"/>
  <c r="AB16" i="95" s="1"/>
  <c r="V16" i="95" s="1"/>
  <c r="M9" i="96"/>
  <c r="L10" i="96" s="1"/>
  <c r="R10" i="96" s="1"/>
  <c r="P13" i="95"/>
  <c r="AF12" i="95"/>
  <c r="K86" i="96"/>
  <c r="M86" i="96" s="1"/>
  <c r="J87" i="96" s="1"/>
  <c r="S66" i="96"/>
  <c r="S65" i="96"/>
  <c r="AE10" i="96"/>
  <c r="AD11" i="96"/>
  <c r="S66" i="95"/>
  <c r="S65" i="95"/>
  <c r="M9" i="95"/>
  <c r="AB19" i="23"/>
  <c r="AB20" i="23" s="1"/>
  <c r="AC18" i="23"/>
  <c r="Q4" i="71" s="1"/>
  <c r="J10" i="76"/>
  <c r="K10" i="76" s="1"/>
  <c r="M10" i="76" s="1"/>
  <c r="AE8" i="76"/>
  <c r="AD9" i="76"/>
  <c r="K82" i="76"/>
  <c r="M82" i="76" s="1"/>
  <c r="J83" i="76" s="1"/>
  <c r="AA16" i="76"/>
  <c r="AB16" i="76" s="1"/>
  <c r="V16" i="76" s="1"/>
  <c r="O18" i="76"/>
  <c r="Z17" i="76"/>
  <c r="M10" i="103" l="1"/>
  <c r="J11" i="103" s="1"/>
  <c r="P14" i="105"/>
  <c r="AF13" i="105"/>
  <c r="J11" i="105"/>
  <c r="L11" i="105"/>
  <c r="R11" i="105" s="1"/>
  <c r="M10" i="104"/>
  <c r="J11" i="104" s="1"/>
  <c r="K11" i="104" s="1"/>
  <c r="AA42" i="105"/>
  <c r="AB42" i="105" s="1"/>
  <c r="V42" i="105" s="1"/>
  <c r="AE43" i="105"/>
  <c r="O44" i="105"/>
  <c r="Z43" i="105"/>
  <c r="AE11" i="104"/>
  <c r="AD12" i="104"/>
  <c r="K103" i="104"/>
  <c r="M103" i="104" s="1"/>
  <c r="J104" i="104" s="1"/>
  <c r="K104" i="104" s="1"/>
  <c r="M104" i="104" s="1"/>
  <c r="J105" i="104" s="1"/>
  <c r="AC20" i="23"/>
  <c r="AB21" i="23"/>
  <c r="AE15" i="103"/>
  <c r="AD16" i="103"/>
  <c r="O18" i="95"/>
  <c r="AE17" i="95"/>
  <c r="Z17" i="95"/>
  <c r="AA17" i="95" s="1"/>
  <c r="AB17" i="95" s="1"/>
  <c r="V17" i="95" s="1"/>
  <c r="J10" i="96"/>
  <c r="K10" i="96" s="1"/>
  <c r="M10" i="96" s="1"/>
  <c r="P14" i="95"/>
  <c r="AF13" i="95"/>
  <c r="K87" i="96"/>
  <c r="M87" i="96" s="1"/>
  <c r="J88" i="96" s="1"/>
  <c r="AE11" i="96"/>
  <c r="AD12" i="96"/>
  <c r="J10" i="95"/>
  <c r="L10" i="95"/>
  <c r="R10" i="95" s="1"/>
  <c r="AC19" i="23"/>
  <c r="Q4" i="63" s="1"/>
  <c r="AD10" i="76"/>
  <c r="AE9" i="76"/>
  <c r="L11" i="76"/>
  <c r="R11" i="76" s="1"/>
  <c r="J11" i="76"/>
  <c r="K83" i="76"/>
  <c r="M83" i="76" s="1"/>
  <c r="J84" i="76" s="1"/>
  <c r="O19" i="76"/>
  <c r="Z18" i="76"/>
  <c r="AA17" i="76"/>
  <c r="AB17" i="76" s="1"/>
  <c r="V17" i="76" s="1"/>
  <c r="L11" i="103" l="1"/>
  <c r="R11" i="103" s="1"/>
  <c r="K11" i="105"/>
  <c r="M11" i="105" s="1"/>
  <c r="P15" i="105"/>
  <c r="AF14" i="105"/>
  <c r="L11" i="104"/>
  <c r="R11" i="104" s="1"/>
  <c r="AE44" i="105"/>
  <c r="O45" i="105"/>
  <c r="Z44" i="105"/>
  <c r="AA43" i="105"/>
  <c r="AB43" i="105" s="1"/>
  <c r="V43" i="105" s="1"/>
  <c r="K105" i="104"/>
  <c r="M105" i="104" s="1"/>
  <c r="J106" i="104" s="1"/>
  <c r="K106" i="104" s="1"/>
  <c r="M106" i="104" s="1"/>
  <c r="J107" i="104" s="1"/>
  <c r="AB22" i="23"/>
  <c r="AC21" i="23"/>
  <c r="AD13" i="104"/>
  <c r="AE12" i="104"/>
  <c r="K11" i="103"/>
  <c r="M11" i="103" s="1"/>
  <c r="AD17" i="103"/>
  <c r="AE16" i="103"/>
  <c r="O19" i="95"/>
  <c r="AE18" i="95"/>
  <c r="Z18" i="95"/>
  <c r="AA18" i="95" s="1"/>
  <c r="AB18" i="95" s="1"/>
  <c r="V18" i="95" s="1"/>
  <c r="P15" i="95"/>
  <c r="AF14" i="95"/>
  <c r="L11" i="96"/>
  <c r="R11" i="96" s="1"/>
  <c r="J11" i="96"/>
  <c r="K88" i="96"/>
  <c r="M88" i="96" s="1"/>
  <c r="J89" i="96" s="1"/>
  <c r="AD13" i="96"/>
  <c r="AE12" i="96"/>
  <c r="K10" i="95"/>
  <c r="M10" i="95" s="1"/>
  <c r="AD11" i="76"/>
  <c r="AE10" i="76"/>
  <c r="K11" i="76"/>
  <c r="M11" i="76" s="1"/>
  <c r="K84" i="76"/>
  <c r="M84" i="76" s="1"/>
  <c r="J85" i="76" s="1"/>
  <c r="AA18" i="76"/>
  <c r="AB18" i="76" s="1"/>
  <c r="V18" i="76" s="1"/>
  <c r="O20" i="76"/>
  <c r="Z19" i="76"/>
  <c r="J12" i="105" l="1"/>
  <c r="L12" i="105"/>
  <c r="R12" i="105" s="1"/>
  <c r="P16" i="105"/>
  <c r="AF15" i="105"/>
  <c r="M11" i="104"/>
  <c r="L12" i="104" s="1"/>
  <c r="R12" i="104" s="1"/>
  <c r="AA44" i="105"/>
  <c r="AB44" i="105" s="1"/>
  <c r="V44" i="105" s="1"/>
  <c r="AE45" i="105"/>
  <c r="O46" i="105"/>
  <c r="Z45" i="105"/>
  <c r="J12" i="103"/>
  <c r="K12" i="103" s="1"/>
  <c r="L12" i="103"/>
  <c r="R12" i="103" s="1"/>
  <c r="K107" i="104"/>
  <c r="M107" i="104" s="1"/>
  <c r="J108" i="104" s="1"/>
  <c r="K108" i="104" s="1"/>
  <c r="M108" i="104" s="1"/>
  <c r="J109" i="104" s="1"/>
  <c r="K109" i="104" s="1"/>
  <c r="M109" i="104" s="1"/>
  <c r="J110" i="104" s="1"/>
  <c r="K110" i="104" s="1"/>
  <c r="M110" i="104" s="1"/>
  <c r="J111" i="104" s="1"/>
  <c r="K111" i="104" s="1"/>
  <c r="M111" i="104" s="1"/>
  <c r="J112" i="104" s="1"/>
  <c r="AE13" i="104"/>
  <c r="AD14" i="104"/>
  <c r="AC22" i="23"/>
  <c r="AB23" i="23"/>
  <c r="AE17" i="103"/>
  <c r="AD18" i="103"/>
  <c r="O20" i="95"/>
  <c r="AE19" i="95"/>
  <c r="Z19" i="95"/>
  <c r="AA19" i="95" s="1"/>
  <c r="AB19" i="95" s="1"/>
  <c r="V19" i="95" s="1"/>
  <c r="P16" i="95"/>
  <c r="AF15" i="95"/>
  <c r="K89" i="96"/>
  <c r="M89" i="96" s="1"/>
  <c r="J90" i="96" s="1"/>
  <c r="K11" i="96"/>
  <c r="M11" i="96" s="1"/>
  <c r="AD14" i="96"/>
  <c r="AE13" i="96"/>
  <c r="L11" i="95"/>
  <c r="R11" i="95" s="1"/>
  <c r="J11" i="95"/>
  <c r="AE11" i="76"/>
  <c r="AD12" i="76"/>
  <c r="L12" i="76"/>
  <c r="R12" i="76" s="1"/>
  <c r="J12" i="76"/>
  <c r="O21" i="76"/>
  <c r="Z20" i="76"/>
  <c r="K85" i="76"/>
  <c r="M85" i="76" s="1"/>
  <c r="J86" i="76" s="1"/>
  <c r="AA19" i="76"/>
  <c r="AB19" i="76" s="1"/>
  <c r="V19" i="76" s="1"/>
  <c r="J12" i="104" l="1"/>
  <c r="K12" i="104" s="1"/>
  <c r="AF16" i="105"/>
  <c r="P17" i="105"/>
  <c r="K12" i="105"/>
  <c r="M12" i="105" s="1"/>
  <c r="O47" i="105"/>
  <c r="AE46" i="105"/>
  <c r="Z46" i="105"/>
  <c r="AA45" i="105"/>
  <c r="AB45" i="105" s="1"/>
  <c r="V45" i="105" s="1"/>
  <c r="M12" i="103"/>
  <c r="L13" i="103" s="1"/>
  <c r="R13" i="103" s="1"/>
  <c r="K112" i="104"/>
  <c r="M112" i="104" s="1"/>
  <c r="J113" i="104" s="1"/>
  <c r="K113" i="104" s="1"/>
  <c r="M113" i="104" s="1"/>
  <c r="J114" i="104" s="1"/>
  <c r="AE14" i="104"/>
  <c r="AD15" i="104"/>
  <c r="AB24" i="23"/>
  <c r="AC23" i="23"/>
  <c r="AE18" i="103"/>
  <c r="AD19" i="103"/>
  <c r="O21" i="95"/>
  <c r="AE20" i="95"/>
  <c r="Z20" i="95"/>
  <c r="AA20" i="95" s="1"/>
  <c r="AB20" i="95" s="1"/>
  <c r="V20" i="95" s="1"/>
  <c r="P17" i="95"/>
  <c r="AF16" i="95"/>
  <c r="L12" i="96"/>
  <c r="R12" i="96" s="1"/>
  <c r="J12" i="96"/>
  <c r="K90" i="96"/>
  <c r="M90" i="96" s="1"/>
  <c r="J91" i="96" s="1"/>
  <c r="AE14" i="96"/>
  <c r="AD15" i="96"/>
  <c r="K11" i="95"/>
  <c r="M11" i="95" s="1"/>
  <c r="AE12" i="76"/>
  <c r="AD13" i="76"/>
  <c r="K12" i="76"/>
  <c r="M12" i="76" s="1"/>
  <c r="K86" i="76"/>
  <c r="M86" i="76" s="1"/>
  <c r="J87" i="76" s="1"/>
  <c r="O22" i="76"/>
  <c r="Z21" i="76"/>
  <c r="AA20" i="76"/>
  <c r="AB20" i="76" s="1"/>
  <c r="V20" i="76" s="1"/>
  <c r="M12" i="104" l="1"/>
  <c r="L13" i="104" s="1"/>
  <c r="R13" i="104" s="1"/>
  <c r="J13" i="105"/>
  <c r="L13" i="105"/>
  <c r="R13" i="105" s="1"/>
  <c r="AF17" i="105"/>
  <c r="P18" i="105"/>
  <c r="J13" i="103"/>
  <c r="K13" i="103" s="1"/>
  <c r="M13" i="103" s="1"/>
  <c r="AA46" i="105"/>
  <c r="AB46" i="105"/>
  <c r="V46" i="105" s="1"/>
  <c r="O48" i="105"/>
  <c r="AE47" i="105"/>
  <c r="Z47" i="105"/>
  <c r="AC24" i="23"/>
  <c r="AB25" i="23"/>
  <c r="AE15" i="104"/>
  <c r="AD16" i="104"/>
  <c r="K114" i="104"/>
  <c r="M114" i="104" s="1"/>
  <c r="J115" i="104" s="1"/>
  <c r="AD20" i="103"/>
  <c r="AE19" i="103"/>
  <c r="O22" i="95"/>
  <c r="AE21" i="95"/>
  <c r="Z21" i="95"/>
  <c r="AA21" i="95" s="1"/>
  <c r="AB21" i="95" s="1"/>
  <c r="V21" i="95" s="1"/>
  <c r="P18" i="95"/>
  <c r="AF17" i="95"/>
  <c r="K91" i="96"/>
  <c r="M91" i="96" s="1"/>
  <c r="J92" i="96" s="1"/>
  <c r="K12" i="96"/>
  <c r="M12" i="96" s="1"/>
  <c r="AD16" i="96"/>
  <c r="AE15" i="96"/>
  <c r="L12" i="95"/>
  <c r="R12" i="95" s="1"/>
  <c r="J12" i="95"/>
  <c r="AD14" i="76"/>
  <c r="AE13" i="76"/>
  <c r="L13" i="76"/>
  <c r="R13" i="76" s="1"/>
  <c r="J13" i="76"/>
  <c r="K87" i="76"/>
  <c r="M87" i="76" s="1"/>
  <c r="J88" i="76" s="1"/>
  <c r="AA21" i="76"/>
  <c r="AB21" i="76" s="1"/>
  <c r="V21" i="76" s="1"/>
  <c r="O23" i="76"/>
  <c r="Z22" i="76"/>
  <c r="J13" i="104" l="1"/>
  <c r="K13" i="104" s="1"/>
  <c r="M13" i="104" s="1"/>
  <c r="J14" i="104" s="1"/>
  <c r="L14" i="104"/>
  <c r="R14" i="104" s="1"/>
  <c r="P19" i="105"/>
  <c r="AF18" i="105"/>
  <c r="K13" i="105"/>
  <c r="M13" i="105" s="1"/>
  <c r="AA47" i="105"/>
  <c r="AB47" i="105" s="1"/>
  <c r="V47" i="105" s="1"/>
  <c r="O49" i="105"/>
  <c r="AE48" i="105"/>
  <c r="Z48" i="105"/>
  <c r="AB26" i="23"/>
  <c r="AC25" i="23"/>
  <c r="AD17" i="104"/>
  <c r="AE16" i="104"/>
  <c r="L14" i="103"/>
  <c r="R14" i="103" s="1"/>
  <c r="J14" i="103"/>
  <c r="K14" i="103" s="1"/>
  <c r="K14" i="104"/>
  <c r="K115" i="104"/>
  <c r="M115" i="104" s="1"/>
  <c r="J116" i="104" s="1"/>
  <c r="AD21" i="103"/>
  <c r="AE20" i="103"/>
  <c r="O23" i="95"/>
  <c r="AE22" i="95"/>
  <c r="Z22" i="95"/>
  <c r="AA22" i="95" s="1"/>
  <c r="AB22" i="95" s="1"/>
  <c r="V22" i="95" s="1"/>
  <c r="P19" i="95"/>
  <c r="AF18" i="95"/>
  <c r="J13" i="96"/>
  <c r="L13" i="96"/>
  <c r="R13" i="96" s="1"/>
  <c r="K92" i="96"/>
  <c r="M92" i="96" s="1"/>
  <c r="J93" i="96" s="1"/>
  <c r="AE16" i="96"/>
  <c r="AD17" i="96"/>
  <c r="K12" i="95"/>
  <c r="M12" i="95" s="1"/>
  <c r="AE14" i="76"/>
  <c r="AD15" i="76"/>
  <c r="K13" i="76"/>
  <c r="M13" i="76" s="1"/>
  <c r="K88" i="76"/>
  <c r="M88" i="76" s="1"/>
  <c r="J89" i="76" s="1"/>
  <c r="O24" i="76"/>
  <c r="Z23" i="76"/>
  <c r="AA22" i="76"/>
  <c r="AB22" i="76" s="1"/>
  <c r="V22" i="76" s="1"/>
  <c r="M14" i="104" l="1"/>
  <c r="J15" i="104" s="1"/>
  <c r="J14" i="105"/>
  <c r="L14" i="105"/>
  <c r="R14" i="105" s="1"/>
  <c r="P20" i="105"/>
  <c r="AF19" i="105"/>
  <c r="AA48" i="105"/>
  <c r="AB48" i="105" s="1"/>
  <c r="V48" i="105" s="1"/>
  <c r="O50" i="105"/>
  <c r="AE49" i="105"/>
  <c r="Z49" i="105"/>
  <c r="M14" i="103"/>
  <c r="L15" i="103" s="1"/>
  <c r="R15" i="103" s="1"/>
  <c r="AE17" i="104"/>
  <c r="AD18" i="104"/>
  <c r="AB27" i="23"/>
  <c r="AC26" i="23"/>
  <c r="K116" i="104"/>
  <c r="M116" i="104" s="1"/>
  <c r="J117" i="104" s="1"/>
  <c r="AE21" i="103"/>
  <c r="AD22" i="103"/>
  <c r="O24" i="95"/>
  <c r="AE23" i="95"/>
  <c r="Z23" i="95"/>
  <c r="AA23" i="95" s="1"/>
  <c r="AB23" i="95" s="1"/>
  <c r="V23" i="95" s="1"/>
  <c r="P20" i="95"/>
  <c r="AF19" i="95"/>
  <c r="K93" i="96"/>
  <c r="M93" i="96" s="1"/>
  <c r="J94" i="96" s="1"/>
  <c r="AD18" i="96"/>
  <c r="AE17" i="96"/>
  <c r="K13" i="96"/>
  <c r="M13" i="96" s="1"/>
  <c r="J13" i="95"/>
  <c r="L13" i="95"/>
  <c r="R13" i="95" s="1"/>
  <c r="AE15" i="76"/>
  <c r="AD16" i="76"/>
  <c r="L14" i="76"/>
  <c r="R14" i="76" s="1"/>
  <c r="J14" i="76"/>
  <c r="K89" i="76"/>
  <c r="M89" i="76" s="1"/>
  <c r="J90" i="76" s="1"/>
  <c r="AA23" i="76"/>
  <c r="AB23" i="76" s="1"/>
  <c r="V23" i="76" s="1"/>
  <c r="O25" i="76"/>
  <c r="Z24" i="76"/>
  <c r="L15" i="104" l="1"/>
  <c r="R15" i="104" s="1"/>
  <c r="AF20" i="105"/>
  <c r="P21" i="105"/>
  <c r="K14" i="105"/>
  <c r="M14" i="105" s="1"/>
  <c r="AA49" i="105"/>
  <c r="AB49" i="105" s="1"/>
  <c r="V49" i="105" s="1"/>
  <c r="AE50" i="105"/>
  <c r="O51" i="105"/>
  <c r="Z50" i="105"/>
  <c r="J15" i="103"/>
  <c r="K15" i="103" s="1"/>
  <c r="M15" i="103" s="1"/>
  <c r="AC27" i="23"/>
  <c r="AB28" i="23"/>
  <c r="K15" i="104"/>
  <c r="AE18" i="104"/>
  <c r="AD19" i="104"/>
  <c r="K117" i="104"/>
  <c r="M117" i="104" s="1"/>
  <c r="J118" i="104" s="1"/>
  <c r="AE22" i="103"/>
  <c r="AD23" i="103"/>
  <c r="O25" i="95"/>
  <c r="AE24" i="95"/>
  <c r="Z24" i="95"/>
  <c r="AA24" i="95" s="1"/>
  <c r="AB24" i="95" s="1"/>
  <c r="V24" i="95" s="1"/>
  <c r="P21" i="95"/>
  <c r="AF20" i="95"/>
  <c r="L14" i="96"/>
  <c r="R14" i="96" s="1"/>
  <c r="J14" i="96"/>
  <c r="AD19" i="96"/>
  <c r="AE18" i="96"/>
  <c r="K94" i="96"/>
  <c r="M94" i="96" s="1"/>
  <c r="J95" i="96" s="1"/>
  <c r="K13" i="95"/>
  <c r="M13" i="95" s="1"/>
  <c r="AE16" i="76"/>
  <c r="AD17" i="76"/>
  <c r="K14" i="76"/>
  <c r="M14" i="76" s="1"/>
  <c r="AA24" i="76"/>
  <c r="AB24" i="76" s="1"/>
  <c r="V24" i="76" s="1"/>
  <c r="K90" i="76"/>
  <c r="M90" i="76" s="1"/>
  <c r="J91" i="76" s="1"/>
  <c r="O26" i="76"/>
  <c r="Z25" i="76"/>
  <c r="M15" i="104" l="1"/>
  <c r="L16" i="104" s="1"/>
  <c r="R16" i="104" s="1"/>
  <c r="J15" i="105"/>
  <c r="L15" i="105"/>
  <c r="R15" i="105" s="1"/>
  <c r="AF21" i="105"/>
  <c r="P22" i="105"/>
  <c r="AA50" i="105"/>
  <c r="AB50" i="105" s="1"/>
  <c r="V50" i="105" s="1"/>
  <c r="O52" i="105"/>
  <c r="AE51" i="105"/>
  <c r="Z51" i="105"/>
  <c r="J16" i="103"/>
  <c r="L16" i="103"/>
  <c r="R16" i="103" s="1"/>
  <c r="AE19" i="104"/>
  <c r="AD20" i="104"/>
  <c r="AC28" i="23"/>
  <c r="AB29" i="23"/>
  <c r="K118" i="104"/>
  <c r="M118" i="104" s="1"/>
  <c r="J119" i="104" s="1"/>
  <c r="AD24" i="103"/>
  <c r="AE23" i="103"/>
  <c r="O26" i="95"/>
  <c r="AE25" i="95"/>
  <c r="Z25" i="95"/>
  <c r="AA25" i="95" s="1"/>
  <c r="AB25" i="95" s="1"/>
  <c r="V25" i="95" s="1"/>
  <c r="P22" i="95"/>
  <c r="AF21" i="95"/>
  <c r="K95" i="96"/>
  <c r="M95" i="96" s="1"/>
  <c r="J96" i="96" s="1"/>
  <c r="AD20" i="96"/>
  <c r="AE19" i="96"/>
  <c r="K14" i="96"/>
  <c r="M14" i="96" s="1"/>
  <c r="L14" i="95"/>
  <c r="R14" i="95" s="1"/>
  <c r="J14" i="95"/>
  <c r="AD18" i="76"/>
  <c r="AE17" i="76"/>
  <c r="L15" i="76"/>
  <c r="R15" i="76" s="1"/>
  <c r="J15" i="76"/>
  <c r="K91" i="76"/>
  <c r="M91" i="76" s="1"/>
  <c r="J92" i="76" s="1"/>
  <c r="AA25" i="76"/>
  <c r="AB25" i="76" s="1"/>
  <c r="V25" i="76" s="1"/>
  <c r="O27" i="76"/>
  <c r="Z26" i="76"/>
  <c r="J16" i="104" l="1"/>
  <c r="K16" i="104" s="1"/>
  <c r="P23" i="105"/>
  <c r="AF22" i="105"/>
  <c r="K15" i="105"/>
  <c r="M15" i="105" s="1"/>
  <c r="AA51" i="105"/>
  <c r="AB51" i="105" s="1"/>
  <c r="V51" i="105" s="1"/>
  <c r="O53" i="105"/>
  <c r="AE52" i="105"/>
  <c r="Z52" i="105"/>
  <c r="M16" i="104"/>
  <c r="J17" i="104" s="1"/>
  <c r="K17" i="104" s="1"/>
  <c r="AE20" i="104"/>
  <c r="AD21" i="104"/>
  <c r="AC29" i="23"/>
  <c r="AB30" i="23"/>
  <c r="AC30" i="23" s="1"/>
  <c r="K16" i="103"/>
  <c r="M16" i="103" s="1"/>
  <c r="K119" i="104"/>
  <c r="M119" i="104" s="1"/>
  <c r="J120" i="104" s="1"/>
  <c r="AE24" i="103"/>
  <c r="AD25" i="103"/>
  <c r="O27" i="95"/>
  <c r="AE26" i="95"/>
  <c r="Z26" i="95"/>
  <c r="AA26" i="95" s="1"/>
  <c r="AB26" i="95" s="1"/>
  <c r="V26" i="95" s="1"/>
  <c r="P23" i="95"/>
  <c r="AF22" i="95"/>
  <c r="J15" i="96"/>
  <c r="L15" i="96"/>
  <c r="R15" i="96" s="1"/>
  <c r="K96" i="96"/>
  <c r="M96" i="96" s="1"/>
  <c r="J97" i="96" s="1"/>
  <c r="AD21" i="96"/>
  <c r="AE20" i="96"/>
  <c r="K14" i="95"/>
  <c r="M14" i="95" s="1"/>
  <c r="AE18" i="76"/>
  <c r="AD19" i="76"/>
  <c r="K15" i="76"/>
  <c r="M15" i="76" s="1"/>
  <c r="K92" i="76"/>
  <c r="M92" i="76" s="1"/>
  <c r="J93" i="76" s="1"/>
  <c r="AA26" i="76"/>
  <c r="AB26" i="76" s="1"/>
  <c r="V26" i="76" s="1"/>
  <c r="O28" i="76"/>
  <c r="Z27" i="76"/>
  <c r="J16" i="105" l="1"/>
  <c r="L16" i="105"/>
  <c r="R16" i="105" s="1"/>
  <c r="P24" i="105"/>
  <c r="AF23" i="105"/>
  <c r="AA52" i="105"/>
  <c r="AB52" i="105" s="1"/>
  <c r="V52" i="105" s="1"/>
  <c r="O54" i="105"/>
  <c r="AE53" i="105"/>
  <c r="Z53" i="105"/>
  <c r="L17" i="104"/>
  <c r="R17" i="104" s="1"/>
  <c r="J17" i="103"/>
  <c r="L17" i="103"/>
  <c r="R17" i="103" s="1"/>
  <c r="AE21" i="104"/>
  <c r="AD22" i="104"/>
  <c r="K120" i="104"/>
  <c r="M120" i="104" s="1"/>
  <c r="J121" i="104" s="1"/>
  <c r="AD26" i="103"/>
  <c r="AE25" i="103"/>
  <c r="O28" i="95"/>
  <c r="AE27" i="95"/>
  <c r="Z27" i="95"/>
  <c r="AA27" i="95" s="1"/>
  <c r="AB27" i="95" s="1"/>
  <c r="V27" i="95" s="1"/>
  <c r="P24" i="95"/>
  <c r="AF23" i="95"/>
  <c r="K97" i="96"/>
  <c r="M97" i="96" s="1"/>
  <c r="J98" i="96" s="1"/>
  <c r="K15" i="96"/>
  <c r="M15" i="96" s="1"/>
  <c r="AD22" i="96"/>
  <c r="AE21" i="96"/>
  <c r="L15" i="95"/>
  <c r="R15" i="95" s="1"/>
  <c r="J15" i="95"/>
  <c r="AE19" i="76"/>
  <c r="AD20" i="76"/>
  <c r="L16" i="76"/>
  <c r="R16" i="76" s="1"/>
  <c r="J16" i="76"/>
  <c r="AA27" i="76"/>
  <c r="AB27" i="76" s="1"/>
  <c r="V27" i="76" s="1"/>
  <c r="K93" i="76"/>
  <c r="M93" i="76" s="1"/>
  <c r="J94" i="76" s="1"/>
  <c r="O29" i="76"/>
  <c r="Z28" i="76"/>
  <c r="P25" i="105" l="1"/>
  <c r="AF24" i="105"/>
  <c r="K16" i="105"/>
  <c r="M16" i="105" s="1"/>
  <c r="M17" i="104"/>
  <c r="O55" i="105"/>
  <c r="AE54" i="105"/>
  <c r="Z54" i="105"/>
  <c r="AA53" i="105"/>
  <c r="AB53" i="105" s="1"/>
  <c r="V53" i="105" s="1"/>
  <c r="AD23" i="104"/>
  <c r="AE22" i="104"/>
  <c r="K17" i="103"/>
  <c r="M17" i="103" s="1"/>
  <c r="K121" i="104"/>
  <c r="M121" i="104" s="1"/>
  <c r="J122" i="104" s="1"/>
  <c r="AD27" i="103"/>
  <c r="AE26" i="103"/>
  <c r="O29" i="95"/>
  <c r="AE28" i="95"/>
  <c r="Z28" i="95"/>
  <c r="AA28" i="95" s="1"/>
  <c r="AB28" i="95" s="1"/>
  <c r="V28" i="95" s="1"/>
  <c r="P25" i="95"/>
  <c r="AF24" i="95"/>
  <c r="J16" i="96"/>
  <c r="L16" i="96"/>
  <c r="R16" i="96" s="1"/>
  <c r="K98" i="96"/>
  <c r="M98" i="96" s="1"/>
  <c r="J99" i="96" s="1"/>
  <c r="AD23" i="96"/>
  <c r="AE22" i="96"/>
  <c r="K15" i="95"/>
  <c r="M15" i="95" s="1"/>
  <c r="AD21" i="76"/>
  <c r="AE20" i="76"/>
  <c r="K16" i="76"/>
  <c r="M16" i="76" s="1"/>
  <c r="K94" i="76"/>
  <c r="M94" i="76" s="1"/>
  <c r="J95" i="76" s="1"/>
  <c r="AA28" i="76"/>
  <c r="AB28" i="76" s="1"/>
  <c r="V28" i="76" s="1"/>
  <c r="O30" i="76"/>
  <c r="Z29" i="76"/>
  <c r="J17" i="105" l="1"/>
  <c r="L17" i="105"/>
  <c r="R17" i="105" s="1"/>
  <c r="AF25" i="105"/>
  <c r="P26" i="105"/>
  <c r="J18" i="104"/>
  <c r="L18" i="104"/>
  <c r="R18" i="104" s="1"/>
  <c r="AA54" i="105"/>
  <c r="AB54" i="105" s="1"/>
  <c r="V54" i="105" s="1"/>
  <c r="V67" i="105" s="1"/>
  <c r="D30" i="105" s="1"/>
  <c r="O56" i="105"/>
  <c r="AE55" i="105"/>
  <c r="Z55" i="105"/>
  <c r="L18" i="103"/>
  <c r="R18" i="103" s="1"/>
  <c r="J18" i="103"/>
  <c r="K18" i="103" s="1"/>
  <c r="AE23" i="104"/>
  <c r="AD24" i="104"/>
  <c r="K122" i="104"/>
  <c r="M122" i="104" s="1"/>
  <c r="J123" i="104" s="1"/>
  <c r="AD28" i="103"/>
  <c r="AE27" i="103"/>
  <c r="O30" i="95"/>
  <c r="AE29" i="95"/>
  <c r="Z29" i="95"/>
  <c r="AA29" i="95" s="1"/>
  <c r="AB29" i="95" s="1"/>
  <c r="V29" i="95" s="1"/>
  <c r="P26" i="95"/>
  <c r="AF25" i="95"/>
  <c r="K99" i="96"/>
  <c r="M99" i="96" s="1"/>
  <c r="J100" i="96" s="1"/>
  <c r="K16" i="96"/>
  <c r="M16" i="96" s="1"/>
  <c r="AE23" i="96"/>
  <c r="AD24" i="96"/>
  <c r="J16" i="95"/>
  <c r="L16" i="95"/>
  <c r="R16" i="95" s="1"/>
  <c r="AE21" i="76"/>
  <c r="AD22" i="76"/>
  <c r="L17" i="76"/>
  <c r="R17" i="76" s="1"/>
  <c r="J17" i="76"/>
  <c r="AA29" i="76"/>
  <c r="AB29" i="76" s="1"/>
  <c r="V29" i="76" s="1"/>
  <c r="K95" i="76"/>
  <c r="M95" i="76" s="1"/>
  <c r="J96" i="76" s="1"/>
  <c r="O31" i="76"/>
  <c r="Z30" i="76"/>
  <c r="AF26" i="105" l="1"/>
  <c r="P27" i="105"/>
  <c r="M18" i="103"/>
  <c r="J19" i="103" s="1"/>
  <c r="K17" i="105"/>
  <c r="M17" i="105"/>
  <c r="K18" i="104"/>
  <c r="M18" i="104" s="1"/>
  <c r="AE56" i="105"/>
  <c r="O57" i="105"/>
  <c r="Z56" i="105"/>
  <c r="F30" i="105"/>
  <c r="G30" i="105" s="1"/>
  <c r="AA55" i="105"/>
  <c r="AB55" i="105" s="1"/>
  <c r="V55" i="105" s="1"/>
  <c r="AD25" i="104"/>
  <c r="AE24" i="104"/>
  <c r="K123" i="104"/>
  <c r="M123" i="104" s="1"/>
  <c r="J124" i="104" s="1"/>
  <c r="AD29" i="103"/>
  <c r="AE28" i="103"/>
  <c r="O31" i="95"/>
  <c r="AE30" i="95"/>
  <c r="Z30" i="95"/>
  <c r="AA30" i="95" s="1"/>
  <c r="AB30" i="95" s="1"/>
  <c r="V30" i="95" s="1"/>
  <c r="P27" i="95"/>
  <c r="AF26" i="95"/>
  <c r="K100" i="96"/>
  <c r="M100" i="96" s="1"/>
  <c r="J101" i="96" s="1"/>
  <c r="AD25" i="96"/>
  <c r="AE24" i="96"/>
  <c r="L17" i="96"/>
  <c r="R17" i="96" s="1"/>
  <c r="J17" i="96"/>
  <c r="K16" i="95"/>
  <c r="M16" i="95" s="1"/>
  <c r="AD23" i="76"/>
  <c r="AE22" i="76"/>
  <c r="K17" i="76"/>
  <c r="M17" i="76" s="1"/>
  <c r="AA30" i="76"/>
  <c r="AB30" i="76" s="1"/>
  <c r="V30" i="76" s="1"/>
  <c r="K96" i="76"/>
  <c r="M96" i="76" s="1"/>
  <c r="J97" i="76" s="1"/>
  <c r="O32" i="76"/>
  <c r="Z31" i="76"/>
  <c r="L19" i="103" l="1"/>
  <c r="R19" i="103" s="1"/>
  <c r="J18" i="105"/>
  <c r="L18" i="105"/>
  <c r="R18" i="105" s="1"/>
  <c r="AF27" i="105"/>
  <c r="P28" i="105"/>
  <c r="J19" i="104"/>
  <c r="L19" i="104"/>
  <c r="R19" i="104" s="1"/>
  <c r="AA56" i="105"/>
  <c r="AB56" i="105" s="1"/>
  <c r="V56" i="105" s="1"/>
  <c r="O58" i="105"/>
  <c r="AE57" i="105"/>
  <c r="Z57" i="105"/>
  <c r="K19" i="103"/>
  <c r="AD26" i="104"/>
  <c r="AE25" i="104"/>
  <c r="K124" i="104"/>
  <c r="M124" i="104" s="1"/>
  <c r="J125" i="104" s="1"/>
  <c r="AD30" i="103"/>
  <c r="AE29" i="103"/>
  <c r="O32" i="95"/>
  <c r="AE31" i="95"/>
  <c r="Z31" i="95"/>
  <c r="AA31" i="95" s="1"/>
  <c r="AB31" i="95" s="1"/>
  <c r="V31" i="95" s="1"/>
  <c r="P28" i="95"/>
  <c r="AF27" i="95"/>
  <c r="AD26" i="96"/>
  <c r="AE25" i="96"/>
  <c r="K17" i="96"/>
  <c r="M17" i="96" s="1"/>
  <c r="K101" i="96"/>
  <c r="M101" i="96" s="1"/>
  <c r="J102" i="96" s="1"/>
  <c r="J17" i="95"/>
  <c r="L17" i="95"/>
  <c r="R17" i="95" s="1"/>
  <c r="AE23" i="76"/>
  <c r="AD24" i="76"/>
  <c r="L18" i="76"/>
  <c r="R18" i="76" s="1"/>
  <c r="J18" i="76"/>
  <c r="K97" i="76"/>
  <c r="M97" i="76" s="1"/>
  <c r="J98" i="76" s="1"/>
  <c r="AA31" i="76"/>
  <c r="AB31" i="76" s="1"/>
  <c r="V31" i="76" s="1"/>
  <c r="O33" i="76"/>
  <c r="Z32" i="76"/>
  <c r="M19" i="103" l="1"/>
  <c r="J20" i="103" s="1"/>
  <c r="K20" i="103" s="1"/>
  <c r="P29" i="105"/>
  <c r="AF28" i="105"/>
  <c r="K18" i="105"/>
  <c r="M18" i="105" s="1"/>
  <c r="K19" i="104"/>
  <c r="M19" i="104" s="1"/>
  <c r="AA57" i="105"/>
  <c r="AB57" i="105" s="1"/>
  <c r="V57" i="105" s="1"/>
  <c r="O59" i="105"/>
  <c r="AE58" i="105"/>
  <c r="Z58" i="105"/>
  <c r="AD27" i="104"/>
  <c r="AE26" i="104"/>
  <c r="K125" i="104"/>
  <c r="M125" i="104" s="1"/>
  <c r="J126" i="104" s="1"/>
  <c r="AD31" i="103"/>
  <c r="AE30" i="103"/>
  <c r="O33" i="95"/>
  <c r="AE32" i="95"/>
  <c r="Z32" i="95"/>
  <c r="AA32" i="95" s="1"/>
  <c r="AB32" i="95" s="1"/>
  <c r="V32" i="95" s="1"/>
  <c r="P29" i="95"/>
  <c r="AF28" i="95"/>
  <c r="K102" i="96"/>
  <c r="M102" i="96" s="1"/>
  <c r="J103" i="96" s="1"/>
  <c r="J18" i="96"/>
  <c r="L18" i="96"/>
  <c r="R18" i="96" s="1"/>
  <c r="AE26" i="96"/>
  <c r="AD27" i="96"/>
  <c r="K17" i="95"/>
  <c r="M17" i="95" s="1"/>
  <c r="AD25" i="76"/>
  <c r="AE24" i="76"/>
  <c r="K18" i="76"/>
  <c r="M18" i="76" s="1"/>
  <c r="K98" i="76"/>
  <c r="M98" i="76" s="1"/>
  <c r="J99" i="76" s="1"/>
  <c r="AA32" i="76"/>
  <c r="AB32" i="76" s="1"/>
  <c r="V32" i="76" s="1"/>
  <c r="O34" i="76"/>
  <c r="Z33" i="76"/>
  <c r="L20" i="103" l="1"/>
  <c r="R20" i="103" s="1"/>
  <c r="J19" i="105"/>
  <c r="L19" i="105"/>
  <c r="R19" i="105" s="1"/>
  <c r="P30" i="105"/>
  <c r="AF29" i="105"/>
  <c r="L20" i="104"/>
  <c r="R20" i="104" s="1"/>
  <c r="J20" i="104"/>
  <c r="AE59" i="105"/>
  <c r="O60" i="105"/>
  <c r="Z59" i="105"/>
  <c r="AA58" i="105"/>
  <c r="AB58" i="105" s="1"/>
  <c r="V58" i="105" s="1"/>
  <c r="AE27" i="104"/>
  <c r="AD28" i="104"/>
  <c r="K126" i="104"/>
  <c r="M126" i="104" s="1"/>
  <c r="AD32" i="103"/>
  <c r="AE31" i="103"/>
  <c r="O34" i="95"/>
  <c r="AE33" i="95"/>
  <c r="Z33" i="95"/>
  <c r="AA33" i="95" s="1"/>
  <c r="AB33" i="95" s="1"/>
  <c r="V33" i="95" s="1"/>
  <c r="P30" i="95"/>
  <c r="AF29" i="95"/>
  <c r="K18" i="96"/>
  <c r="M18" i="96" s="1"/>
  <c r="K103" i="96"/>
  <c r="M103" i="96" s="1"/>
  <c r="J104" i="96" s="1"/>
  <c r="AD28" i="96"/>
  <c r="AE27" i="96"/>
  <c r="J18" i="95"/>
  <c r="L18" i="95"/>
  <c r="R18" i="95" s="1"/>
  <c r="AE25" i="76"/>
  <c r="AD26" i="76"/>
  <c r="L19" i="76"/>
  <c r="R19" i="76" s="1"/>
  <c r="J19" i="76"/>
  <c r="AA33" i="76"/>
  <c r="AB33" i="76" s="1"/>
  <c r="V33" i="76" s="1"/>
  <c r="K99" i="76"/>
  <c r="M99" i="76" s="1"/>
  <c r="J100" i="76" s="1"/>
  <c r="O35" i="76"/>
  <c r="Z34" i="76"/>
  <c r="M20" i="103" l="1"/>
  <c r="AF30" i="105"/>
  <c r="P31" i="105"/>
  <c r="K19" i="105"/>
  <c r="M19" i="105" s="1"/>
  <c r="K20" i="104"/>
  <c r="M20" i="104" s="1"/>
  <c r="AA59" i="105"/>
  <c r="AB59" i="105" s="1"/>
  <c r="V59" i="105" s="1"/>
  <c r="O61" i="105"/>
  <c r="AE60" i="105"/>
  <c r="Z60" i="105"/>
  <c r="AE28" i="104"/>
  <c r="AD29" i="104"/>
  <c r="AD33" i="103"/>
  <c r="AE32" i="103"/>
  <c r="O35" i="95"/>
  <c r="AE34" i="95"/>
  <c r="Z34" i="95"/>
  <c r="AA34" i="95" s="1"/>
  <c r="AB34" i="95" s="1"/>
  <c r="V34" i="95" s="1"/>
  <c r="P31" i="95"/>
  <c r="AF30" i="95"/>
  <c r="J19" i="96"/>
  <c r="L19" i="96"/>
  <c r="R19" i="96" s="1"/>
  <c r="K104" i="96"/>
  <c r="M104" i="96" s="1"/>
  <c r="J105" i="96" s="1"/>
  <c r="AE28" i="96"/>
  <c r="AD29" i="96"/>
  <c r="K18" i="95"/>
  <c r="M18" i="95" s="1"/>
  <c r="AD27" i="76"/>
  <c r="AE26" i="76"/>
  <c r="K19" i="76"/>
  <c r="M19" i="76" s="1"/>
  <c r="O36" i="76"/>
  <c r="Z35" i="76"/>
  <c r="K100" i="76"/>
  <c r="M100" i="76" s="1"/>
  <c r="J101" i="76" s="1"/>
  <c r="AA34" i="76"/>
  <c r="AB34" i="76" s="1"/>
  <c r="V34" i="76" s="1"/>
  <c r="J21" i="103" l="1"/>
  <c r="L21" i="103"/>
  <c r="R21" i="103" s="1"/>
  <c r="J20" i="105"/>
  <c r="L20" i="105"/>
  <c r="R20" i="105" s="1"/>
  <c r="AF31" i="105"/>
  <c r="P32" i="105"/>
  <c r="L21" i="104"/>
  <c r="R21" i="104" s="1"/>
  <c r="J21" i="104"/>
  <c r="K21" i="104" s="1"/>
  <c r="O62" i="105"/>
  <c r="AE61" i="105"/>
  <c r="Z61" i="105"/>
  <c r="AA60" i="105"/>
  <c r="AB60" i="105" s="1"/>
  <c r="V60" i="105" s="1"/>
  <c r="AE29" i="104"/>
  <c r="AD30" i="104"/>
  <c r="AD34" i="103"/>
  <c r="AE33" i="103"/>
  <c r="O36" i="95"/>
  <c r="AE35" i="95"/>
  <c r="Z35" i="95"/>
  <c r="AA35" i="95" s="1"/>
  <c r="AB35" i="95" s="1"/>
  <c r="V35" i="95" s="1"/>
  <c r="P32" i="95"/>
  <c r="AF31" i="95"/>
  <c r="K105" i="96"/>
  <c r="M105" i="96" s="1"/>
  <c r="J106" i="96" s="1"/>
  <c r="AE29" i="96"/>
  <c r="AD30" i="96"/>
  <c r="K19" i="96"/>
  <c r="M19" i="96" s="1"/>
  <c r="J19" i="95"/>
  <c r="L19" i="95"/>
  <c r="R19" i="95" s="1"/>
  <c r="AD28" i="76"/>
  <c r="AE27" i="76"/>
  <c r="L20" i="76"/>
  <c r="R20" i="76" s="1"/>
  <c r="J20" i="76"/>
  <c r="K101" i="76"/>
  <c r="M101" i="76" s="1"/>
  <c r="J102" i="76" s="1"/>
  <c r="AA35" i="76"/>
  <c r="AB35" i="76" s="1"/>
  <c r="V35" i="76" s="1"/>
  <c r="O37" i="76"/>
  <c r="Z36" i="76"/>
  <c r="K21" i="103" l="1"/>
  <c r="M21" i="103"/>
  <c r="M21" i="104"/>
  <c r="L22" i="104" s="1"/>
  <c r="R22" i="104" s="1"/>
  <c r="K20" i="105"/>
  <c r="M20" i="105" s="1"/>
  <c r="P33" i="105"/>
  <c r="AF32" i="105"/>
  <c r="AA61" i="105"/>
  <c r="AB61" i="105" s="1"/>
  <c r="V61" i="105" s="1"/>
  <c r="AE62" i="105"/>
  <c r="O63" i="105"/>
  <c r="Z62" i="105"/>
  <c r="AD31" i="104"/>
  <c r="AE30" i="104"/>
  <c r="AD35" i="103"/>
  <c r="AE34" i="103"/>
  <c r="O37" i="95"/>
  <c r="AE36" i="95"/>
  <c r="Z36" i="95"/>
  <c r="AA36" i="95" s="1"/>
  <c r="AB36" i="95" s="1"/>
  <c r="V36" i="95" s="1"/>
  <c r="P33" i="95"/>
  <c r="AF32" i="95"/>
  <c r="K106" i="96"/>
  <c r="M106" i="96" s="1"/>
  <c r="J107" i="96" s="1"/>
  <c r="AE30" i="96"/>
  <c r="AD31" i="96"/>
  <c r="J20" i="96"/>
  <c r="L20" i="96"/>
  <c r="R20" i="96" s="1"/>
  <c r="K19" i="95"/>
  <c r="M19" i="95" s="1"/>
  <c r="AE28" i="76"/>
  <c r="AD29" i="76"/>
  <c r="K20" i="76"/>
  <c r="M20" i="76" s="1"/>
  <c r="K102" i="76"/>
  <c r="M102" i="76" s="1"/>
  <c r="J103" i="76" s="1"/>
  <c r="AA36" i="76"/>
  <c r="AB36" i="76" s="1"/>
  <c r="V36" i="76" s="1"/>
  <c r="O38" i="76"/>
  <c r="Z37" i="76"/>
  <c r="J22" i="103" l="1"/>
  <c r="L22" i="103"/>
  <c r="R22" i="103" s="1"/>
  <c r="J22" i="104"/>
  <c r="K22" i="104" s="1"/>
  <c r="M22" i="104"/>
  <c r="J23" i="104" s="1"/>
  <c r="J21" i="105"/>
  <c r="K21" i="105" s="1"/>
  <c r="L21" i="105"/>
  <c r="R21" i="105" s="1"/>
  <c r="AF33" i="105"/>
  <c r="P34" i="105"/>
  <c r="L23" i="104"/>
  <c r="R23" i="104" s="1"/>
  <c r="AE63" i="105"/>
  <c r="O64" i="105"/>
  <c r="Z63" i="105"/>
  <c r="AA62" i="105"/>
  <c r="AB62" i="105" s="1"/>
  <c r="V62" i="105" s="1"/>
  <c r="AE31" i="104"/>
  <c r="AD32" i="104"/>
  <c r="AD36" i="103"/>
  <c r="AE35" i="103"/>
  <c r="O38" i="95"/>
  <c r="AE37" i="95"/>
  <c r="Z37" i="95"/>
  <c r="AA37" i="95" s="1"/>
  <c r="AB37" i="95" s="1"/>
  <c r="V37" i="95" s="1"/>
  <c r="P34" i="95"/>
  <c r="AF33" i="95"/>
  <c r="AE31" i="96"/>
  <c r="AD32" i="96"/>
  <c r="K20" i="96"/>
  <c r="M20" i="96" s="1"/>
  <c r="K107" i="96"/>
  <c r="M107" i="96" s="1"/>
  <c r="J108" i="96" s="1"/>
  <c r="J20" i="95"/>
  <c r="L20" i="95"/>
  <c r="R20" i="95" s="1"/>
  <c r="AE29" i="76"/>
  <c r="AD30" i="76"/>
  <c r="L21" i="76"/>
  <c r="R21" i="76" s="1"/>
  <c r="J21" i="76"/>
  <c r="K103" i="76"/>
  <c r="M103" i="76" s="1"/>
  <c r="J104" i="76" s="1"/>
  <c r="O39" i="76"/>
  <c r="Z38" i="76"/>
  <c r="AA37" i="76"/>
  <c r="AB37" i="76" s="1"/>
  <c r="V37" i="76" s="1"/>
  <c r="K22" i="103" l="1"/>
  <c r="M22" i="103" s="1"/>
  <c r="AF34" i="105"/>
  <c r="P35" i="105"/>
  <c r="M21" i="105"/>
  <c r="K23" i="104"/>
  <c r="M23" i="104" s="1"/>
  <c r="O65" i="105"/>
  <c r="AE64" i="105"/>
  <c r="Z64" i="105"/>
  <c r="AA63" i="105"/>
  <c r="AB63" i="105" s="1"/>
  <c r="V63" i="105" s="1"/>
  <c r="AE32" i="104"/>
  <c r="AD33" i="104"/>
  <c r="AE36" i="103"/>
  <c r="AD37" i="103"/>
  <c r="O39" i="95"/>
  <c r="AE38" i="95"/>
  <c r="Z38" i="95"/>
  <c r="AA38" i="95" s="1"/>
  <c r="AB38" i="95" s="1"/>
  <c r="V38" i="95" s="1"/>
  <c r="P35" i="95"/>
  <c r="AF34" i="95"/>
  <c r="J21" i="96"/>
  <c r="L21" i="96"/>
  <c r="R21" i="96" s="1"/>
  <c r="K108" i="96"/>
  <c r="M108" i="96" s="1"/>
  <c r="J109" i="96" s="1"/>
  <c r="AE32" i="96"/>
  <c r="AD33" i="96"/>
  <c r="K20" i="95"/>
  <c r="M20" i="95" s="1"/>
  <c r="AD31" i="76"/>
  <c r="AE30" i="76"/>
  <c r="K21" i="76"/>
  <c r="M21" i="76" s="1"/>
  <c r="AA38" i="76"/>
  <c r="AB38" i="76" s="1"/>
  <c r="V38" i="76" s="1"/>
  <c r="O40" i="76"/>
  <c r="Z39" i="76"/>
  <c r="K104" i="76"/>
  <c r="M104" i="76" s="1"/>
  <c r="J105" i="76" s="1"/>
  <c r="J23" i="103" l="1"/>
  <c r="L23" i="103"/>
  <c r="R23" i="103" s="1"/>
  <c r="J22" i="105"/>
  <c r="L22" i="105"/>
  <c r="R22" i="105" s="1"/>
  <c r="P36" i="105"/>
  <c r="AF35" i="105"/>
  <c r="J24" i="104"/>
  <c r="K24" i="104" s="1"/>
  <c r="L24" i="104"/>
  <c r="R24" i="104" s="1"/>
  <c r="AA64" i="105"/>
  <c r="AB64" i="105" s="1"/>
  <c r="V64" i="105" s="1"/>
  <c r="O66" i="105"/>
  <c r="AE65" i="105"/>
  <c r="Z65" i="105"/>
  <c r="AD34" i="104"/>
  <c r="AE33" i="104"/>
  <c r="AE37" i="103"/>
  <c r="AD38" i="103"/>
  <c r="O40" i="95"/>
  <c r="AE39" i="95"/>
  <c r="Z39" i="95"/>
  <c r="AA39" i="95" s="1"/>
  <c r="AB39" i="95" s="1"/>
  <c r="V39" i="95" s="1"/>
  <c r="P36" i="95"/>
  <c r="AF35" i="95"/>
  <c r="K109" i="96"/>
  <c r="M109" i="96" s="1"/>
  <c r="J110" i="96" s="1"/>
  <c r="AE33" i="96"/>
  <c r="AD34" i="96"/>
  <c r="K21" i="96"/>
  <c r="M21" i="96" s="1"/>
  <c r="L21" i="95"/>
  <c r="R21" i="95" s="1"/>
  <c r="J21" i="95"/>
  <c r="AD32" i="76"/>
  <c r="AE31" i="76"/>
  <c r="L22" i="76"/>
  <c r="R22" i="76" s="1"/>
  <c r="J22" i="76"/>
  <c r="K105" i="76"/>
  <c r="M105" i="76" s="1"/>
  <c r="J106" i="76" s="1"/>
  <c r="AA39" i="76"/>
  <c r="AB39" i="76" s="1"/>
  <c r="V39" i="76" s="1"/>
  <c r="O41" i="76"/>
  <c r="Z40" i="76"/>
  <c r="K23" i="103" l="1"/>
  <c r="M23" i="103"/>
  <c r="AF36" i="105"/>
  <c r="P37" i="105"/>
  <c r="K22" i="105"/>
  <c r="M22" i="105" s="1"/>
  <c r="M24" i="104"/>
  <c r="L25" i="104"/>
  <c r="R25" i="104" s="1"/>
  <c r="J25" i="104"/>
  <c r="AE66" i="105"/>
  <c r="Z66" i="105"/>
  <c r="AA65" i="105"/>
  <c r="AB65" i="105" s="1"/>
  <c r="V65" i="105" s="1"/>
  <c r="AE34" i="104"/>
  <c r="AD35" i="104"/>
  <c r="AD39" i="103"/>
  <c r="AE38" i="103"/>
  <c r="O41" i="95"/>
  <c r="AE40" i="95"/>
  <c r="Z40" i="95"/>
  <c r="AA40" i="95" s="1"/>
  <c r="AB40" i="95" s="1"/>
  <c r="V40" i="95" s="1"/>
  <c r="P37" i="95"/>
  <c r="AF36" i="95"/>
  <c r="AD35" i="96"/>
  <c r="AE34" i="96"/>
  <c r="J22" i="96"/>
  <c r="L22" i="96"/>
  <c r="R22" i="96" s="1"/>
  <c r="K110" i="96"/>
  <c r="M110" i="96" s="1"/>
  <c r="J111" i="96" s="1"/>
  <c r="K21" i="95"/>
  <c r="M21" i="95" s="1"/>
  <c r="AE32" i="76"/>
  <c r="AD33" i="76"/>
  <c r="K22" i="76"/>
  <c r="M22" i="76" s="1"/>
  <c r="K106" i="76"/>
  <c r="M106" i="76" s="1"/>
  <c r="J107" i="76" s="1"/>
  <c r="AA40" i="76"/>
  <c r="AB40" i="76" s="1"/>
  <c r="V40" i="76" s="1"/>
  <c r="O42" i="76"/>
  <c r="Z41" i="76"/>
  <c r="J24" i="103" l="1"/>
  <c r="K24" i="103" s="1"/>
  <c r="M24" i="103" s="1"/>
  <c r="J25" i="103" s="1"/>
  <c r="L24" i="103"/>
  <c r="R24" i="103" s="1"/>
  <c r="J23" i="105"/>
  <c r="L23" i="105"/>
  <c r="R23" i="105" s="1"/>
  <c r="P38" i="105"/>
  <c r="AF37" i="105"/>
  <c r="K25" i="104"/>
  <c r="M25" i="104" s="1"/>
  <c r="AA66" i="105"/>
  <c r="AB66" i="105" s="1"/>
  <c r="V66" i="105" s="1"/>
  <c r="L25" i="103"/>
  <c r="R25" i="103" s="1"/>
  <c r="AE35" i="104"/>
  <c r="AD36" i="104"/>
  <c r="AD40" i="103"/>
  <c r="AE39" i="103"/>
  <c r="O42" i="95"/>
  <c r="AE41" i="95"/>
  <c r="Z41" i="95"/>
  <c r="AA41" i="95" s="1"/>
  <c r="AB41" i="95" s="1"/>
  <c r="V41" i="95" s="1"/>
  <c r="P38" i="95"/>
  <c r="AF37" i="95"/>
  <c r="K22" i="96"/>
  <c r="M22" i="96" s="1"/>
  <c r="K111" i="96"/>
  <c r="M111" i="96" s="1"/>
  <c r="J112" i="96" s="1"/>
  <c r="AD36" i="96"/>
  <c r="AE35" i="96"/>
  <c r="L22" i="95"/>
  <c r="R22" i="95" s="1"/>
  <c r="J22" i="95"/>
  <c r="AD34" i="76"/>
  <c r="AE33" i="76"/>
  <c r="L23" i="76"/>
  <c r="R23" i="76" s="1"/>
  <c r="J23" i="76"/>
  <c r="AA41" i="76"/>
  <c r="AB41" i="76" s="1"/>
  <c r="V41" i="76" s="1"/>
  <c r="K107" i="76"/>
  <c r="M107" i="76" s="1"/>
  <c r="J108" i="76" s="1"/>
  <c r="O43" i="76"/>
  <c r="Z42" i="76"/>
  <c r="P39" i="105" l="1"/>
  <c r="AF38" i="105"/>
  <c r="K23" i="105"/>
  <c r="M23" i="105" s="1"/>
  <c r="J26" i="104"/>
  <c r="K26" i="104" s="1"/>
  <c r="L26" i="104"/>
  <c r="R26" i="104" s="1"/>
  <c r="K25" i="103"/>
  <c r="M25" i="103" s="1"/>
  <c r="AD37" i="104"/>
  <c r="AE36" i="104"/>
  <c r="AE40" i="103"/>
  <c r="AD41" i="103"/>
  <c r="O43" i="95"/>
  <c r="AE42" i="95"/>
  <c r="Z42" i="95"/>
  <c r="AA42" i="95" s="1"/>
  <c r="AB42" i="95" s="1"/>
  <c r="V42" i="95" s="1"/>
  <c r="P39" i="95"/>
  <c r="AF38" i="95"/>
  <c r="K112" i="96"/>
  <c r="M112" i="96" s="1"/>
  <c r="J113" i="96" s="1"/>
  <c r="AE36" i="96"/>
  <c r="AD37" i="96"/>
  <c r="L23" i="96"/>
  <c r="R23" i="96" s="1"/>
  <c r="J23" i="96"/>
  <c r="K22" i="95"/>
  <c r="M22" i="95" s="1"/>
  <c r="AD35" i="76"/>
  <c r="AE34" i="76"/>
  <c r="K23" i="76"/>
  <c r="M23" i="76" s="1"/>
  <c r="O44" i="76"/>
  <c r="Z43" i="76"/>
  <c r="K108" i="76"/>
  <c r="M108" i="76" s="1"/>
  <c r="J109" i="76" s="1"/>
  <c r="AA42" i="76"/>
  <c r="AB42" i="76" s="1"/>
  <c r="V42" i="76" s="1"/>
  <c r="L24" i="105" l="1"/>
  <c r="R24" i="105" s="1"/>
  <c r="J24" i="105"/>
  <c r="P40" i="105"/>
  <c r="AF39" i="105"/>
  <c r="M26" i="104"/>
  <c r="J26" i="103"/>
  <c r="L26" i="103"/>
  <c r="R26" i="103" s="1"/>
  <c r="AD38" i="104"/>
  <c r="AE37" i="104"/>
  <c r="AD42" i="103"/>
  <c r="AE41" i="103"/>
  <c r="O44" i="95"/>
  <c r="AE43" i="95"/>
  <c r="Z43" i="95"/>
  <c r="AA43" i="95" s="1"/>
  <c r="AB43" i="95" s="1"/>
  <c r="V43" i="95" s="1"/>
  <c r="P40" i="95"/>
  <c r="AF39" i="95"/>
  <c r="K113" i="96"/>
  <c r="M113" i="96" s="1"/>
  <c r="J114" i="96" s="1"/>
  <c r="AE37" i="96"/>
  <c r="AD38" i="96"/>
  <c r="K23" i="96"/>
  <c r="M23" i="96" s="1"/>
  <c r="J23" i="95"/>
  <c r="L23" i="95"/>
  <c r="R23" i="95" s="1"/>
  <c r="AE35" i="76"/>
  <c r="AD36" i="76"/>
  <c r="L24" i="76"/>
  <c r="R24" i="76" s="1"/>
  <c r="J24" i="76"/>
  <c r="K109" i="76"/>
  <c r="M109" i="76" s="1"/>
  <c r="J110" i="76" s="1"/>
  <c r="AA43" i="76"/>
  <c r="AB43" i="76" s="1"/>
  <c r="V43" i="76" s="1"/>
  <c r="O45" i="76"/>
  <c r="Z44" i="76"/>
  <c r="P41" i="105" l="1"/>
  <c r="AF40" i="105"/>
  <c r="K24" i="105"/>
  <c r="M24" i="105" s="1"/>
  <c r="J27" i="104"/>
  <c r="L27" i="104"/>
  <c r="R27" i="104" s="1"/>
  <c r="K26" i="103"/>
  <c r="M26" i="103" s="1"/>
  <c r="AE38" i="104"/>
  <c r="AD39" i="104"/>
  <c r="AE42" i="103"/>
  <c r="AD43" i="103"/>
  <c r="O45" i="95"/>
  <c r="AE44" i="95"/>
  <c r="Z44" i="95"/>
  <c r="AA44" i="95" s="1"/>
  <c r="AB44" i="95" s="1"/>
  <c r="V44" i="95" s="1"/>
  <c r="P41" i="95"/>
  <c r="AF40" i="95"/>
  <c r="L24" i="96"/>
  <c r="R24" i="96" s="1"/>
  <c r="J24" i="96"/>
  <c r="K114" i="96"/>
  <c r="M114" i="96" s="1"/>
  <c r="J115" i="96" s="1"/>
  <c r="AD39" i="96"/>
  <c r="AE38" i="96"/>
  <c r="K23" i="95"/>
  <c r="M23" i="95" s="1"/>
  <c r="AD37" i="76"/>
  <c r="AE36" i="76"/>
  <c r="K24" i="76"/>
  <c r="M24" i="76" s="1"/>
  <c r="K110" i="76"/>
  <c r="M110" i="76" s="1"/>
  <c r="J111" i="76" s="1"/>
  <c r="AA44" i="76"/>
  <c r="AB44" i="76" s="1"/>
  <c r="V44" i="76" s="1"/>
  <c r="O46" i="76"/>
  <c r="Z45" i="76"/>
  <c r="J25" i="105" l="1"/>
  <c r="L25" i="105"/>
  <c r="R25" i="105" s="1"/>
  <c r="AF41" i="105"/>
  <c r="P42" i="105"/>
  <c r="K27" i="104"/>
  <c r="M27" i="104" s="1"/>
  <c r="J27" i="103"/>
  <c r="L27" i="103"/>
  <c r="R27" i="103" s="1"/>
  <c r="AE39" i="104"/>
  <c r="AD40" i="104"/>
  <c r="AE43" i="103"/>
  <c r="AD44" i="103"/>
  <c r="O46" i="95"/>
  <c r="AE45" i="95"/>
  <c r="Z45" i="95"/>
  <c r="AA45" i="95" s="1"/>
  <c r="AB45" i="95" s="1"/>
  <c r="V45" i="95" s="1"/>
  <c r="P42" i="95"/>
  <c r="AF41" i="95"/>
  <c r="K115" i="96"/>
  <c r="M115" i="96" s="1"/>
  <c r="J116" i="96" s="1"/>
  <c r="K24" i="96"/>
  <c r="M24" i="96" s="1"/>
  <c r="AD40" i="96"/>
  <c r="AE39" i="96"/>
  <c r="J24" i="95"/>
  <c r="L24" i="95"/>
  <c r="R24" i="95" s="1"/>
  <c r="AD38" i="76"/>
  <c r="AE37" i="76"/>
  <c r="L25" i="76"/>
  <c r="R25" i="76" s="1"/>
  <c r="J25" i="76"/>
  <c r="K111" i="76"/>
  <c r="M111" i="76" s="1"/>
  <c r="J112" i="76" s="1"/>
  <c r="AA45" i="76"/>
  <c r="AB45" i="76" s="1"/>
  <c r="V45" i="76" s="1"/>
  <c r="O47" i="76"/>
  <c r="Z46" i="76"/>
  <c r="AF42" i="105" l="1"/>
  <c r="P43" i="105"/>
  <c r="K25" i="105"/>
  <c r="M25" i="105" s="1"/>
  <c r="J28" i="104"/>
  <c r="L28" i="104"/>
  <c r="R28" i="104" s="1"/>
  <c r="K27" i="103"/>
  <c r="M27" i="103"/>
  <c r="AE40" i="104"/>
  <c r="AD41" i="104"/>
  <c r="AE44" i="103"/>
  <c r="AD45" i="103"/>
  <c r="O47" i="95"/>
  <c r="AE46" i="95"/>
  <c r="Z46" i="95"/>
  <c r="AA46" i="95" s="1"/>
  <c r="AB46" i="95" s="1"/>
  <c r="V46" i="95" s="1"/>
  <c r="P43" i="95"/>
  <c r="AF42" i="95"/>
  <c r="J25" i="96"/>
  <c r="L25" i="96"/>
  <c r="R25" i="96" s="1"/>
  <c r="AE40" i="96"/>
  <c r="AD41" i="96"/>
  <c r="K116" i="96"/>
  <c r="M116" i="96" s="1"/>
  <c r="J117" i="96" s="1"/>
  <c r="K24" i="95"/>
  <c r="M24" i="95" s="1"/>
  <c r="AE38" i="76"/>
  <c r="AD39" i="76"/>
  <c r="K25" i="76"/>
  <c r="M25" i="76" s="1"/>
  <c r="K112" i="76"/>
  <c r="M112" i="76" s="1"/>
  <c r="J113" i="76" s="1"/>
  <c r="AA46" i="76"/>
  <c r="AB46" i="76" s="1"/>
  <c r="V46" i="76" s="1"/>
  <c r="O48" i="76"/>
  <c r="Z47" i="76"/>
  <c r="L26" i="105" l="1"/>
  <c r="R26" i="105" s="1"/>
  <c r="J26" i="105"/>
  <c r="AF43" i="105"/>
  <c r="P44" i="105"/>
  <c r="K28" i="104"/>
  <c r="M28" i="104" s="1"/>
  <c r="L28" i="103"/>
  <c r="R28" i="103" s="1"/>
  <c r="J28" i="103"/>
  <c r="K28" i="103" s="1"/>
  <c r="AD42" i="104"/>
  <c r="AE41" i="104"/>
  <c r="AE45" i="103"/>
  <c r="AD46" i="103"/>
  <c r="O48" i="95"/>
  <c r="AE47" i="95"/>
  <c r="Z47" i="95"/>
  <c r="AA47" i="95" s="1"/>
  <c r="AB47" i="95" s="1"/>
  <c r="V47" i="95" s="1"/>
  <c r="P44" i="95"/>
  <c r="AF43" i="95"/>
  <c r="AD42" i="96"/>
  <c r="AE41" i="96"/>
  <c r="K117" i="96"/>
  <c r="M117" i="96" s="1"/>
  <c r="J118" i="96" s="1"/>
  <c r="K25" i="96"/>
  <c r="M25" i="96" s="1"/>
  <c r="L25" i="95"/>
  <c r="R25" i="95" s="1"/>
  <c r="J25" i="95"/>
  <c r="AD40" i="76"/>
  <c r="AE39" i="76"/>
  <c r="L26" i="76"/>
  <c r="R26" i="76" s="1"/>
  <c r="J26" i="76"/>
  <c r="K113" i="76"/>
  <c r="M113" i="76" s="1"/>
  <c r="J114" i="76" s="1"/>
  <c r="AA47" i="76"/>
  <c r="AB47" i="76" s="1"/>
  <c r="V47" i="76" s="1"/>
  <c r="O49" i="76"/>
  <c r="Z48" i="76"/>
  <c r="P45" i="105" l="1"/>
  <c r="AF44" i="105"/>
  <c r="K26" i="105"/>
  <c r="M26" i="105" s="1"/>
  <c r="M28" i="103"/>
  <c r="J29" i="103" s="1"/>
  <c r="K29" i="103" s="1"/>
  <c r="J29" i="104"/>
  <c r="L29" i="104"/>
  <c r="R29" i="104" s="1"/>
  <c r="AE42" i="104"/>
  <c r="AD43" i="104"/>
  <c r="AD47" i="103"/>
  <c r="AE46" i="103"/>
  <c r="O49" i="95"/>
  <c r="AE48" i="95"/>
  <c r="Z48" i="95"/>
  <c r="AA48" i="95" s="1"/>
  <c r="AB48" i="95" s="1"/>
  <c r="V48" i="95" s="1"/>
  <c r="P45" i="95"/>
  <c r="AF44" i="95"/>
  <c r="J26" i="96"/>
  <c r="L26" i="96"/>
  <c r="R26" i="96" s="1"/>
  <c r="K118" i="96"/>
  <c r="M118" i="96" s="1"/>
  <c r="J119" i="96" s="1"/>
  <c r="AD43" i="96"/>
  <c r="AE42" i="96"/>
  <c r="K25" i="95"/>
  <c r="M25" i="95" s="1"/>
  <c r="AE40" i="76"/>
  <c r="AD41" i="76"/>
  <c r="K26" i="76"/>
  <c r="M26" i="76" s="1"/>
  <c r="K114" i="76"/>
  <c r="M114" i="76" s="1"/>
  <c r="J115" i="76" s="1"/>
  <c r="AA48" i="76"/>
  <c r="AB48" i="76" s="1"/>
  <c r="V48" i="76" s="1"/>
  <c r="O50" i="76"/>
  <c r="Z49" i="76"/>
  <c r="J27" i="105" l="1"/>
  <c r="K27" i="105" s="1"/>
  <c r="L27" i="105"/>
  <c r="R27" i="105" s="1"/>
  <c r="L29" i="103"/>
  <c r="R29" i="103" s="1"/>
  <c r="AF45" i="105"/>
  <c r="P46" i="105"/>
  <c r="K29" i="104"/>
  <c r="M29" i="104" s="1"/>
  <c r="M29" i="103"/>
  <c r="L30" i="103" s="1"/>
  <c r="R30" i="103" s="1"/>
  <c r="AD44" i="104"/>
  <c r="AE43" i="104"/>
  <c r="AD48" i="103"/>
  <c r="AE47" i="103"/>
  <c r="O50" i="95"/>
  <c r="AE49" i="95"/>
  <c r="Z49" i="95"/>
  <c r="AA49" i="95" s="1"/>
  <c r="AB49" i="95" s="1"/>
  <c r="V49" i="95" s="1"/>
  <c r="P46" i="95"/>
  <c r="AF45" i="95"/>
  <c r="K119" i="96"/>
  <c r="M119" i="96" s="1"/>
  <c r="J120" i="96" s="1"/>
  <c r="AD44" i="96"/>
  <c r="AE43" i="96"/>
  <c r="K26" i="96"/>
  <c r="M26" i="96" s="1"/>
  <c r="L26" i="95"/>
  <c r="R26" i="95" s="1"/>
  <c r="J26" i="95"/>
  <c r="AE41" i="76"/>
  <c r="AD42" i="76"/>
  <c r="L27" i="76"/>
  <c r="R27" i="76" s="1"/>
  <c r="J27" i="76"/>
  <c r="K115" i="76"/>
  <c r="M115" i="76" s="1"/>
  <c r="J116" i="76" s="1"/>
  <c r="AA49" i="76"/>
  <c r="AB49" i="76" s="1"/>
  <c r="V49" i="76" s="1"/>
  <c r="O51" i="76"/>
  <c r="Z50" i="76"/>
  <c r="J30" i="103" l="1"/>
  <c r="K30" i="103" s="1"/>
  <c r="M30" i="103" s="1"/>
  <c r="AF46" i="105"/>
  <c r="P47" i="105"/>
  <c r="M27" i="105"/>
  <c r="J30" i="104"/>
  <c r="K30" i="104" s="1"/>
  <c r="L30" i="104"/>
  <c r="R30" i="104" s="1"/>
  <c r="AE44" i="104"/>
  <c r="AD45" i="104"/>
  <c r="AE48" i="103"/>
  <c r="AD49" i="103"/>
  <c r="O51" i="95"/>
  <c r="AE50" i="95"/>
  <c r="Z50" i="95"/>
  <c r="AA50" i="95" s="1"/>
  <c r="AB50" i="95" s="1"/>
  <c r="V50" i="95" s="1"/>
  <c r="P47" i="95"/>
  <c r="AF46" i="95"/>
  <c r="L27" i="96"/>
  <c r="R27" i="96" s="1"/>
  <c r="J27" i="96"/>
  <c r="AD45" i="96"/>
  <c r="AE44" i="96"/>
  <c r="K120" i="96"/>
  <c r="M120" i="96" s="1"/>
  <c r="J121" i="96" s="1"/>
  <c r="K26" i="95"/>
  <c r="M26" i="95" s="1"/>
  <c r="AE42" i="76"/>
  <c r="AD43" i="76"/>
  <c r="K27" i="76"/>
  <c r="M27" i="76" s="1"/>
  <c r="K116" i="76"/>
  <c r="M116" i="76" s="1"/>
  <c r="J117" i="76" s="1"/>
  <c r="AA50" i="76"/>
  <c r="AB50" i="76" s="1"/>
  <c r="V50" i="76" s="1"/>
  <c r="O52" i="76"/>
  <c r="Z51" i="76"/>
  <c r="P48" i="105" l="1"/>
  <c r="AF47" i="105"/>
  <c r="L28" i="105"/>
  <c r="R28" i="105" s="1"/>
  <c r="J28" i="105"/>
  <c r="K28" i="105" s="1"/>
  <c r="M30" i="104"/>
  <c r="L31" i="103"/>
  <c r="R31" i="103" s="1"/>
  <c r="J31" i="103"/>
  <c r="K31" i="103" s="1"/>
  <c r="M31" i="103" s="1"/>
  <c r="AD46" i="104"/>
  <c r="AE45" i="104"/>
  <c r="AD50" i="103"/>
  <c r="AE49" i="103"/>
  <c r="O52" i="95"/>
  <c r="AE51" i="95"/>
  <c r="Z51" i="95"/>
  <c r="AA51" i="95" s="1"/>
  <c r="AB51" i="95" s="1"/>
  <c r="V51" i="95" s="1"/>
  <c r="P48" i="95"/>
  <c r="AF47" i="95"/>
  <c r="AE45" i="96"/>
  <c r="AD46" i="96"/>
  <c r="K121" i="96"/>
  <c r="M121" i="96" s="1"/>
  <c r="J122" i="96" s="1"/>
  <c r="K27" i="96"/>
  <c r="M27" i="96" s="1"/>
  <c r="J27" i="95"/>
  <c r="L27" i="95"/>
  <c r="R27" i="95" s="1"/>
  <c r="AE43" i="76"/>
  <c r="AD44" i="76"/>
  <c r="L28" i="76"/>
  <c r="R28" i="76" s="1"/>
  <c r="J28" i="76"/>
  <c r="AA51" i="76"/>
  <c r="AB51" i="76" s="1"/>
  <c r="V51" i="76" s="1"/>
  <c r="K117" i="76"/>
  <c r="M117" i="76" s="1"/>
  <c r="J118" i="76" s="1"/>
  <c r="O53" i="76"/>
  <c r="O54" i="76" s="1"/>
  <c r="Z52" i="76"/>
  <c r="M28" i="105" l="1"/>
  <c r="P49" i="105"/>
  <c r="AF48" i="105"/>
  <c r="L31" i="104"/>
  <c r="R31" i="104" s="1"/>
  <c r="J31" i="104"/>
  <c r="J32" i="103"/>
  <c r="L32" i="103"/>
  <c r="R32" i="103" s="1"/>
  <c r="AE46" i="104"/>
  <c r="AD47" i="104"/>
  <c r="AE50" i="103"/>
  <c r="AD51" i="103"/>
  <c r="O53" i="95"/>
  <c r="AE52" i="95"/>
  <c r="Z52" i="95"/>
  <c r="AA52" i="95" s="1"/>
  <c r="AB52" i="95" s="1"/>
  <c r="V52" i="95" s="1"/>
  <c r="P49" i="95"/>
  <c r="AF48" i="95"/>
  <c r="K122" i="96"/>
  <c r="M122" i="96" s="1"/>
  <c r="J123" i="96" s="1"/>
  <c r="J28" i="96"/>
  <c r="L28" i="96"/>
  <c r="R28" i="96" s="1"/>
  <c r="AE46" i="96"/>
  <c r="AD47" i="96"/>
  <c r="K27" i="95"/>
  <c r="M27" i="95" s="1"/>
  <c r="O55" i="76"/>
  <c r="Z54" i="76"/>
  <c r="AA54" i="76" s="1"/>
  <c r="AB54" i="76" s="1"/>
  <c r="V54" i="76" s="1"/>
  <c r="AD45" i="76"/>
  <c r="AE44" i="76"/>
  <c r="K28" i="76"/>
  <c r="M28" i="76" s="1"/>
  <c r="K118" i="76"/>
  <c r="M118" i="76" s="1"/>
  <c r="J119" i="76" s="1"/>
  <c r="Z53" i="76"/>
  <c r="AA52" i="76"/>
  <c r="AB52" i="76" s="1"/>
  <c r="V52" i="76" s="1"/>
  <c r="AF49" i="105" l="1"/>
  <c r="P50" i="105"/>
  <c r="L29" i="105"/>
  <c r="R29" i="105" s="1"/>
  <c r="J29" i="105"/>
  <c r="K29" i="105" s="1"/>
  <c r="K31" i="104"/>
  <c r="M31" i="104"/>
  <c r="K32" i="103"/>
  <c r="M32" i="103" s="1"/>
  <c r="AE47" i="104"/>
  <c r="AD48" i="104"/>
  <c r="AD52" i="103"/>
  <c r="AE51" i="103"/>
  <c r="O54" i="95"/>
  <c r="AE53" i="95"/>
  <c r="Z53" i="95"/>
  <c r="AA53" i="95" s="1"/>
  <c r="AB53" i="95" s="1"/>
  <c r="V53" i="95" s="1"/>
  <c r="P50" i="95"/>
  <c r="AF49" i="95"/>
  <c r="K123" i="96"/>
  <c r="M123" i="96" s="1"/>
  <c r="J124" i="96" s="1"/>
  <c r="K28" i="96"/>
  <c r="M28" i="96" s="1"/>
  <c r="AD48" i="96"/>
  <c r="AE47" i="96"/>
  <c r="L28" i="95"/>
  <c r="R28" i="95" s="1"/>
  <c r="J28" i="95"/>
  <c r="O56" i="76"/>
  <c r="Z55" i="76"/>
  <c r="AA55" i="76" s="1"/>
  <c r="AB55" i="76" s="1"/>
  <c r="V55" i="76" s="1"/>
  <c r="AD46" i="76"/>
  <c r="AE45" i="76"/>
  <c r="L29" i="76"/>
  <c r="R29" i="76" s="1"/>
  <c r="J29" i="76"/>
  <c r="K119" i="76"/>
  <c r="M119" i="76" s="1"/>
  <c r="J120" i="76" s="1"/>
  <c r="AA53" i="76"/>
  <c r="AB53" i="76" s="1"/>
  <c r="V53" i="76" s="1"/>
  <c r="V67" i="76" s="1"/>
  <c r="D30" i="76" s="1"/>
  <c r="M29" i="105" l="1"/>
  <c r="L30" i="105" s="1"/>
  <c r="R30" i="105" s="1"/>
  <c r="AF50" i="105"/>
  <c r="P51" i="105"/>
  <c r="L32" i="104"/>
  <c r="R32" i="104" s="1"/>
  <c r="J32" i="104"/>
  <c r="K32" i="104" s="1"/>
  <c r="M32" i="104" s="1"/>
  <c r="L33" i="103"/>
  <c r="R33" i="103" s="1"/>
  <c r="J33" i="103"/>
  <c r="K33" i="103" s="1"/>
  <c r="AD49" i="104"/>
  <c r="AE48" i="104"/>
  <c r="AE52" i="103"/>
  <c r="AD53" i="103"/>
  <c r="O55" i="95"/>
  <c r="AE54" i="95"/>
  <c r="Z54" i="95"/>
  <c r="AA54" i="95" s="1"/>
  <c r="AB54" i="95" s="1"/>
  <c r="V54" i="95" s="1"/>
  <c r="V67" i="95" s="1"/>
  <c r="D30" i="95" s="1"/>
  <c r="F30" i="95" s="1"/>
  <c r="G30" i="95" s="1"/>
  <c r="P51" i="95"/>
  <c r="AF50" i="95"/>
  <c r="J29" i="96"/>
  <c r="L29" i="96"/>
  <c r="R29" i="96" s="1"/>
  <c r="AD49" i="96"/>
  <c r="AE48" i="96"/>
  <c r="K124" i="96"/>
  <c r="M124" i="96" s="1"/>
  <c r="J125" i="96" s="1"/>
  <c r="K28" i="95"/>
  <c r="M28" i="95" s="1"/>
  <c r="O57" i="76"/>
  <c r="Z56" i="76"/>
  <c r="AA56" i="76" s="1"/>
  <c r="AB56" i="76" s="1"/>
  <c r="V56" i="76" s="1"/>
  <c r="AD47" i="76"/>
  <c r="AE46" i="76"/>
  <c r="K29" i="76"/>
  <c r="M29" i="76" s="1"/>
  <c r="K120" i="76"/>
  <c r="M120" i="76" s="1"/>
  <c r="J121" i="76" s="1"/>
  <c r="J30" i="105" l="1"/>
  <c r="K30" i="105" s="1"/>
  <c r="M33" i="103"/>
  <c r="J34" i="103" s="1"/>
  <c r="P52" i="105"/>
  <c r="AF51" i="105"/>
  <c r="J33" i="104"/>
  <c r="K33" i="104" s="1"/>
  <c r="L33" i="104"/>
  <c r="R33" i="104" s="1"/>
  <c r="AD50" i="104"/>
  <c r="AE49" i="104"/>
  <c r="AE53" i="103"/>
  <c r="AD54" i="103"/>
  <c r="O56" i="95"/>
  <c r="AE55" i="95"/>
  <c r="Z55" i="95"/>
  <c r="AA55" i="95" s="1"/>
  <c r="AB55" i="95" s="1"/>
  <c r="V55" i="95" s="1"/>
  <c r="P52" i="95"/>
  <c r="AF51" i="95"/>
  <c r="AE49" i="96"/>
  <c r="AD50" i="96"/>
  <c r="K125" i="96"/>
  <c r="M125" i="96" s="1"/>
  <c r="J126" i="96" s="1"/>
  <c r="K29" i="96"/>
  <c r="M29" i="96" s="1"/>
  <c r="L29" i="95"/>
  <c r="R29" i="95" s="1"/>
  <c r="J29" i="95"/>
  <c r="O58" i="76"/>
  <c r="Z57" i="76"/>
  <c r="AA57" i="76" s="1"/>
  <c r="AB57" i="76" s="1"/>
  <c r="V57" i="76" s="1"/>
  <c r="AD48" i="76"/>
  <c r="AE47" i="76"/>
  <c r="L30" i="76"/>
  <c r="R30" i="76" s="1"/>
  <c r="J30" i="76"/>
  <c r="K121" i="76"/>
  <c r="M121" i="76" s="1"/>
  <c r="J122" i="76" s="1"/>
  <c r="F30" i="76"/>
  <c r="G30" i="76" s="1"/>
  <c r="M30" i="105" l="1"/>
  <c r="L34" i="103"/>
  <c r="R34" i="103" s="1"/>
  <c r="L31" i="105"/>
  <c r="R31" i="105" s="1"/>
  <c r="J31" i="105"/>
  <c r="K31" i="105" s="1"/>
  <c r="P53" i="105"/>
  <c r="AF52" i="105"/>
  <c r="M33" i="104"/>
  <c r="J34" i="104" s="1"/>
  <c r="L34" i="104"/>
  <c r="R34" i="104" s="1"/>
  <c r="K34" i="103"/>
  <c r="AD51" i="104"/>
  <c r="AE50" i="104"/>
  <c r="AD55" i="103"/>
  <c r="AE54" i="103"/>
  <c r="O57" i="95"/>
  <c r="AE56" i="95"/>
  <c r="Z56" i="95"/>
  <c r="AA56" i="95" s="1"/>
  <c r="AB56" i="95" s="1"/>
  <c r="V56" i="95" s="1"/>
  <c r="P53" i="95"/>
  <c r="AF52" i="95"/>
  <c r="J30" i="96"/>
  <c r="L30" i="96"/>
  <c r="R30" i="96" s="1"/>
  <c r="K126" i="96"/>
  <c r="K127" i="96" s="1"/>
  <c r="D101" i="96" s="1"/>
  <c r="AE50" i="96"/>
  <c r="AD51" i="96"/>
  <c r="K29" i="95"/>
  <c r="M29" i="95" s="1"/>
  <c r="Z58" i="76"/>
  <c r="AA58" i="76" s="1"/>
  <c r="AB58" i="76" s="1"/>
  <c r="V58" i="76" s="1"/>
  <c r="O59" i="76"/>
  <c r="AE48" i="76"/>
  <c r="AD49" i="76"/>
  <c r="K30" i="76"/>
  <c r="M30" i="76" s="1"/>
  <c r="K122" i="76"/>
  <c r="M122" i="76" s="1"/>
  <c r="J123" i="76" s="1"/>
  <c r="M34" i="103" l="1"/>
  <c r="J35" i="103" s="1"/>
  <c r="K35" i="103" s="1"/>
  <c r="M31" i="105"/>
  <c r="L32" i="105" s="1"/>
  <c r="R32" i="105" s="1"/>
  <c r="P54" i="105"/>
  <c r="AF53" i="105"/>
  <c r="K34" i="104"/>
  <c r="M34" i="104" s="1"/>
  <c r="AE51" i="104"/>
  <c r="AD52" i="104"/>
  <c r="AE55" i="103"/>
  <c r="AD56" i="103"/>
  <c r="O58" i="95"/>
  <c r="AE57" i="95"/>
  <c r="Z57" i="95"/>
  <c r="AA57" i="95" s="1"/>
  <c r="AB57" i="95" s="1"/>
  <c r="V57" i="95" s="1"/>
  <c r="P54" i="95"/>
  <c r="AF53" i="95"/>
  <c r="F101" i="96"/>
  <c r="F106" i="96" s="1"/>
  <c r="F108" i="96" s="1"/>
  <c r="K30" i="96"/>
  <c r="M30" i="96" s="1"/>
  <c r="M126" i="96"/>
  <c r="AD52" i="96"/>
  <c r="AE51" i="96"/>
  <c r="L30" i="95"/>
  <c r="R30" i="95" s="1"/>
  <c r="J30" i="95"/>
  <c r="Z59" i="76"/>
  <c r="AA59" i="76" s="1"/>
  <c r="AB59" i="76" s="1"/>
  <c r="V59" i="76" s="1"/>
  <c r="O60" i="76"/>
  <c r="AD50" i="76"/>
  <c r="AE49" i="76"/>
  <c r="L31" i="76"/>
  <c r="R31" i="76" s="1"/>
  <c r="J31" i="76"/>
  <c r="K123" i="76"/>
  <c r="M123" i="76" s="1"/>
  <c r="J124" i="76" s="1"/>
  <c r="L35" i="103" l="1"/>
  <c r="R35" i="103" s="1"/>
  <c r="J32" i="105"/>
  <c r="K32" i="105" s="1"/>
  <c r="M32" i="105" s="1"/>
  <c r="P55" i="105"/>
  <c r="AF54" i="105"/>
  <c r="L35" i="104"/>
  <c r="R35" i="104" s="1"/>
  <c r="J35" i="104"/>
  <c r="AD53" i="104"/>
  <c r="AE52" i="104"/>
  <c r="AD57" i="103"/>
  <c r="AE56" i="103"/>
  <c r="O59" i="95"/>
  <c r="AE58" i="95"/>
  <c r="Z58" i="95"/>
  <c r="AA58" i="95" s="1"/>
  <c r="AB58" i="95" s="1"/>
  <c r="V58" i="95" s="1"/>
  <c r="P55" i="95"/>
  <c r="AF54" i="95"/>
  <c r="G101" i="96"/>
  <c r="G106" i="96" s="1"/>
  <c r="G108" i="96" s="1"/>
  <c r="G114" i="96" s="1"/>
  <c r="J31" i="96"/>
  <c r="L31" i="96"/>
  <c r="R31" i="96" s="1"/>
  <c r="AD53" i="96"/>
  <c r="AE52" i="96"/>
  <c r="F114" i="96"/>
  <c r="F107" i="96"/>
  <c r="K30" i="95"/>
  <c r="M30" i="95" s="1"/>
  <c r="O61" i="76"/>
  <c r="Z60" i="76"/>
  <c r="AA60" i="76" s="1"/>
  <c r="AB60" i="76" s="1"/>
  <c r="V60" i="76" s="1"/>
  <c r="AE50" i="76"/>
  <c r="AD51" i="76"/>
  <c r="K31" i="76"/>
  <c r="M31" i="76" s="1"/>
  <c r="K124" i="76"/>
  <c r="M124" i="76" s="1"/>
  <c r="J125" i="76" s="1"/>
  <c r="M35" i="103" l="1"/>
  <c r="P56" i="105"/>
  <c r="AF55" i="105"/>
  <c r="L33" i="105"/>
  <c r="R33" i="105" s="1"/>
  <c r="J33" i="105"/>
  <c r="K33" i="105" s="1"/>
  <c r="K35" i="104"/>
  <c r="M35" i="104"/>
  <c r="AE53" i="104"/>
  <c r="AD54" i="104"/>
  <c r="AD58" i="103"/>
  <c r="AE57" i="103"/>
  <c r="O60" i="95"/>
  <c r="AE59" i="95"/>
  <c r="Z59" i="95"/>
  <c r="AA59" i="95" s="1"/>
  <c r="AB59" i="95" s="1"/>
  <c r="V59" i="95" s="1"/>
  <c r="G107" i="96"/>
  <c r="G115" i="96"/>
  <c r="P56" i="95"/>
  <c r="AF55" i="95"/>
  <c r="AE53" i="96"/>
  <c r="AD54" i="96"/>
  <c r="K31" i="96"/>
  <c r="M31" i="96" s="1"/>
  <c r="L31" i="95"/>
  <c r="R31" i="95" s="1"/>
  <c r="J31" i="95"/>
  <c r="O62" i="76"/>
  <c r="Z61" i="76"/>
  <c r="AA61" i="76" s="1"/>
  <c r="AB61" i="76" s="1"/>
  <c r="V61" i="76" s="1"/>
  <c r="AD52" i="76"/>
  <c r="AE51" i="76"/>
  <c r="L32" i="76"/>
  <c r="R32" i="76" s="1"/>
  <c r="J32" i="76"/>
  <c r="K125" i="76"/>
  <c r="M125" i="76" s="1"/>
  <c r="J126" i="76" s="1"/>
  <c r="J36" i="103" l="1"/>
  <c r="K36" i="103" s="1"/>
  <c r="L36" i="103"/>
  <c r="R36" i="103" s="1"/>
  <c r="M33" i="105"/>
  <c r="J34" i="105" s="1"/>
  <c r="K34" i="105" s="1"/>
  <c r="AF56" i="105"/>
  <c r="P57" i="105"/>
  <c r="J36" i="104"/>
  <c r="L36" i="104"/>
  <c r="R36" i="104" s="1"/>
  <c r="AD55" i="104"/>
  <c r="AE54" i="104"/>
  <c r="AD59" i="103"/>
  <c r="AE58" i="103"/>
  <c r="O61" i="95"/>
  <c r="AE60" i="95"/>
  <c r="Z60" i="95"/>
  <c r="AA60" i="95" s="1"/>
  <c r="AB60" i="95" s="1"/>
  <c r="V60" i="95" s="1"/>
  <c r="P57" i="95"/>
  <c r="AF56" i="95"/>
  <c r="J32" i="96"/>
  <c r="L32" i="96"/>
  <c r="R32" i="96" s="1"/>
  <c r="AE54" i="96"/>
  <c r="AD55" i="96"/>
  <c r="K31" i="95"/>
  <c r="M31" i="95" s="1"/>
  <c r="O63" i="76"/>
  <c r="Z62" i="76"/>
  <c r="AA62" i="76" s="1"/>
  <c r="AB62" i="76" s="1"/>
  <c r="V62" i="76" s="1"/>
  <c r="AD53" i="76"/>
  <c r="AE52" i="76"/>
  <c r="K32" i="76"/>
  <c r="M32" i="76" s="1"/>
  <c r="K126" i="76"/>
  <c r="K127" i="76" s="1"/>
  <c r="D101" i="76" s="1"/>
  <c r="M36" i="103" l="1"/>
  <c r="L34" i="105"/>
  <c r="R34" i="105" s="1"/>
  <c r="AF57" i="105"/>
  <c r="P58" i="105"/>
  <c r="K36" i="104"/>
  <c r="M36" i="104"/>
  <c r="AE55" i="104"/>
  <c r="AD56" i="104"/>
  <c r="AD60" i="103"/>
  <c r="AE59" i="103"/>
  <c r="O62" i="95"/>
  <c r="AE61" i="95"/>
  <c r="Z61" i="95"/>
  <c r="AA61" i="95" s="1"/>
  <c r="AB61" i="95" s="1"/>
  <c r="V61" i="95" s="1"/>
  <c r="P58" i="95"/>
  <c r="AF57" i="95"/>
  <c r="AE55" i="96"/>
  <c r="AD56" i="96"/>
  <c r="K32" i="96"/>
  <c r="M32" i="96" s="1"/>
  <c r="L32" i="95"/>
  <c r="R32" i="95" s="1"/>
  <c r="J32" i="95"/>
  <c r="O64" i="76"/>
  <c r="Z63" i="76"/>
  <c r="AA63" i="76" s="1"/>
  <c r="AB63" i="76" s="1"/>
  <c r="V63" i="76" s="1"/>
  <c r="AD54" i="76"/>
  <c r="AE53" i="76"/>
  <c r="L33" i="76"/>
  <c r="R33" i="76" s="1"/>
  <c r="J33" i="76"/>
  <c r="F101" i="76"/>
  <c r="F106" i="76" s="1"/>
  <c r="F108" i="76" s="1"/>
  <c r="M126" i="76"/>
  <c r="L37" i="103" l="1"/>
  <c r="R37" i="103" s="1"/>
  <c r="J37" i="103"/>
  <c r="M34" i="105"/>
  <c r="L35" i="105" s="1"/>
  <c r="R35" i="105" s="1"/>
  <c r="P59" i="105"/>
  <c r="AF58" i="105"/>
  <c r="L37" i="104"/>
  <c r="R37" i="104" s="1"/>
  <c r="J37" i="104"/>
  <c r="K37" i="104" s="1"/>
  <c r="M37" i="104" s="1"/>
  <c r="AE56" i="104"/>
  <c r="AD57" i="104"/>
  <c r="AE60" i="103"/>
  <c r="AD61" i="103"/>
  <c r="O63" i="95"/>
  <c r="AE62" i="95"/>
  <c r="Z62" i="95"/>
  <c r="AA62" i="95" s="1"/>
  <c r="AB62" i="95" s="1"/>
  <c r="V62" i="95" s="1"/>
  <c r="P59" i="95"/>
  <c r="AF58" i="95"/>
  <c r="J33" i="96"/>
  <c r="L33" i="96"/>
  <c r="R33" i="96" s="1"/>
  <c r="AE56" i="96"/>
  <c r="AD57" i="96"/>
  <c r="K32" i="95"/>
  <c r="M32" i="95" s="1"/>
  <c r="Z64" i="76"/>
  <c r="AA64" i="76" s="1"/>
  <c r="AB64" i="76" s="1"/>
  <c r="V64" i="76" s="1"/>
  <c r="O65" i="76"/>
  <c r="AE54" i="76"/>
  <c r="AD55" i="76"/>
  <c r="K33" i="76"/>
  <c r="M33" i="76" s="1"/>
  <c r="G101" i="76"/>
  <c r="G106" i="76" s="1"/>
  <c r="G108" i="76" s="1"/>
  <c r="F114" i="76"/>
  <c r="F107" i="76"/>
  <c r="K37" i="103" l="1"/>
  <c r="M37" i="103"/>
  <c r="J35" i="105"/>
  <c r="K35" i="105" s="1"/>
  <c r="P60" i="105"/>
  <c r="AF59" i="105"/>
  <c r="M35" i="105"/>
  <c r="L38" i="104"/>
  <c r="R38" i="104" s="1"/>
  <c r="J38" i="104"/>
  <c r="K38" i="104" s="1"/>
  <c r="M38" i="104" s="1"/>
  <c r="AE57" i="104"/>
  <c r="AD58" i="104"/>
  <c r="AD62" i="103"/>
  <c r="AD63" i="103"/>
  <c r="AE63" i="103" s="1"/>
  <c r="AD64" i="103"/>
  <c r="AE64" i="103" s="1"/>
  <c r="AE61" i="103"/>
  <c r="O64" i="95"/>
  <c r="AE63" i="95"/>
  <c r="Z63" i="95"/>
  <c r="AA63" i="95" s="1"/>
  <c r="AB63" i="95" s="1"/>
  <c r="V63" i="95" s="1"/>
  <c r="P60" i="95"/>
  <c r="AF59" i="95"/>
  <c r="AE57" i="96"/>
  <c r="AD58" i="96"/>
  <c r="K33" i="96"/>
  <c r="M33" i="96" s="1"/>
  <c r="L33" i="95"/>
  <c r="R33" i="95" s="1"/>
  <c r="J33" i="95"/>
  <c r="O66" i="76"/>
  <c r="Z66" i="76" s="1"/>
  <c r="AA66" i="76" s="1"/>
  <c r="AB66" i="76" s="1"/>
  <c r="V66" i="76" s="1"/>
  <c r="Z65" i="76"/>
  <c r="AA65" i="76" s="1"/>
  <c r="AB65" i="76" s="1"/>
  <c r="V65" i="76" s="1"/>
  <c r="AD56" i="76"/>
  <c r="AE55" i="76"/>
  <c r="L34" i="76"/>
  <c r="R34" i="76" s="1"/>
  <c r="J34" i="76"/>
  <c r="G114" i="76"/>
  <c r="G115" i="76"/>
  <c r="G107" i="76"/>
  <c r="J38" i="103" l="1"/>
  <c r="K38" i="103" s="1"/>
  <c r="L38" i="103"/>
  <c r="R38" i="103" s="1"/>
  <c r="J36" i="105"/>
  <c r="K36" i="105" s="1"/>
  <c r="L36" i="105"/>
  <c r="R36" i="105" s="1"/>
  <c r="AF60" i="105"/>
  <c r="P61" i="105"/>
  <c r="J39" i="104"/>
  <c r="L39" i="104"/>
  <c r="R39" i="104" s="1"/>
  <c r="AD59" i="104"/>
  <c r="AE58" i="104"/>
  <c r="AD66" i="103"/>
  <c r="AE66" i="103" s="1"/>
  <c r="AD65" i="103"/>
  <c r="AE65" i="103" s="1"/>
  <c r="AE62" i="103"/>
  <c r="O65" i="95"/>
  <c r="AE64" i="95"/>
  <c r="Z64" i="95"/>
  <c r="AA64" i="95" s="1"/>
  <c r="AB64" i="95" s="1"/>
  <c r="V64" i="95" s="1"/>
  <c r="P61" i="95"/>
  <c r="AF60" i="95"/>
  <c r="L34" i="96"/>
  <c r="R34" i="96" s="1"/>
  <c r="J34" i="96"/>
  <c r="AE58" i="96"/>
  <c r="AD59" i="96"/>
  <c r="K33" i="95"/>
  <c r="M33" i="95" s="1"/>
  <c r="AD57" i="76"/>
  <c r="AE56" i="76"/>
  <c r="K34" i="76"/>
  <c r="M34" i="76" s="1"/>
  <c r="M38" i="103" l="1"/>
  <c r="M36" i="105"/>
  <c r="J37" i="105" s="1"/>
  <c r="P62" i="105"/>
  <c r="AF61" i="105"/>
  <c r="K39" i="104"/>
  <c r="M39" i="104"/>
  <c r="AE59" i="104"/>
  <c r="AD60" i="104"/>
  <c r="O66" i="95"/>
  <c r="AE65" i="95"/>
  <c r="Z65" i="95"/>
  <c r="AA65" i="95" s="1"/>
  <c r="AB65" i="95" s="1"/>
  <c r="V65" i="95" s="1"/>
  <c r="P62" i="95"/>
  <c r="AF61" i="95"/>
  <c r="AD60" i="96"/>
  <c r="AE59" i="96"/>
  <c r="K34" i="96"/>
  <c r="M34" i="96" s="1"/>
  <c r="J34" i="95"/>
  <c r="L34" i="95"/>
  <c r="R34" i="95" s="1"/>
  <c r="AE57" i="76"/>
  <c r="AD58" i="76"/>
  <c r="L35" i="76"/>
  <c r="R35" i="76" s="1"/>
  <c r="J35" i="76"/>
  <c r="J39" i="103" l="1"/>
  <c r="K39" i="103" s="1"/>
  <c r="L39" i="103"/>
  <c r="R39" i="103" s="1"/>
  <c r="L37" i="105"/>
  <c r="R37" i="105" s="1"/>
  <c r="K37" i="105"/>
  <c r="M37" i="105" s="1"/>
  <c r="P63" i="105"/>
  <c r="AF62" i="105"/>
  <c r="J40" i="104"/>
  <c r="L40" i="104"/>
  <c r="R40" i="104" s="1"/>
  <c r="AD61" i="104"/>
  <c r="AE60" i="104"/>
  <c r="AE66" i="95"/>
  <c r="Z66" i="95"/>
  <c r="AA66" i="95" s="1"/>
  <c r="AB66" i="95" s="1"/>
  <c r="V66" i="95" s="1"/>
  <c r="P63" i="95"/>
  <c r="AF62" i="95"/>
  <c r="J35" i="96"/>
  <c r="L35" i="96"/>
  <c r="R35" i="96" s="1"/>
  <c r="AD61" i="96"/>
  <c r="AE60" i="96"/>
  <c r="K34" i="95"/>
  <c r="M34" i="95" s="1"/>
  <c r="AE58" i="76"/>
  <c r="AD59" i="76"/>
  <c r="K35" i="76"/>
  <c r="M35" i="76" s="1"/>
  <c r="M39" i="103" l="1"/>
  <c r="P64" i="105"/>
  <c r="AF63" i="105"/>
  <c r="J38" i="105"/>
  <c r="K38" i="105" s="1"/>
  <c r="L38" i="105"/>
  <c r="R38" i="105" s="1"/>
  <c r="K40" i="104"/>
  <c r="M40" i="104" s="1"/>
  <c r="AE61" i="104"/>
  <c r="AD63" i="104"/>
  <c r="AE63" i="104" s="1"/>
  <c r="AD62" i="104"/>
  <c r="AD64" i="104"/>
  <c r="AE64" i="104" s="1"/>
  <c r="P64" i="95"/>
  <c r="AF63" i="95"/>
  <c r="AD62" i="96"/>
  <c r="AD64" i="96"/>
  <c r="AE64" i="96" s="1"/>
  <c r="AE61" i="96"/>
  <c r="AD63" i="96"/>
  <c r="AE63" i="96" s="1"/>
  <c r="K35" i="96"/>
  <c r="M35" i="96" s="1"/>
  <c r="L35" i="95"/>
  <c r="R35" i="95" s="1"/>
  <c r="J35" i="95"/>
  <c r="AE59" i="76"/>
  <c r="AD60" i="76"/>
  <c r="L36" i="76"/>
  <c r="R36" i="76" s="1"/>
  <c r="J36" i="76"/>
  <c r="L40" i="103" l="1"/>
  <c r="R40" i="103" s="1"/>
  <c r="J40" i="103"/>
  <c r="M38" i="105"/>
  <c r="P65" i="105"/>
  <c r="AF64" i="105"/>
  <c r="J41" i="104"/>
  <c r="K41" i="104" s="1"/>
  <c r="L41" i="104"/>
  <c r="R41" i="104" s="1"/>
  <c r="AD65" i="104"/>
  <c r="AE65" i="104" s="1"/>
  <c r="AE62" i="104"/>
  <c r="AD66" i="104"/>
  <c r="AE66" i="104" s="1"/>
  <c r="P65" i="95"/>
  <c r="AF64" i="95"/>
  <c r="L36" i="96"/>
  <c r="R36" i="96" s="1"/>
  <c r="J36" i="96"/>
  <c r="AD66" i="96"/>
  <c r="AE66" i="96" s="1"/>
  <c r="AD65" i="96"/>
  <c r="AE65" i="96" s="1"/>
  <c r="AE62" i="96"/>
  <c r="K35" i="95"/>
  <c r="M35" i="95" s="1"/>
  <c r="AE60" i="76"/>
  <c r="AD61" i="76"/>
  <c r="K36" i="76"/>
  <c r="M36" i="76" s="1"/>
  <c r="K40" i="103" l="1"/>
  <c r="M40" i="103"/>
  <c r="P66" i="105"/>
  <c r="AF66" i="105" s="1"/>
  <c r="AF65" i="105"/>
  <c r="J39" i="105"/>
  <c r="K39" i="105" s="1"/>
  <c r="L39" i="105"/>
  <c r="R39" i="105" s="1"/>
  <c r="M41" i="104"/>
  <c r="P66" i="95"/>
  <c r="AF66" i="95" s="1"/>
  <c r="AF65" i="95"/>
  <c r="K36" i="96"/>
  <c r="M36" i="96" s="1"/>
  <c r="J36" i="95"/>
  <c r="L36" i="95"/>
  <c r="R36" i="95" s="1"/>
  <c r="AD63" i="76"/>
  <c r="AE63" i="76" s="1"/>
  <c r="AE61" i="76"/>
  <c r="AD62" i="76"/>
  <c r="AD64" i="76"/>
  <c r="AE64" i="76" s="1"/>
  <c r="L37" i="76"/>
  <c r="R37" i="76" s="1"/>
  <c r="J37" i="76"/>
  <c r="J41" i="103" l="1"/>
  <c r="L41" i="103"/>
  <c r="R41" i="103" s="1"/>
  <c r="M39" i="105"/>
  <c r="J42" i="104"/>
  <c r="K42" i="104" s="1"/>
  <c r="L42" i="104"/>
  <c r="R42" i="104" s="1"/>
  <c r="L37" i="96"/>
  <c r="R37" i="96" s="1"/>
  <c r="J37" i="96"/>
  <c r="K36" i="95"/>
  <c r="M36" i="95" s="1"/>
  <c r="AD66" i="76"/>
  <c r="AE66" i="76" s="1"/>
  <c r="AD65" i="76"/>
  <c r="AE65" i="76" s="1"/>
  <c r="AE62" i="76"/>
  <c r="K37" i="76"/>
  <c r="M37" i="76" s="1"/>
  <c r="K41" i="103" l="1"/>
  <c r="M41" i="103"/>
  <c r="L40" i="105"/>
  <c r="R40" i="105" s="1"/>
  <c r="J40" i="105"/>
  <c r="M42" i="104"/>
  <c r="K37" i="96"/>
  <c r="M37" i="96" s="1"/>
  <c r="J37" i="95"/>
  <c r="L37" i="95"/>
  <c r="R37" i="95" s="1"/>
  <c r="L38" i="76"/>
  <c r="R38" i="76" s="1"/>
  <c r="J38" i="76"/>
  <c r="L42" i="103" l="1"/>
  <c r="R42" i="103" s="1"/>
  <c r="J42" i="103"/>
  <c r="K42" i="103" s="1"/>
  <c r="K40" i="105"/>
  <c r="M40" i="105" s="1"/>
  <c r="L43" i="104"/>
  <c r="R43" i="104" s="1"/>
  <c r="J43" i="104"/>
  <c r="K43" i="104" s="1"/>
  <c r="L38" i="96"/>
  <c r="R38" i="96" s="1"/>
  <c r="J38" i="96"/>
  <c r="K37" i="95"/>
  <c r="M37" i="95" s="1"/>
  <c r="K38" i="76"/>
  <c r="M38" i="76" s="1"/>
  <c r="M42" i="103" l="1"/>
  <c r="L41" i="105"/>
  <c r="R41" i="105" s="1"/>
  <c r="J41" i="105"/>
  <c r="K41" i="105" s="1"/>
  <c r="M43" i="104"/>
  <c r="L44" i="104" s="1"/>
  <c r="R44" i="104" s="1"/>
  <c r="J44" i="104"/>
  <c r="K44" i="104" s="1"/>
  <c r="K38" i="96"/>
  <c r="M38" i="96" s="1"/>
  <c r="J38" i="95"/>
  <c r="L38" i="95"/>
  <c r="R38" i="95" s="1"/>
  <c r="L39" i="76"/>
  <c r="R39" i="76" s="1"/>
  <c r="J39" i="76"/>
  <c r="J43" i="103" l="1"/>
  <c r="K43" i="103" s="1"/>
  <c r="M43" i="103" s="1"/>
  <c r="J44" i="103" s="1"/>
  <c r="L43" i="103"/>
  <c r="R43" i="103" s="1"/>
  <c r="M44" i="104"/>
  <c r="J45" i="104" s="1"/>
  <c r="M41" i="105"/>
  <c r="L42" i="105" s="1"/>
  <c r="R42" i="105" s="1"/>
  <c r="J42" i="105"/>
  <c r="K42" i="105" s="1"/>
  <c r="J39" i="96"/>
  <c r="L39" i="96"/>
  <c r="R39" i="96" s="1"/>
  <c r="K38" i="95"/>
  <c r="M38" i="95" s="1"/>
  <c r="K39" i="76"/>
  <c r="M39" i="76" s="1"/>
  <c r="L44" i="103" l="1"/>
  <c r="R44" i="103" s="1"/>
  <c r="L45" i="104"/>
  <c r="R45" i="104" s="1"/>
  <c r="M42" i="105"/>
  <c r="K45" i="104"/>
  <c r="M45" i="104" s="1"/>
  <c r="K44" i="103"/>
  <c r="M44" i="103" s="1"/>
  <c r="K39" i="96"/>
  <c r="M39" i="96" s="1"/>
  <c r="L39" i="95"/>
  <c r="R39" i="95" s="1"/>
  <c r="J39" i="95"/>
  <c r="L40" i="76"/>
  <c r="R40" i="76" s="1"/>
  <c r="J40" i="76"/>
  <c r="L43" i="105" l="1"/>
  <c r="R43" i="105" s="1"/>
  <c r="J43" i="105"/>
  <c r="L46" i="104"/>
  <c r="R46" i="104" s="1"/>
  <c r="J46" i="104"/>
  <c r="K46" i="104" s="1"/>
  <c r="J45" i="103"/>
  <c r="K45" i="103" s="1"/>
  <c r="L45" i="103"/>
  <c r="R45" i="103" s="1"/>
  <c r="J40" i="96"/>
  <c r="L40" i="96"/>
  <c r="R40" i="96" s="1"/>
  <c r="K39" i="95"/>
  <c r="M39" i="95" s="1"/>
  <c r="K40" i="76"/>
  <c r="M40" i="76" s="1"/>
  <c r="M46" i="104" l="1"/>
  <c r="J47" i="104" s="1"/>
  <c r="K47" i="104" s="1"/>
  <c r="K43" i="105"/>
  <c r="M43" i="105" s="1"/>
  <c r="L47" i="104"/>
  <c r="R47" i="104" s="1"/>
  <c r="M45" i="103"/>
  <c r="K40" i="96"/>
  <c r="M40" i="96" s="1"/>
  <c r="L40" i="95"/>
  <c r="R40" i="95" s="1"/>
  <c r="J40" i="95"/>
  <c r="L41" i="76"/>
  <c r="R41" i="76" s="1"/>
  <c r="J41" i="76"/>
  <c r="M47" i="104" l="1"/>
  <c r="L48" i="104" s="1"/>
  <c r="R48" i="104" s="1"/>
  <c r="J44" i="105"/>
  <c r="L44" i="105"/>
  <c r="R44" i="105" s="1"/>
  <c r="L46" i="103"/>
  <c r="R46" i="103" s="1"/>
  <c r="J46" i="103"/>
  <c r="L41" i="96"/>
  <c r="R41" i="96" s="1"/>
  <c r="J41" i="96"/>
  <c r="K40" i="95"/>
  <c r="M40" i="95" s="1"/>
  <c r="K41" i="76"/>
  <c r="M41" i="76" s="1"/>
  <c r="J48" i="104" l="1"/>
  <c r="K48" i="104" s="1"/>
  <c r="M48" i="104" s="1"/>
  <c r="J49" i="104" s="1"/>
  <c r="K44" i="105"/>
  <c r="M44" i="105" s="1"/>
  <c r="K46" i="103"/>
  <c r="M46" i="103" s="1"/>
  <c r="K41" i="96"/>
  <c r="M41" i="96" s="1"/>
  <c r="J41" i="95"/>
  <c r="L41" i="95"/>
  <c r="R41" i="95" s="1"/>
  <c r="L42" i="76"/>
  <c r="R42" i="76" s="1"/>
  <c r="J42" i="76"/>
  <c r="L49" i="104" l="1"/>
  <c r="R49" i="104" s="1"/>
  <c r="J45" i="105"/>
  <c r="K45" i="105" s="1"/>
  <c r="L45" i="105"/>
  <c r="R45" i="105" s="1"/>
  <c r="K49" i="104"/>
  <c r="J47" i="103"/>
  <c r="L47" i="103"/>
  <c r="R47" i="103" s="1"/>
  <c r="J42" i="96"/>
  <c r="L42" i="96"/>
  <c r="R42" i="96" s="1"/>
  <c r="K41" i="95"/>
  <c r="M41" i="95" s="1"/>
  <c r="K42" i="76"/>
  <c r="M42" i="76" s="1"/>
  <c r="M49" i="104" l="1"/>
  <c r="L50" i="104" s="1"/>
  <c r="R50" i="104" s="1"/>
  <c r="M45" i="105"/>
  <c r="K47" i="103"/>
  <c r="M47" i="103" s="1"/>
  <c r="K42" i="96"/>
  <c r="M42" i="96" s="1"/>
  <c r="L42" i="95"/>
  <c r="R42" i="95" s="1"/>
  <c r="J42" i="95"/>
  <c r="L43" i="76"/>
  <c r="R43" i="76" s="1"/>
  <c r="J43" i="76"/>
  <c r="J50" i="104" l="1"/>
  <c r="K50" i="104" s="1"/>
  <c r="L46" i="105"/>
  <c r="R46" i="105" s="1"/>
  <c r="J46" i="105"/>
  <c r="K46" i="105" s="1"/>
  <c r="M50" i="104"/>
  <c r="J48" i="103"/>
  <c r="L48" i="103"/>
  <c r="R48" i="103" s="1"/>
  <c r="L43" i="96"/>
  <c r="R43" i="96" s="1"/>
  <c r="J43" i="96"/>
  <c r="K42" i="95"/>
  <c r="M42" i="95" s="1"/>
  <c r="K43" i="76"/>
  <c r="M43" i="76" s="1"/>
  <c r="M46" i="105" l="1"/>
  <c r="L47" i="105"/>
  <c r="R47" i="105" s="1"/>
  <c r="J47" i="105"/>
  <c r="J51" i="104"/>
  <c r="K51" i="104" s="1"/>
  <c r="L51" i="104"/>
  <c r="R51" i="104" s="1"/>
  <c r="K48" i="103"/>
  <c r="M48" i="103" s="1"/>
  <c r="K43" i="96"/>
  <c r="M43" i="96" s="1"/>
  <c r="L43" i="95"/>
  <c r="R43" i="95" s="1"/>
  <c r="J43" i="95"/>
  <c r="L44" i="76"/>
  <c r="R44" i="76" s="1"/>
  <c r="J44" i="76"/>
  <c r="K47" i="105" l="1"/>
  <c r="M47" i="105" s="1"/>
  <c r="M51" i="104"/>
  <c r="L49" i="103"/>
  <c r="R49" i="103" s="1"/>
  <c r="J49" i="103"/>
  <c r="K49" i="103" s="1"/>
  <c r="J44" i="96"/>
  <c r="L44" i="96"/>
  <c r="R44" i="96" s="1"/>
  <c r="K43" i="95"/>
  <c r="M43" i="95" s="1"/>
  <c r="K44" i="76"/>
  <c r="M44" i="76" s="1"/>
  <c r="L48" i="105" l="1"/>
  <c r="R48" i="105" s="1"/>
  <c r="J48" i="105"/>
  <c r="J52" i="104"/>
  <c r="K52" i="104" s="1"/>
  <c r="L52" i="104"/>
  <c r="R52" i="104" s="1"/>
  <c r="M49" i="103"/>
  <c r="L50" i="103" s="1"/>
  <c r="R50" i="103" s="1"/>
  <c r="K44" i="96"/>
  <c r="M44" i="96" s="1"/>
  <c r="L44" i="95"/>
  <c r="R44" i="95" s="1"/>
  <c r="J44" i="95"/>
  <c r="L45" i="76"/>
  <c r="R45" i="76" s="1"/>
  <c r="J45" i="76"/>
  <c r="J50" i="103" l="1"/>
  <c r="K50" i="103" s="1"/>
  <c r="M50" i="103" s="1"/>
  <c r="K48" i="105"/>
  <c r="M48" i="105" s="1"/>
  <c r="M52" i="104"/>
  <c r="J45" i="96"/>
  <c r="L45" i="96"/>
  <c r="R45" i="96" s="1"/>
  <c r="K44" i="95"/>
  <c r="M44" i="95" s="1"/>
  <c r="K45" i="76"/>
  <c r="M45" i="76" s="1"/>
  <c r="L49" i="105" l="1"/>
  <c r="R49" i="105" s="1"/>
  <c r="J49" i="105"/>
  <c r="J53" i="104"/>
  <c r="K53" i="104" s="1"/>
  <c r="L53" i="104"/>
  <c r="R53" i="104" s="1"/>
  <c r="L51" i="103"/>
  <c r="R51" i="103" s="1"/>
  <c r="J51" i="103"/>
  <c r="K51" i="103" s="1"/>
  <c r="K45" i="96"/>
  <c r="M45" i="96" s="1"/>
  <c r="L45" i="95"/>
  <c r="R45" i="95" s="1"/>
  <c r="J45" i="95"/>
  <c r="L46" i="76"/>
  <c r="R46" i="76" s="1"/>
  <c r="J46" i="76"/>
  <c r="K49" i="105" l="1"/>
  <c r="M49" i="105" s="1"/>
  <c r="M51" i="103"/>
  <c r="L52" i="103" s="1"/>
  <c r="R52" i="103" s="1"/>
  <c r="M53" i="104"/>
  <c r="L46" i="96"/>
  <c r="R46" i="96" s="1"/>
  <c r="J46" i="96"/>
  <c r="K45" i="95"/>
  <c r="M45" i="95" s="1"/>
  <c r="K46" i="76"/>
  <c r="M46" i="76" s="1"/>
  <c r="J52" i="103" l="1"/>
  <c r="K52" i="103" s="1"/>
  <c r="M52" i="103" s="1"/>
  <c r="L50" i="105"/>
  <c r="R50" i="105" s="1"/>
  <c r="J50" i="105"/>
  <c r="L54" i="104"/>
  <c r="R54" i="104" s="1"/>
  <c r="R67" i="104" s="1"/>
  <c r="J54" i="104"/>
  <c r="K46" i="96"/>
  <c r="M46" i="96" s="1"/>
  <c r="J46" i="95"/>
  <c r="L46" i="95"/>
  <c r="R46" i="95" s="1"/>
  <c r="L47" i="76"/>
  <c r="R47" i="76" s="1"/>
  <c r="J47" i="76"/>
  <c r="K50" i="105" l="1"/>
  <c r="M50" i="105" s="1"/>
  <c r="K54" i="104"/>
  <c r="K67" i="104" s="1"/>
  <c r="D29" i="104" s="1"/>
  <c r="M54" i="104"/>
  <c r="J53" i="103"/>
  <c r="K53" i="103" s="1"/>
  <c r="L53" i="103"/>
  <c r="R53" i="103" s="1"/>
  <c r="L47" i="96"/>
  <c r="R47" i="96" s="1"/>
  <c r="J47" i="96"/>
  <c r="K46" i="95"/>
  <c r="M46" i="95" s="1"/>
  <c r="K47" i="76"/>
  <c r="M47" i="76" s="1"/>
  <c r="L51" i="105" l="1"/>
  <c r="R51" i="105" s="1"/>
  <c r="J51" i="105"/>
  <c r="K51" i="105" s="1"/>
  <c r="M51" i="105" s="1"/>
  <c r="J55" i="104"/>
  <c r="L55" i="104"/>
  <c r="R55" i="104" s="1"/>
  <c r="F29" i="104"/>
  <c r="F34" i="104" s="1"/>
  <c r="F36" i="104" s="1"/>
  <c r="M53" i="103"/>
  <c r="K47" i="96"/>
  <c r="M47" i="96" s="1"/>
  <c r="L47" i="95"/>
  <c r="R47" i="95" s="1"/>
  <c r="J47" i="95"/>
  <c r="L48" i="76"/>
  <c r="R48" i="76" s="1"/>
  <c r="J48" i="76"/>
  <c r="G29" i="104" l="1"/>
  <c r="G34" i="104" s="1"/>
  <c r="G36" i="104" s="1"/>
  <c r="J52" i="105"/>
  <c r="L52" i="105"/>
  <c r="R52" i="105" s="1"/>
  <c r="G35" i="104"/>
  <c r="G42" i="104"/>
  <c r="F42" i="104"/>
  <c r="F35" i="104"/>
  <c r="K55" i="104"/>
  <c r="M55" i="104" s="1"/>
  <c r="J54" i="103"/>
  <c r="L54" i="103"/>
  <c r="R54" i="103" s="1"/>
  <c r="R67" i="103" s="1"/>
  <c r="J48" i="96"/>
  <c r="L48" i="96"/>
  <c r="R48" i="96" s="1"/>
  <c r="K47" i="95"/>
  <c r="M47" i="95" s="1"/>
  <c r="K48" i="76"/>
  <c r="M48" i="76" s="1"/>
  <c r="K52" i="105" l="1"/>
  <c r="M52" i="105" s="1"/>
  <c r="J56" i="104"/>
  <c r="K56" i="104" s="1"/>
  <c r="L56" i="104"/>
  <c r="R56" i="104" s="1"/>
  <c r="D39" i="23"/>
  <c r="H66" i="23" s="1"/>
  <c r="I66" i="23" s="1"/>
  <c r="Q123" i="104"/>
  <c r="W123" i="104" s="1"/>
  <c r="Q110" i="104"/>
  <c r="W110" i="104" s="1"/>
  <c r="Q102" i="104"/>
  <c r="W102" i="104" s="1"/>
  <c r="Q12" i="104"/>
  <c r="Q38" i="104"/>
  <c r="Q37" i="104"/>
  <c r="Q42" i="104"/>
  <c r="Q49" i="104"/>
  <c r="Q83" i="104"/>
  <c r="W83" i="104" s="1"/>
  <c r="Q9" i="104"/>
  <c r="Q93" i="104"/>
  <c r="W93" i="104" s="1"/>
  <c r="Q19" i="104"/>
  <c r="Q87" i="104"/>
  <c r="W87" i="104" s="1"/>
  <c r="Q80" i="104"/>
  <c r="W80" i="104" s="1"/>
  <c r="Q47" i="104"/>
  <c r="Q86" i="104"/>
  <c r="W86" i="104" s="1"/>
  <c r="G43" i="104"/>
  <c r="H39" i="23" s="1"/>
  <c r="Q31" i="104"/>
  <c r="Q91" i="104"/>
  <c r="W91" i="104" s="1"/>
  <c r="Q27" i="104"/>
  <c r="Q104" i="104"/>
  <c r="W104" i="104" s="1"/>
  <c r="Q64" i="104"/>
  <c r="Q59" i="104"/>
  <c r="Q36" i="104"/>
  <c r="Q120" i="104"/>
  <c r="W120" i="104" s="1"/>
  <c r="Q10" i="104"/>
  <c r="Q15" i="104"/>
  <c r="Q7" i="104"/>
  <c r="Q81" i="104"/>
  <c r="W81" i="104" s="1"/>
  <c r="Q107" i="104"/>
  <c r="W107" i="104" s="1"/>
  <c r="Q125" i="104"/>
  <c r="W125" i="104" s="1"/>
  <c r="Q111" i="104"/>
  <c r="W111" i="104" s="1"/>
  <c r="Q23" i="104"/>
  <c r="Q45" i="104"/>
  <c r="Q17" i="104"/>
  <c r="Q113" i="104"/>
  <c r="W113" i="104" s="1"/>
  <c r="Q52" i="104"/>
  <c r="Q79" i="104"/>
  <c r="Q99" i="104"/>
  <c r="W99" i="104" s="1"/>
  <c r="Q13" i="104"/>
  <c r="Q54" i="104"/>
  <c r="Q53" i="104"/>
  <c r="Q46" i="104"/>
  <c r="Q63" i="104"/>
  <c r="Q115" i="104"/>
  <c r="W115" i="104" s="1"/>
  <c r="Q84" i="104"/>
  <c r="W84" i="104" s="1"/>
  <c r="Q40" i="104"/>
  <c r="Q14" i="104"/>
  <c r="Q48" i="104"/>
  <c r="Q62" i="104"/>
  <c r="Q60" i="104"/>
  <c r="Q35" i="104"/>
  <c r="Q16" i="104"/>
  <c r="Q122" i="104"/>
  <c r="W122" i="104" s="1"/>
  <c r="Q41" i="104"/>
  <c r="Q105" i="104"/>
  <c r="W105" i="104" s="1"/>
  <c r="Q118" i="104"/>
  <c r="W118" i="104" s="1"/>
  <c r="Q116" i="104"/>
  <c r="W116" i="104" s="1"/>
  <c r="Q18" i="104"/>
  <c r="Q95" i="104"/>
  <c r="W95" i="104" s="1"/>
  <c r="Q44" i="104"/>
  <c r="Q89" i="104"/>
  <c r="W89" i="104" s="1"/>
  <c r="Q28" i="104"/>
  <c r="Q43" i="104"/>
  <c r="Q90" i="104"/>
  <c r="W90" i="104" s="1"/>
  <c r="Q34" i="104"/>
  <c r="Q85" i="104"/>
  <c r="W85" i="104" s="1"/>
  <c r="Q58" i="104"/>
  <c r="Q94" i="104"/>
  <c r="W94" i="104" s="1"/>
  <c r="Q92" i="104"/>
  <c r="W92" i="104" s="1"/>
  <c r="Q126" i="104"/>
  <c r="W126" i="104" s="1"/>
  <c r="Q106" i="104"/>
  <c r="W106" i="104" s="1"/>
  <c r="Q57" i="104"/>
  <c r="Q20" i="104"/>
  <c r="Q109" i="104"/>
  <c r="W109" i="104" s="1"/>
  <c r="Q100" i="104"/>
  <c r="W100" i="104" s="1"/>
  <c r="Q66" i="104"/>
  <c r="Q121" i="104"/>
  <c r="W121" i="104" s="1"/>
  <c r="Q51" i="104"/>
  <c r="Q39" i="104"/>
  <c r="Q101" i="104"/>
  <c r="W101" i="104" s="1"/>
  <c r="Q25" i="104"/>
  <c r="Q24" i="104"/>
  <c r="Q26" i="104"/>
  <c r="Q98" i="104"/>
  <c r="W98" i="104" s="1"/>
  <c r="Q88" i="104"/>
  <c r="W88" i="104" s="1"/>
  <c r="Q119" i="104"/>
  <c r="W119" i="104" s="1"/>
  <c r="Q56" i="104"/>
  <c r="Q30" i="104"/>
  <c r="Q11" i="104"/>
  <c r="Q50" i="104"/>
  <c r="Q33" i="104"/>
  <c r="Q114" i="104"/>
  <c r="W114" i="104" s="1"/>
  <c r="Q108" i="104"/>
  <c r="W108" i="104" s="1"/>
  <c r="Q32" i="104"/>
  <c r="Q112" i="104"/>
  <c r="W112" i="104" s="1"/>
  <c r="Q124" i="104"/>
  <c r="W124" i="104" s="1"/>
  <c r="Q65" i="104"/>
  <c r="Q117" i="104"/>
  <c r="W117" i="104" s="1"/>
  <c r="Q22" i="104"/>
  <c r="Q55" i="104"/>
  <c r="Q97" i="104"/>
  <c r="W97" i="104" s="1"/>
  <c r="Q103" i="104"/>
  <c r="W103" i="104" s="1"/>
  <c r="Q82" i="104"/>
  <c r="W82" i="104" s="1"/>
  <c r="Q21" i="104"/>
  <c r="Q61" i="104"/>
  <c r="Q96" i="104"/>
  <c r="W96" i="104" s="1"/>
  <c r="Q29" i="104"/>
  <c r="Q8" i="104"/>
  <c r="F39" i="23"/>
  <c r="K54" i="103"/>
  <c r="K67" i="103" s="1"/>
  <c r="D29" i="103" s="1"/>
  <c r="K48" i="96"/>
  <c r="M48" i="96" s="1"/>
  <c r="L48" i="95"/>
  <c r="R48" i="95" s="1"/>
  <c r="J48" i="95"/>
  <c r="L49" i="76"/>
  <c r="R49" i="76" s="1"/>
  <c r="J49" i="76"/>
  <c r="O39" i="23" l="1"/>
  <c r="P39" i="23" s="1"/>
  <c r="Q39" i="23" s="1"/>
  <c r="S39" i="23" s="1"/>
  <c r="Y39" i="23" s="1"/>
  <c r="L53" i="105"/>
  <c r="R53" i="105" s="1"/>
  <c r="J53" i="105"/>
  <c r="K53" i="105" s="1"/>
  <c r="M53" i="105" s="1"/>
  <c r="M54" i="103"/>
  <c r="J55" i="103" s="1"/>
  <c r="K55" i="103" s="1"/>
  <c r="Q67" i="104"/>
  <c r="U7" i="104"/>
  <c r="U8" i="104" s="1"/>
  <c r="U9" i="104" s="1"/>
  <c r="U10" i="104" s="1"/>
  <c r="U11" i="104" s="1"/>
  <c r="U12" i="104" s="1"/>
  <c r="W12" i="104" s="1"/>
  <c r="W9" i="104"/>
  <c r="W39" i="23"/>
  <c r="Z39" i="23" s="1"/>
  <c r="W79" i="104"/>
  <c r="X79" i="104" s="1"/>
  <c r="X80" i="104" s="1"/>
  <c r="X81" i="104" s="1"/>
  <c r="X82" i="104" s="1"/>
  <c r="X83" i="104" s="1"/>
  <c r="X84" i="104" s="1"/>
  <c r="X85" i="104" s="1"/>
  <c r="X86" i="104" s="1"/>
  <c r="X87" i="104" s="1"/>
  <c r="X88" i="104" s="1"/>
  <c r="X89" i="104" s="1"/>
  <c r="X90" i="104" s="1"/>
  <c r="X91" i="104" s="1"/>
  <c r="X92" i="104" s="1"/>
  <c r="X93" i="104" s="1"/>
  <c r="X94" i="104" s="1"/>
  <c r="X95" i="104" s="1"/>
  <c r="X96" i="104" s="1"/>
  <c r="X97" i="104" s="1"/>
  <c r="X98" i="104" s="1"/>
  <c r="X99" i="104" s="1"/>
  <c r="X100" i="104" s="1"/>
  <c r="X101" i="104" s="1"/>
  <c r="X102" i="104" s="1"/>
  <c r="X103" i="104" s="1"/>
  <c r="X104" i="104" s="1"/>
  <c r="X105" i="104" s="1"/>
  <c r="X106" i="104" s="1"/>
  <c r="X107" i="104" s="1"/>
  <c r="X108" i="104" s="1"/>
  <c r="X109" i="104" s="1"/>
  <c r="X110" i="104" s="1"/>
  <c r="X111" i="104" s="1"/>
  <c r="X112" i="104" s="1"/>
  <c r="X113" i="104" s="1"/>
  <c r="X114" i="104" s="1"/>
  <c r="X115" i="104" s="1"/>
  <c r="X116" i="104" s="1"/>
  <c r="X117" i="104" s="1"/>
  <c r="X118" i="104" s="1"/>
  <c r="X119" i="104" s="1"/>
  <c r="X120" i="104" s="1"/>
  <c r="X121" i="104" s="1"/>
  <c r="X122" i="104" s="1"/>
  <c r="X123" i="104" s="1"/>
  <c r="X124" i="104" s="1"/>
  <c r="X125" i="104" s="1"/>
  <c r="X126" i="104" s="1"/>
  <c r="U79" i="104"/>
  <c r="M56" i="104"/>
  <c r="F29" i="103"/>
  <c r="F34" i="103" s="1"/>
  <c r="F36" i="103" s="1"/>
  <c r="J49" i="96"/>
  <c r="L49" i="96"/>
  <c r="R49" i="96" s="1"/>
  <c r="K48" i="95"/>
  <c r="M48" i="95" s="1"/>
  <c r="K49" i="76"/>
  <c r="M49" i="76" s="1"/>
  <c r="L55" i="103" l="1"/>
  <c r="R55" i="103" s="1"/>
  <c r="W7" i="104"/>
  <c r="X7" i="104" s="1"/>
  <c r="U13" i="104"/>
  <c r="W13" i="104" s="1"/>
  <c r="W8" i="104"/>
  <c r="X8" i="104" s="1"/>
  <c r="X9" i="104" s="1"/>
  <c r="L54" i="105"/>
  <c r="R54" i="105" s="1"/>
  <c r="R67" i="105" s="1"/>
  <c r="J54" i="105"/>
  <c r="W10" i="104"/>
  <c r="C45" i="102"/>
  <c r="C21" i="102"/>
  <c r="L57" i="104"/>
  <c r="R57" i="104" s="1"/>
  <c r="J57" i="104"/>
  <c r="K57" i="104" s="1"/>
  <c r="U80" i="104"/>
  <c r="U81" i="104" s="1"/>
  <c r="U82" i="104" s="1"/>
  <c r="U83" i="104" s="1"/>
  <c r="U84" i="104" s="1"/>
  <c r="U85" i="104" s="1"/>
  <c r="U86" i="104" s="1"/>
  <c r="U87" i="104" s="1"/>
  <c r="U88" i="104" s="1"/>
  <c r="U89" i="104" s="1"/>
  <c r="U90" i="104" s="1"/>
  <c r="U91" i="104" s="1"/>
  <c r="U92" i="104" s="1"/>
  <c r="U93" i="104" s="1"/>
  <c r="U94" i="104" s="1"/>
  <c r="U95" i="104" s="1"/>
  <c r="U96" i="104" s="1"/>
  <c r="U97" i="104" s="1"/>
  <c r="U98" i="104" s="1"/>
  <c r="U99" i="104" s="1"/>
  <c r="U100" i="104" s="1"/>
  <c r="U101" i="104" s="1"/>
  <c r="U102" i="104" s="1"/>
  <c r="U103" i="104" s="1"/>
  <c r="U104" i="104" s="1"/>
  <c r="U105" i="104" s="1"/>
  <c r="U106" i="104" s="1"/>
  <c r="U107" i="104" s="1"/>
  <c r="U108" i="104" s="1"/>
  <c r="U109" i="104" s="1"/>
  <c r="U110" i="104" s="1"/>
  <c r="U111" i="104" s="1"/>
  <c r="U112" i="104" s="1"/>
  <c r="U113" i="104" s="1"/>
  <c r="U114" i="104" s="1"/>
  <c r="U115" i="104" s="1"/>
  <c r="U116" i="104" s="1"/>
  <c r="U117" i="104" s="1"/>
  <c r="U118" i="104" s="1"/>
  <c r="U119" i="104" s="1"/>
  <c r="U120" i="104" s="1"/>
  <c r="U121" i="104" s="1"/>
  <c r="U122" i="104" s="1"/>
  <c r="U123" i="104" s="1"/>
  <c r="U124" i="104" s="1"/>
  <c r="U125" i="104" s="1"/>
  <c r="U126" i="104" s="1"/>
  <c r="W11" i="104"/>
  <c r="G29" i="103"/>
  <c r="G34" i="103" s="1"/>
  <c r="G36" i="103" s="1"/>
  <c r="G42" i="103" s="1"/>
  <c r="F42" i="103"/>
  <c r="F35" i="103"/>
  <c r="M55" i="103"/>
  <c r="U14" i="104"/>
  <c r="K49" i="96"/>
  <c r="M49" i="96" s="1"/>
  <c r="L49" i="95"/>
  <c r="R49" i="95" s="1"/>
  <c r="J49" i="95"/>
  <c r="L50" i="76"/>
  <c r="R50" i="76" s="1"/>
  <c r="J50" i="76"/>
  <c r="M57" i="104" l="1"/>
  <c r="X10" i="104"/>
  <c r="J73" i="105"/>
  <c r="K54" i="105"/>
  <c r="K67" i="105" s="1"/>
  <c r="D29" i="105" s="1"/>
  <c r="M54" i="105"/>
  <c r="G35" i="103"/>
  <c r="U127" i="104"/>
  <c r="X11" i="104"/>
  <c r="X12" i="104" s="1"/>
  <c r="X13" i="104" s="1"/>
  <c r="J58" i="104"/>
  <c r="L58" i="104"/>
  <c r="R58" i="104" s="1"/>
  <c r="Q33" i="103"/>
  <c r="Q26" i="103"/>
  <c r="Q17" i="103"/>
  <c r="Q52" i="103"/>
  <c r="Q31" i="103"/>
  <c r="G43" i="103"/>
  <c r="Q63" i="103"/>
  <c r="Q11" i="103"/>
  <c r="Q14" i="103"/>
  <c r="Q58" i="103"/>
  <c r="Q51" i="103"/>
  <c r="Q22" i="103"/>
  <c r="Q15" i="103"/>
  <c r="Q40" i="103"/>
  <c r="Q60" i="103"/>
  <c r="Q27" i="103"/>
  <c r="Q38" i="103"/>
  <c r="Q35" i="103"/>
  <c r="Q61" i="103"/>
  <c r="Q48" i="103"/>
  <c r="Q32" i="103"/>
  <c r="Q53" i="103"/>
  <c r="Q44" i="103"/>
  <c r="Q41" i="103"/>
  <c r="Q46" i="103"/>
  <c r="Q8" i="103"/>
  <c r="Q9" i="103"/>
  <c r="Q43" i="103"/>
  <c r="Q21" i="103"/>
  <c r="Q64" i="103"/>
  <c r="Q56" i="103"/>
  <c r="Q66" i="103"/>
  <c r="Q39" i="103"/>
  <c r="Q62" i="103"/>
  <c r="Q16" i="103"/>
  <c r="Q30" i="103"/>
  <c r="Q55" i="103"/>
  <c r="Q59" i="103"/>
  <c r="Q54" i="103"/>
  <c r="Q34" i="103"/>
  <c r="Q7" i="103"/>
  <c r="Q13" i="103"/>
  <c r="Q57" i="103"/>
  <c r="Q24" i="103"/>
  <c r="Q29" i="103"/>
  <c r="Q28" i="103"/>
  <c r="Q47" i="103"/>
  <c r="Q25" i="103"/>
  <c r="Q12" i="103"/>
  <c r="Q50" i="103"/>
  <c r="Q49" i="103"/>
  <c r="Q36" i="103"/>
  <c r="Q10" i="103"/>
  <c r="Q19" i="103"/>
  <c r="Q45" i="103"/>
  <c r="Q23" i="103"/>
  <c r="Q20" i="103"/>
  <c r="Q37" i="103"/>
  <c r="Q42" i="103"/>
  <c r="Q18" i="103"/>
  <c r="L56" i="103"/>
  <c r="R56" i="103" s="1"/>
  <c r="J56" i="103"/>
  <c r="K56" i="103" s="1"/>
  <c r="Q65" i="103"/>
  <c r="W14" i="104"/>
  <c r="U15" i="104"/>
  <c r="L50" i="96"/>
  <c r="R50" i="96" s="1"/>
  <c r="J50" i="96"/>
  <c r="K49" i="95"/>
  <c r="M49" i="95" s="1"/>
  <c r="K50" i="76"/>
  <c r="M50" i="76" s="1"/>
  <c r="L55" i="105" l="1"/>
  <c r="R55" i="105" s="1"/>
  <c r="J55" i="105"/>
  <c r="K55" i="105" s="1"/>
  <c r="F29" i="105"/>
  <c r="F34" i="105" s="1"/>
  <c r="F36" i="105" s="1"/>
  <c r="K58" i="104"/>
  <c r="M58" i="104"/>
  <c r="X14" i="104"/>
  <c r="M56" i="103"/>
  <c r="Q67" i="103"/>
  <c r="U7" i="103"/>
  <c r="U8" i="103" s="1"/>
  <c r="U9" i="103" s="1"/>
  <c r="U10" i="103" s="1"/>
  <c r="U11" i="103" s="1"/>
  <c r="W11" i="103" s="1"/>
  <c r="U16" i="104"/>
  <c r="W15" i="104"/>
  <c r="K50" i="96"/>
  <c r="M50" i="96" s="1"/>
  <c r="J50" i="95"/>
  <c r="L50" i="95"/>
  <c r="R50" i="95" s="1"/>
  <c r="L51" i="76"/>
  <c r="R51" i="76" s="1"/>
  <c r="J51" i="76"/>
  <c r="M55" i="105" l="1"/>
  <c r="X15" i="104"/>
  <c r="G29" i="105"/>
  <c r="G34" i="105" s="1"/>
  <c r="G36" i="105" s="1"/>
  <c r="F35" i="105"/>
  <c r="F42" i="105"/>
  <c r="L56" i="105"/>
  <c r="R56" i="105" s="1"/>
  <c r="J56" i="105"/>
  <c r="K56" i="105" s="1"/>
  <c r="M56" i="105" s="1"/>
  <c r="J59" i="104"/>
  <c r="K59" i="104" s="1"/>
  <c r="L59" i="104"/>
  <c r="R59" i="104" s="1"/>
  <c r="U12" i="103"/>
  <c r="U13" i="103" s="1"/>
  <c r="L57" i="103"/>
  <c r="R57" i="103" s="1"/>
  <c r="J57" i="103"/>
  <c r="K57" i="103" s="1"/>
  <c r="W8" i="103"/>
  <c r="W9" i="103"/>
  <c r="W7" i="103"/>
  <c r="X7" i="103" s="1"/>
  <c r="W10" i="103"/>
  <c r="U17" i="104"/>
  <c r="W16" i="104"/>
  <c r="X16" i="104" s="1"/>
  <c r="L51" i="96"/>
  <c r="R51" i="96" s="1"/>
  <c r="J51" i="96"/>
  <c r="K50" i="95"/>
  <c r="M50" i="95" s="1"/>
  <c r="K51" i="76"/>
  <c r="M51" i="76" s="1"/>
  <c r="J57" i="105" l="1"/>
  <c r="K57" i="105" s="1"/>
  <c r="L57" i="105"/>
  <c r="R57" i="105" s="1"/>
  <c r="D36" i="23"/>
  <c r="H63" i="23" s="1"/>
  <c r="I63" i="23" s="1"/>
  <c r="G35" i="105"/>
  <c r="G42" i="105"/>
  <c r="F36" i="23" s="1"/>
  <c r="M57" i="103"/>
  <c r="J58" i="103" s="1"/>
  <c r="K58" i="103" s="1"/>
  <c r="M59" i="104"/>
  <c r="W12" i="103"/>
  <c r="X8" i="103"/>
  <c r="X9" i="103" s="1"/>
  <c r="X10" i="103" s="1"/>
  <c r="X11" i="103" s="1"/>
  <c r="U18" i="104"/>
  <c r="W17" i="104"/>
  <c r="X17" i="104" s="1"/>
  <c r="U14" i="103"/>
  <c r="W13" i="103"/>
  <c r="K51" i="96"/>
  <c r="M51" i="96" s="1"/>
  <c r="L51" i="95"/>
  <c r="R51" i="95" s="1"/>
  <c r="J51" i="95"/>
  <c r="L52" i="76"/>
  <c r="R52" i="76" s="1"/>
  <c r="J52" i="76"/>
  <c r="Q41" i="105" l="1"/>
  <c r="Q38" i="105"/>
  <c r="Q27" i="105"/>
  <c r="Q31" i="105"/>
  <c r="Q42" i="105"/>
  <c r="Q8" i="105"/>
  <c r="Q39" i="105"/>
  <c r="Q52" i="105"/>
  <c r="Q29" i="105"/>
  <c r="Q25" i="105"/>
  <c r="Q40" i="105"/>
  <c r="Q46" i="105"/>
  <c r="Q24" i="105"/>
  <c r="Q64" i="105"/>
  <c r="Q10" i="105"/>
  <c r="Q43" i="105"/>
  <c r="Q62" i="105"/>
  <c r="Q20" i="105"/>
  <c r="Q57" i="105"/>
  <c r="Q61" i="105"/>
  <c r="L58" i="103"/>
  <c r="R58" i="103" s="1"/>
  <c r="Q49" i="105"/>
  <c r="Q19" i="105"/>
  <c r="Q9" i="105"/>
  <c r="Q59" i="105"/>
  <c r="Q13" i="105"/>
  <c r="Q35" i="105"/>
  <c r="Q15" i="105"/>
  <c r="Q45" i="105"/>
  <c r="Q44" i="105"/>
  <c r="Q34" i="105"/>
  <c r="Q50" i="105"/>
  <c r="Q54" i="105"/>
  <c r="Q16" i="105"/>
  <c r="Q12" i="105"/>
  <c r="Q65" i="105"/>
  <c r="O36" i="23"/>
  <c r="P36" i="23" s="1"/>
  <c r="Q36" i="23" s="1"/>
  <c r="S36" i="23" s="1"/>
  <c r="W36" i="23" s="1"/>
  <c r="Z36" i="23" s="1"/>
  <c r="Q7" i="105"/>
  <c r="U7" i="105" s="1"/>
  <c r="U8" i="105" s="1"/>
  <c r="U9" i="105" s="1"/>
  <c r="U10" i="105" s="1"/>
  <c r="U11" i="105" s="1"/>
  <c r="U12" i="105" s="1"/>
  <c r="U13" i="105" s="1"/>
  <c r="U14" i="105" s="1"/>
  <c r="U15" i="105" s="1"/>
  <c r="U16" i="105" s="1"/>
  <c r="U17" i="105" s="1"/>
  <c r="U18" i="105" s="1"/>
  <c r="U19" i="105" s="1"/>
  <c r="Q28" i="105"/>
  <c r="Q48" i="105"/>
  <c r="Q36" i="105"/>
  <c r="Q32" i="105"/>
  <c r="Q58" i="105"/>
  <c r="Q11" i="105"/>
  <c r="Q21" i="105"/>
  <c r="Q30" i="105"/>
  <c r="Q53" i="105"/>
  <c r="Q63" i="105"/>
  <c r="Q47" i="105"/>
  <c r="Q66" i="105"/>
  <c r="Q17" i="105"/>
  <c r="Q37" i="105"/>
  <c r="Q33" i="105"/>
  <c r="Q18" i="105"/>
  <c r="Q22" i="105"/>
  <c r="Q60" i="105"/>
  <c r="X12" i="103"/>
  <c r="X13" i="103" s="1"/>
  <c r="Q26" i="105"/>
  <c r="Q23" i="105"/>
  <c r="Q56" i="105"/>
  <c r="Q51" i="105"/>
  <c r="Q55" i="105"/>
  <c r="Q14" i="105"/>
  <c r="G43" i="105"/>
  <c r="H36" i="23" s="1"/>
  <c r="M57" i="105"/>
  <c r="L60" i="104"/>
  <c r="R60" i="104" s="1"/>
  <c r="J60" i="104"/>
  <c r="U19" i="104"/>
  <c r="W18" i="104"/>
  <c r="X18" i="104" s="1"/>
  <c r="U15" i="103"/>
  <c r="W14" i="103"/>
  <c r="J52" i="96"/>
  <c r="L52" i="96"/>
  <c r="R52" i="96" s="1"/>
  <c r="K51" i="95"/>
  <c r="M51" i="95" s="1"/>
  <c r="K52" i="76"/>
  <c r="M52" i="76" s="1"/>
  <c r="M58" i="103" l="1"/>
  <c r="W17" i="105"/>
  <c r="W7" i="105"/>
  <c r="X7" i="105" s="1"/>
  <c r="Y36" i="23"/>
  <c r="C20" i="102" s="1"/>
  <c r="W8" i="105"/>
  <c r="X8" i="105" s="1"/>
  <c r="W15" i="105"/>
  <c r="L58" i="105"/>
  <c r="R58" i="105" s="1"/>
  <c r="J58" i="105"/>
  <c r="K58" i="105" s="1"/>
  <c r="W12" i="105"/>
  <c r="W9" i="105"/>
  <c r="W14" i="105"/>
  <c r="W16" i="105"/>
  <c r="W11" i="105"/>
  <c r="Q67" i="105"/>
  <c r="U20" i="105"/>
  <c r="W19" i="105"/>
  <c r="W18" i="105"/>
  <c r="W10" i="105"/>
  <c r="W13" i="105"/>
  <c r="K60" i="104"/>
  <c r="M60" i="104" s="1"/>
  <c r="X14" i="103"/>
  <c r="J59" i="103"/>
  <c r="K59" i="103" s="1"/>
  <c r="L59" i="103"/>
  <c r="R59" i="103" s="1"/>
  <c r="U20" i="104"/>
  <c r="W19" i="104"/>
  <c r="X19" i="104" s="1"/>
  <c r="U16" i="103"/>
  <c r="W15" i="103"/>
  <c r="K52" i="96"/>
  <c r="M52" i="96" s="1"/>
  <c r="L52" i="95"/>
  <c r="R52" i="95" s="1"/>
  <c r="J52" i="95"/>
  <c r="L53" i="76"/>
  <c r="R53" i="76" s="1"/>
  <c r="J53" i="76"/>
  <c r="X15" i="103" l="1"/>
  <c r="X9" i="105"/>
  <c r="X10" i="105" s="1"/>
  <c r="X11" i="105" s="1"/>
  <c r="X12" i="105" s="1"/>
  <c r="X13" i="105" s="1"/>
  <c r="X14" i="105" s="1"/>
  <c r="X15" i="105" s="1"/>
  <c r="X16" i="105" s="1"/>
  <c r="X17" i="105" s="1"/>
  <c r="X18" i="105" s="1"/>
  <c r="X19" i="105" s="1"/>
  <c r="U21" i="105"/>
  <c r="W20" i="105"/>
  <c r="M58" i="105"/>
  <c r="J61" i="104"/>
  <c r="L61" i="104"/>
  <c r="R61" i="104" s="1"/>
  <c r="M59" i="103"/>
  <c r="U21" i="104"/>
  <c r="W20" i="104"/>
  <c r="X20" i="104" s="1"/>
  <c r="U17" i="103"/>
  <c r="W16" i="103"/>
  <c r="J53" i="96"/>
  <c r="L53" i="96"/>
  <c r="R53" i="96" s="1"/>
  <c r="K52" i="95"/>
  <c r="M52" i="95" s="1"/>
  <c r="K53" i="76"/>
  <c r="M53" i="76" s="1"/>
  <c r="X16" i="103" l="1"/>
  <c r="L59" i="105"/>
  <c r="R59" i="105" s="1"/>
  <c r="J59" i="105"/>
  <c r="K59" i="105" s="1"/>
  <c r="X20" i="105"/>
  <c r="W21" i="105"/>
  <c r="U22" i="105"/>
  <c r="K61" i="104"/>
  <c r="M61" i="104" s="1"/>
  <c r="L60" i="103"/>
  <c r="R60" i="103" s="1"/>
  <c r="J60" i="103"/>
  <c r="K60" i="103" s="1"/>
  <c r="U22" i="104"/>
  <c r="W21" i="104"/>
  <c r="X21" i="104" s="1"/>
  <c r="U18" i="103"/>
  <c r="W17" i="103"/>
  <c r="X17" i="103" s="1"/>
  <c r="K53" i="96"/>
  <c r="M53" i="96" s="1"/>
  <c r="L53" i="95"/>
  <c r="R53" i="95" s="1"/>
  <c r="J53" i="95"/>
  <c r="L54" i="76"/>
  <c r="R54" i="76" s="1"/>
  <c r="J54" i="76"/>
  <c r="M59" i="105" l="1"/>
  <c r="X21" i="105"/>
  <c r="U23" i="105"/>
  <c r="W22" i="105"/>
  <c r="L60" i="105"/>
  <c r="R60" i="105" s="1"/>
  <c r="J60" i="105"/>
  <c r="J62" i="104"/>
  <c r="L62" i="104"/>
  <c r="R62" i="104" s="1"/>
  <c r="M60" i="103"/>
  <c r="L61" i="103" s="1"/>
  <c r="R61" i="103" s="1"/>
  <c r="W61" i="103" s="1"/>
  <c r="U23" i="104"/>
  <c r="W22" i="104"/>
  <c r="X22" i="104" s="1"/>
  <c r="U19" i="103"/>
  <c r="W18" i="103"/>
  <c r="X18" i="103" s="1"/>
  <c r="L54" i="96"/>
  <c r="R54" i="96" s="1"/>
  <c r="R67" i="96" s="1"/>
  <c r="J54" i="96"/>
  <c r="K53" i="95"/>
  <c r="M53" i="95" s="1"/>
  <c r="K54" i="76"/>
  <c r="M54" i="76" s="1"/>
  <c r="X22" i="105" l="1"/>
  <c r="J61" i="103"/>
  <c r="K61" i="103" s="1"/>
  <c r="K60" i="105"/>
  <c r="M60" i="105" s="1"/>
  <c r="W23" i="105"/>
  <c r="U24" i="105"/>
  <c r="K62" i="104"/>
  <c r="M62" i="104"/>
  <c r="M61" i="103"/>
  <c r="U24" i="104"/>
  <c r="W23" i="104"/>
  <c r="X23" i="104" s="1"/>
  <c r="U20" i="103"/>
  <c r="W19" i="103"/>
  <c r="X19" i="103" s="1"/>
  <c r="K54" i="96"/>
  <c r="K67" i="96" s="1"/>
  <c r="D29" i="96" s="1"/>
  <c r="J54" i="95"/>
  <c r="J73" i="95" s="1"/>
  <c r="L54" i="95"/>
  <c r="R54" i="95" s="1"/>
  <c r="R67" i="95" s="1"/>
  <c r="L55" i="76"/>
  <c r="R55" i="76" s="1"/>
  <c r="J55" i="76"/>
  <c r="X23" i="105" l="1"/>
  <c r="U25" i="105"/>
  <c r="W24" i="105"/>
  <c r="X24" i="105" s="1"/>
  <c r="J61" i="105"/>
  <c r="K61" i="105" s="1"/>
  <c r="L61" i="105"/>
  <c r="R61" i="105" s="1"/>
  <c r="W61" i="105" s="1"/>
  <c r="J63" i="104"/>
  <c r="L63" i="104"/>
  <c r="R63" i="104" s="1"/>
  <c r="J62" i="103"/>
  <c r="K62" i="103" s="1"/>
  <c r="L62" i="103"/>
  <c r="R62" i="103" s="1"/>
  <c r="W62" i="103" s="1"/>
  <c r="U25" i="104"/>
  <c r="W24" i="104"/>
  <c r="X24" i="104" s="1"/>
  <c r="U21" i="103"/>
  <c r="W20" i="103"/>
  <c r="X20" i="103" s="1"/>
  <c r="M54" i="96"/>
  <c r="F29" i="96"/>
  <c r="F34" i="96" s="1"/>
  <c r="F36" i="96" s="1"/>
  <c r="K54" i="95"/>
  <c r="K67" i="95" s="1"/>
  <c r="D29" i="95" s="1"/>
  <c r="K55" i="76"/>
  <c r="M55" i="76" s="1"/>
  <c r="M61" i="105" l="1"/>
  <c r="J62" i="105" s="1"/>
  <c r="K62" i="105" s="1"/>
  <c r="L62" i="105"/>
  <c r="R62" i="105" s="1"/>
  <c r="W62" i="105" s="1"/>
  <c r="W25" i="105"/>
  <c r="X25" i="105" s="1"/>
  <c r="U26" i="105"/>
  <c r="K63" i="104"/>
  <c r="M63" i="104" s="1"/>
  <c r="M62" i="103"/>
  <c r="U26" i="104"/>
  <c r="W25" i="104"/>
  <c r="X25" i="104" s="1"/>
  <c r="U22" i="103"/>
  <c r="W21" i="103"/>
  <c r="X21" i="103" s="1"/>
  <c r="F42" i="96"/>
  <c r="D40" i="23" s="1"/>
  <c r="H67" i="23" s="1"/>
  <c r="F35" i="96"/>
  <c r="G29" i="96"/>
  <c r="G34" i="96" s="1"/>
  <c r="G36" i="96" s="1"/>
  <c r="L55" i="96"/>
  <c r="R55" i="96" s="1"/>
  <c r="J55" i="96"/>
  <c r="M54" i="95"/>
  <c r="F29" i="95"/>
  <c r="F34" i="95" s="1"/>
  <c r="F36" i="95" s="1"/>
  <c r="F42" i="95" s="1"/>
  <c r="L56" i="76"/>
  <c r="R56" i="76" s="1"/>
  <c r="J56" i="76"/>
  <c r="M62" i="105" l="1"/>
  <c r="W26" i="105"/>
  <c r="X26" i="105" s="1"/>
  <c r="U27" i="105"/>
  <c r="L63" i="105"/>
  <c r="R63" i="105" s="1"/>
  <c r="W63" i="105" s="1"/>
  <c r="J63" i="105"/>
  <c r="J64" i="104"/>
  <c r="L64" i="104"/>
  <c r="R64" i="104" s="1"/>
  <c r="L63" i="103"/>
  <c r="R63" i="103" s="1"/>
  <c r="W63" i="103" s="1"/>
  <c r="J63" i="103"/>
  <c r="K63" i="103" s="1"/>
  <c r="U27" i="104"/>
  <c r="W26" i="104"/>
  <c r="X26" i="104" s="1"/>
  <c r="U23" i="103"/>
  <c r="W22" i="103"/>
  <c r="X22" i="103" s="1"/>
  <c r="G35" i="96"/>
  <c r="G42" i="96"/>
  <c r="Q57" i="96" s="1"/>
  <c r="K55" i="96"/>
  <c r="M55" i="96" s="1"/>
  <c r="F35" i="95"/>
  <c r="D35" i="23"/>
  <c r="H62" i="23" s="1"/>
  <c r="G29" i="95"/>
  <c r="G34" i="95" s="1"/>
  <c r="G36" i="95" s="1"/>
  <c r="J55" i="95"/>
  <c r="L55" i="95"/>
  <c r="R55" i="95" s="1"/>
  <c r="K56" i="76"/>
  <c r="M56" i="76" s="1"/>
  <c r="M63" i="103" l="1"/>
  <c r="K63" i="105"/>
  <c r="M63" i="105" s="1"/>
  <c r="W27" i="105"/>
  <c r="X27" i="105" s="1"/>
  <c r="U28" i="105"/>
  <c r="K64" i="104"/>
  <c r="M64" i="104" s="1"/>
  <c r="J64" i="103"/>
  <c r="K64" i="103" s="1"/>
  <c r="L64" i="103"/>
  <c r="R64" i="103" s="1"/>
  <c r="W64" i="103" s="1"/>
  <c r="U28" i="104"/>
  <c r="W27" i="104"/>
  <c r="X27" i="104" s="1"/>
  <c r="U24" i="103"/>
  <c r="W23" i="103"/>
  <c r="X23" i="103" s="1"/>
  <c r="Q9" i="96"/>
  <c r="Q45" i="96"/>
  <c r="Q66" i="96"/>
  <c r="Q108" i="96"/>
  <c r="Q60" i="96"/>
  <c r="Q7" i="96"/>
  <c r="U7" i="96" s="1"/>
  <c r="Q95" i="96"/>
  <c r="Q125" i="96"/>
  <c r="G43" i="96"/>
  <c r="H40" i="23" s="1"/>
  <c r="I67" i="23" s="1"/>
  <c r="Q35" i="96"/>
  <c r="Q25" i="96"/>
  <c r="Q18" i="96"/>
  <c r="Q32" i="96"/>
  <c r="Q16" i="96"/>
  <c r="Q61" i="96"/>
  <c r="Q36" i="96"/>
  <c r="Q126" i="96"/>
  <c r="Q26" i="96"/>
  <c r="Q30" i="96"/>
  <c r="Q33" i="96"/>
  <c r="Q14" i="96"/>
  <c r="Q37" i="96"/>
  <c r="Q123" i="96"/>
  <c r="Q29" i="96"/>
  <c r="Q48" i="96"/>
  <c r="Q15" i="96"/>
  <c r="Q53" i="96"/>
  <c r="Q20" i="96"/>
  <c r="Q19" i="96"/>
  <c r="Q17" i="96"/>
  <c r="Q11" i="96"/>
  <c r="Q40" i="96"/>
  <c r="Q62" i="96"/>
  <c r="Q24" i="96"/>
  <c r="Q49" i="96"/>
  <c r="Q43" i="96"/>
  <c r="Q31" i="96"/>
  <c r="Q52" i="96"/>
  <c r="Q22" i="96"/>
  <c r="Q13" i="96"/>
  <c r="Q10" i="96"/>
  <c r="Q83" i="96"/>
  <c r="Q34" i="96"/>
  <c r="Q63" i="96"/>
  <c r="Q39" i="96"/>
  <c r="Q28" i="96"/>
  <c r="Q8" i="96"/>
  <c r="Q91" i="96"/>
  <c r="Q38" i="96"/>
  <c r="Q64" i="96"/>
  <c r="Q120" i="96"/>
  <c r="Q96" i="96"/>
  <c r="Q44" i="96"/>
  <c r="Q23" i="96"/>
  <c r="Q42" i="96"/>
  <c r="Q21" i="96"/>
  <c r="Q12" i="96"/>
  <c r="Q27" i="96"/>
  <c r="Q51" i="96"/>
  <c r="Q86" i="96"/>
  <c r="Q46" i="96"/>
  <c r="Q50" i="96"/>
  <c r="Q54" i="96"/>
  <c r="Q55" i="96"/>
  <c r="Q56" i="96"/>
  <c r="Q47" i="96"/>
  <c r="Q124" i="96"/>
  <c r="F40" i="23"/>
  <c r="Q65" i="96"/>
  <c r="Q89" i="96"/>
  <c r="Q93" i="96"/>
  <c r="Q85" i="96"/>
  <c r="Q97" i="96"/>
  <c r="Q100" i="96"/>
  <c r="Q102" i="96"/>
  <c r="Q41" i="96"/>
  <c r="Q59" i="96"/>
  <c r="Q58" i="96"/>
  <c r="Q121" i="96"/>
  <c r="Q80" i="96"/>
  <c r="Q81" i="96"/>
  <c r="Q84" i="96"/>
  <c r="Q87" i="96"/>
  <c r="Q92" i="96"/>
  <c r="Q94" i="96"/>
  <c r="Q122" i="96"/>
  <c r="Q82" i="96"/>
  <c r="Q110" i="96"/>
  <c r="Q101" i="96"/>
  <c r="Q104" i="96"/>
  <c r="Q79" i="96"/>
  <c r="U79" i="96" s="1"/>
  <c r="W79" i="96" s="1"/>
  <c r="X79" i="96" s="1"/>
  <c r="Q106" i="96"/>
  <c r="Q88" i="96"/>
  <c r="Q98" i="96"/>
  <c r="Q103" i="96"/>
  <c r="Q113" i="96"/>
  <c r="Q109" i="96"/>
  <c r="Q115" i="96"/>
  <c r="Q114" i="96"/>
  <c r="Q90" i="96"/>
  <c r="Q99" i="96"/>
  <c r="Q105" i="96"/>
  <c r="Q117" i="96"/>
  <c r="Q118" i="96"/>
  <c r="Q119" i="96"/>
  <c r="Q116" i="96"/>
  <c r="Q107" i="96"/>
  <c r="Q111" i="96"/>
  <c r="Q112" i="96"/>
  <c r="L56" i="96"/>
  <c r="R56" i="96" s="1"/>
  <c r="J56" i="96"/>
  <c r="K55" i="95"/>
  <c r="M55" i="95" s="1"/>
  <c r="G35" i="95"/>
  <c r="G42" i="95"/>
  <c r="L57" i="76"/>
  <c r="R57" i="76" s="1"/>
  <c r="J57" i="76"/>
  <c r="J64" i="105" l="1"/>
  <c r="K64" i="105" s="1"/>
  <c r="L64" i="105"/>
  <c r="R64" i="105" s="1"/>
  <c r="W64" i="105" s="1"/>
  <c r="U29" i="105"/>
  <c r="W28" i="105"/>
  <c r="X28" i="105" s="1"/>
  <c r="L65" i="104"/>
  <c r="R65" i="104" s="1"/>
  <c r="J65" i="104"/>
  <c r="K65" i="104" s="1"/>
  <c r="M65" i="104" s="1"/>
  <c r="M64" i="103"/>
  <c r="U29" i="104"/>
  <c r="W28" i="104"/>
  <c r="X28" i="104" s="1"/>
  <c r="U25" i="103"/>
  <c r="W24" i="103"/>
  <c r="X24" i="103" s="1"/>
  <c r="Q15" i="95"/>
  <c r="F35" i="23"/>
  <c r="Q67" i="96"/>
  <c r="Q14" i="95"/>
  <c r="Q54" i="95"/>
  <c r="Q17" i="95"/>
  <c r="Q9" i="95"/>
  <c r="Q59" i="95"/>
  <c r="Q20" i="95"/>
  <c r="Q40" i="95"/>
  <c r="Q19" i="95"/>
  <c r="Q56" i="95"/>
  <c r="K56" i="96"/>
  <c r="M56" i="96" s="1"/>
  <c r="U8" i="96"/>
  <c r="W7" i="96"/>
  <c r="X7" i="96" s="1"/>
  <c r="U80" i="96"/>
  <c r="Q64" i="95"/>
  <c r="Q22" i="95"/>
  <c r="Q39" i="95"/>
  <c r="Q30" i="95"/>
  <c r="Q55" i="95"/>
  <c r="J56" i="95"/>
  <c r="L56" i="95"/>
  <c r="R56" i="95" s="1"/>
  <c r="Q46" i="95"/>
  <c r="Q66" i="95"/>
  <c r="Q36" i="95"/>
  <c r="Q26" i="95"/>
  <c r="Q42" i="95"/>
  <c r="Q62" i="95"/>
  <c r="Q58" i="95"/>
  <c r="Q51" i="95"/>
  <c r="Q8" i="95"/>
  <c r="Q27" i="95"/>
  <c r="Q16" i="95"/>
  <c r="Q7" i="95"/>
  <c r="Q41" i="95"/>
  <c r="Q43" i="95"/>
  <c r="Q28" i="95"/>
  <c r="Q32" i="95"/>
  <c r="Q45" i="95"/>
  <c r="Q25" i="95"/>
  <c r="Q53" i="95"/>
  <c r="Q44" i="95"/>
  <c r="Q61" i="95"/>
  <c r="Q60" i="95"/>
  <c r="Q65" i="95"/>
  <c r="Q37" i="95"/>
  <c r="Q24" i="95"/>
  <c r="Q38" i="95"/>
  <c r="Q34" i="95"/>
  <c r="Q31" i="95"/>
  <c r="G43" i="95"/>
  <c r="H35" i="23" s="1"/>
  <c r="I62" i="23" s="1"/>
  <c r="Q57" i="95"/>
  <c r="Q52" i="95"/>
  <c r="Q10" i="95"/>
  <c r="Q23" i="95"/>
  <c r="Q13" i="95"/>
  <c r="Q50" i="95"/>
  <c r="Q18" i="95"/>
  <c r="Q11" i="95"/>
  <c r="Q12" i="95"/>
  <c r="Q21" i="95"/>
  <c r="Q29" i="95"/>
  <c r="Q33" i="95"/>
  <c r="Q47" i="95"/>
  <c r="Q35" i="95"/>
  <c r="Q49" i="95"/>
  <c r="Q48" i="95"/>
  <c r="Q63" i="95"/>
  <c r="K57" i="76"/>
  <c r="M57" i="76" s="1"/>
  <c r="W29" i="105" l="1"/>
  <c r="X29" i="105" s="1"/>
  <c r="U30" i="105"/>
  <c r="M64" i="105"/>
  <c r="J66" i="104"/>
  <c r="K66" i="104" s="1"/>
  <c r="L66" i="104"/>
  <c r="R66" i="104" s="1"/>
  <c r="L65" i="103"/>
  <c r="R65" i="103" s="1"/>
  <c r="W65" i="103" s="1"/>
  <c r="J65" i="103"/>
  <c r="K65" i="103" s="1"/>
  <c r="U30" i="104"/>
  <c r="W29" i="104"/>
  <c r="X29" i="104" s="1"/>
  <c r="U26" i="103"/>
  <c r="W25" i="103"/>
  <c r="X25" i="103" s="1"/>
  <c r="O57" i="23"/>
  <c r="L57" i="96"/>
  <c r="R57" i="96" s="1"/>
  <c r="J57" i="96"/>
  <c r="U9" i="96"/>
  <c r="W8" i="96"/>
  <c r="X8" i="96" s="1"/>
  <c r="U81" i="96"/>
  <c r="W80" i="96"/>
  <c r="X80" i="96" s="1"/>
  <c r="Q67" i="95"/>
  <c r="U7" i="95"/>
  <c r="W7" i="95" s="1"/>
  <c r="X7" i="95" s="1"/>
  <c r="K56" i="95"/>
  <c r="M56" i="95" s="1"/>
  <c r="L58" i="76"/>
  <c r="R58" i="76" s="1"/>
  <c r="J58" i="76"/>
  <c r="W30" i="105" l="1"/>
  <c r="X30" i="105" s="1"/>
  <c r="U31" i="105"/>
  <c r="L65" i="105"/>
  <c r="R65" i="105" s="1"/>
  <c r="W65" i="105" s="1"/>
  <c r="J65" i="105"/>
  <c r="K65" i="105" s="1"/>
  <c r="M65" i="105" s="1"/>
  <c r="M66" i="104"/>
  <c r="M65" i="103"/>
  <c r="U31" i="104"/>
  <c r="W30" i="104"/>
  <c r="X30" i="104" s="1"/>
  <c r="U27" i="103"/>
  <c r="W26" i="103"/>
  <c r="X26" i="103" s="1"/>
  <c r="P57" i="23"/>
  <c r="Q57" i="23" s="1"/>
  <c r="S57" i="23" s="1"/>
  <c r="Y57" i="23" s="1"/>
  <c r="U82" i="96"/>
  <c r="W81" i="96"/>
  <c r="X81" i="96" s="1"/>
  <c r="K57" i="96"/>
  <c r="M57" i="96" s="1"/>
  <c r="U10" i="96"/>
  <c r="W9" i="96"/>
  <c r="X9" i="96" s="1"/>
  <c r="J57" i="95"/>
  <c r="L57" i="95"/>
  <c r="R57" i="95" s="1"/>
  <c r="U8" i="95"/>
  <c r="K58" i="76"/>
  <c r="M58" i="76" s="1"/>
  <c r="U32" i="105" l="1"/>
  <c r="W31" i="105"/>
  <c r="X31" i="105" s="1"/>
  <c r="L66" i="105"/>
  <c r="R66" i="105" s="1"/>
  <c r="W66" i="105" s="1"/>
  <c r="J66" i="105"/>
  <c r="K66" i="105" s="1"/>
  <c r="L66" i="103"/>
  <c r="R66" i="103" s="1"/>
  <c r="W66" i="103" s="1"/>
  <c r="J66" i="103"/>
  <c r="K66" i="103" s="1"/>
  <c r="M66" i="103" s="1"/>
  <c r="U32" i="104"/>
  <c r="W31" i="104"/>
  <c r="X31" i="104" s="1"/>
  <c r="U28" i="103"/>
  <c r="W27" i="103"/>
  <c r="X27" i="103" s="1"/>
  <c r="L58" i="96"/>
  <c r="R58" i="96" s="1"/>
  <c r="J58" i="96"/>
  <c r="U11" i="96"/>
  <c r="W10" i="96"/>
  <c r="X10" i="96" s="1"/>
  <c r="U83" i="96"/>
  <c r="W82" i="96"/>
  <c r="X82" i="96" s="1"/>
  <c r="U9" i="95"/>
  <c r="W8" i="95"/>
  <c r="X8" i="95" s="1"/>
  <c r="K57" i="95"/>
  <c r="M57" i="95" s="1"/>
  <c r="L59" i="76"/>
  <c r="R59" i="76" s="1"/>
  <c r="J59" i="76"/>
  <c r="M66" i="105" l="1"/>
  <c r="U33" i="105"/>
  <c r="W32" i="105"/>
  <c r="X32" i="105" s="1"/>
  <c r="U33" i="104"/>
  <c r="W32" i="104"/>
  <c r="X32" i="104" s="1"/>
  <c r="U29" i="103"/>
  <c r="W28" i="103"/>
  <c r="X28" i="103" s="1"/>
  <c r="U84" i="96"/>
  <c r="W83" i="96"/>
  <c r="X83" i="96" s="1"/>
  <c r="K58" i="96"/>
  <c r="M58" i="96" s="1"/>
  <c r="U12" i="96"/>
  <c r="W11" i="96"/>
  <c r="X11" i="96" s="1"/>
  <c r="J58" i="95"/>
  <c r="L58" i="95"/>
  <c r="R58" i="95" s="1"/>
  <c r="U10" i="95"/>
  <c r="W9" i="95"/>
  <c r="X9" i="95" s="1"/>
  <c r="K59" i="76"/>
  <c r="M59" i="76" s="1"/>
  <c r="W33" i="105" l="1"/>
  <c r="X33" i="105" s="1"/>
  <c r="U34" i="105"/>
  <c r="U34" i="104"/>
  <c r="W33" i="104"/>
  <c r="X33" i="104" s="1"/>
  <c r="U30" i="103"/>
  <c r="W29" i="103"/>
  <c r="X29" i="103" s="1"/>
  <c r="L59" i="96"/>
  <c r="R59" i="96" s="1"/>
  <c r="J59" i="96"/>
  <c r="U13" i="96"/>
  <c r="W12" i="96"/>
  <c r="X12" i="96" s="1"/>
  <c r="U85" i="96"/>
  <c r="W84" i="96"/>
  <c r="X84" i="96" s="1"/>
  <c r="U11" i="95"/>
  <c r="W10" i="95"/>
  <c r="X10" i="95" s="1"/>
  <c r="K58" i="95"/>
  <c r="M58" i="95" s="1"/>
  <c r="L60" i="76"/>
  <c r="R60" i="76" s="1"/>
  <c r="J60" i="76"/>
  <c r="U35" i="105" l="1"/>
  <c r="W34" i="105"/>
  <c r="X34" i="105" s="1"/>
  <c r="U35" i="104"/>
  <c r="W34" i="104"/>
  <c r="X34" i="104" s="1"/>
  <c r="U31" i="103"/>
  <c r="W30" i="103"/>
  <c r="X30" i="103" s="1"/>
  <c r="U86" i="96"/>
  <c r="W85" i="96"/>
  <c r="X85" i="96" s="1"/>
  <c r="U14" i="96"/>
  <c r="W13" i="96"/>
  <c r="X13" i="96" s="1"/>
  <c r="K59" i="96"/>
  <c r="M59" i="96" s="1"/>
  <c r="L59" i="95"/>
  <c r="R59" i="95" s="1"/>
  <c r="J59" i="95"/>
  <c r="U12" i="95"/>
  <c r="W11" i="95"/>
  <c r="X11" i="95" s="1"/>
  <c r="K60" i="76"/>
  <c r="M60" i="76" s="1"/>
  <c r="U36" i="105" l="1"/>
  <c r="W35" i="105"/>
  <c r="X35" i="105" s="1"/>
  <c r="U36" i="104"/>
  <c r="W35" i="104"/>
  <c r="X35" i="104" s="1"/>
  <c r="U32" i="103"/>
  <c r="W31" i="103"/>
  <c r="X31" i="103" s="1"/>
  <c r="J60" i="96"/>
  <c r="L60" i="96"/>
  <c r="R60" i="96" s="1"/>
  <c r="U15" i="96"/>
  <c r="W14" i="96"/>
  <c r="X14" i="96" s="1"/>
  <c r="U87" i="96"/>
  <c r="W86" i="96"/>
  <c r="X86" i="96" s="1"/>
  <c r="U13" i="95"/>
  <c r="W12" i="95"/>
  <c r="X12" i="95" s="1"/>
  <c r="K59" i="95"/>
  <c r="M59" i="95" s="1"/>
  <c r="L61" i="76"/>
  <c r="R61" i="76" s="1"/>
  <c r="J61" i="76"/>
  <c r="W36" i="105" l="1"/>
  <c r="X36" i="105" s="1"/>
  <c r="U37" i="105"/>
  <c r="W36" i="104"/>
  <c r="X36" i="104" s="1"/>
  <c r="U37" i="104"/>
  <c r="U33" i="103"/>
  <c r="W32" i="103"/>
  <c r="X32" i="103" s="1"/>
  <c r="K60" i="96"/>
  <c r="M60" i="96" s="1"/>
  <c r="U88" i="96"/>
  <c r="W87" i="96"/>
  <c r="X87" i="96" s="1"/>
  <c r="U16" i="96"/>
  <c r="W15" i="96"/>
  <c r="X15" i="96" s="1"/>
  <c r="L60" i="95"/>
  <c r="R60" i="95" s="1"/>
  <c r="J60" i="95"/>
  <c r="U14" i="95"/>
  <c r="W13" i="95"/>
  <c r="X13" i="95" s="1"/>
  <c r="K61" i="76"/>
  <c r="M61" i="76" s="1"/>
  <c r="U38" i="105" l="1"/>
  <c r="W37" i="105"/>
  <c r="X37" i="105" s="1"/>
  <c r="U38" i="104"/>
  <c r="W37" i="104"/>
  <c r="X37" i="104" s="1"/>
  <c r="U34" i="103"/>
  <c r="W33" i="103"/>
  <c r="X33" i="103" s="1"/>
  <c r="J61" i="96"/>
  <c r="L61" i="96"/>
  <c r="R61" i="96" s="1"/>
  <c r="U17" i="96"/>
  <c r="W16" i="96"/>
  <c r="X16" i="96" s="1"/>
  <c r="U89" i="96"/>
  <c r="W88" i="96"/>
  <c r="X88" i="96" s="1"/>
  <c r="U15" i="95"/>
  <c r="W14" i="95"/>
  <c r="X14" i="95" s="1"/>
  <c r="K60" i="95"/>
  <c r="M60" i="95" s="1"/>
  <c r="L62" i="76"/>
  <c r="R62" i="76" s="1"/>
  <c r="J62" i="76"/>
  <c r="U39" i="105" l="1"/>
  <c r="W38" i="105"/>
  <c r="X38" i="105" s="1"/>
  <c r="U39" i="104"/>
  <c r="W38" i="104"/>
  <c r="X38" i="104" s="1"/>
  <c r="U35" i="103"/>
  <c r="W34" i="103"/>
  <c r="X34" i="103" s="1"/>
  <c r="K61" i="96"/>
  <c r="M61" i="96" s="1"/>
  <c r="U90" i="96"/>
  <c r="W89" i="96"/>
  <c r="X89" i="96" s="1"/>
  <c r="U18" i="96"/>
  <c r="W17" i="96"/>
  <c r="X17" i="96" s="1"/>
  <c r="U16" i="95"/>
  <c r="W15" i="95"/>
  <c r="X15" i="95" s="1"/>
  <c r="J61" i="95"/>
  <c r="L61" i="95"/>
  <c r="R61" i="95" s="1"/>
  <c r="W61" i="95" s="1"/>
  <c r="K62" i="76"/>
  <c r="M62" i="76" s="1"/>
  <c r="U40" i="105" l="1"/>
  <c r="W39" i="105"/>
  <c r="X39" i="105" s="1"/>
  <c r="U40" i="104"/>
  <c r="W39" i="104"/>
  <c r="X39" i="104" s="1"/>
  <c r="U36" i="103"/>
  <c r="W35" i="103"/>
  <c r="X35" i="103" s="1"/>
  <c r="U19" i="96"/>
  <c r="W18" i="96"/>
  <c r="X18" i="96" s="1"/>
  <c r="J62" i="96"/>
  <c r="L62" i="96"/>
  <c r="R62" i="96" s="1"/>
  <c r="U91" i="96"/>
  <c r="W90" i="96"/>
  <c r="X90" i="96" s="1"/>
  <c r="K61" i="95"/>
  <c r="M61" i="95" s="1"/>
  <c r="U17" i="95"/>
  <c r="W16" i="95"/>
  <c r="X16" i="95" s="1"/>
  <c r="L63" i="76"/>
  <c r="R63" i="76" s="1"/>
  <c r="J63" i="76"/>
  <c r="U41" i="105" l="1"/>
  <c r="W40" i="105"/>
  <c r="X40" i="105" s="1"/>
  <c r="W40" i="104"/>
  <c r="X40" i="104" s="1"/>
  <c r="U41" i="104"/>
  <c r="U37" i="103"/>
  <c r="W36" i="103"/>
  <c r="X36" i="103" s="1"/>
  <c r="U92" i="96"/>
  <c r="W91" i="96"/>
  <c r="X91" i="96" s="1"/>
  <c r="U20" i="96"/>
  <c r="W19" i="96"/>
  <c r="X19" i="96" s="1"/>
  <c r="K62" i="96"/>
  <c r="M62" i="96" s="1"/>
  <c r="J62" i="95"/>
  <c r="L62" i="95"/>
  <c r="R62" i="95" s="1"/>
  <c r="W62" i="95" s="1"/>
  <c r="U18" i="95"/>
  <c r="W17" i="95"/>
  <c r="X17" i="95" s="1"/>
  <c r="K63" i="76"/>
  <c r="M63" i="76" s="1"/>
  <c r="U42" i="105" l="1"/>
  <c r="W41" i="105"/>
  <c r="X41" i="105" s="1"/>
  <c r="U42" i="104"/>
  <c r="W41" i="104"/>
  <c r="X41" i="104" s="1"/>
  <c r="U38" i="103"/>
  <c r="W37" i="103"/>
  <c r="X37" i="103" s="1"/>
  <c r="J63" i="96"/>
  <c r="L63" i="96"/>
  <c r="R63" i="96" s="1"/>
  <c r="U21" i="96"/>
  <c r="W20" i="96"/>
  <c r="X20" i="96" s="1"/>
  <c r="U93" i="96"/>
  <c r="W92" i="96"/>
  <c r="X92" i="96" s="1"/>
  <c r="U19" i="95"/>
  <c r="W18" i="95"/>
  <c r="X18" i="95" s="1"/>
  <c r="K62" i="95"/>
  <c r="M62" i="95" s="1"/>
  <c r="L64" i="76"/>
  <c r="R64" i="76" s="1"/>
  <c r="J64" i="76"/>
  <c r="U43" i="105" l="1"/>
  <c r="W42" i="105"/>
  <c r="X42" i="105" s="1"/>
  <c r="U43" i="104"/>
  <c r="W42" i="104"/>
  <c r="X42" i="104" s="1"/>
  <c r="U39" i="103"/>
  <c r="W38" i="103"/>
  <c r="X38" i="103" s="1"/>
  <c r="U22" i="96"/>
  <c r="W21" i="96"/>
  <c r="X21" i="96" s="1"/>
  <c r="U94" i="96"/>
  <c r="W93" i="96"/>
  <c r="X93" i="96" s="1"/>
  <c r="K63" i="96"/>
  <c r="M63" i="96" s="1"/>
  <c r="J63" i="95"/>
  <c r="L63" i="95"/>
  <c r="R63" i="95" s="1"/>
  <c r="W63" i="95" s="1"/>
  <c r="U20" i="95"/>
  <c r="W19" i="95"/>
  <c r="X19" i="95" s="1"/>
  <c r="K64" i="76"/>
  <c r="M64" i="76" s="1"/>
  <c r="U44" i="105" l="1"/>
  <c r="W43" i="105"/>
  <c r="X43" i="105" s="1"/>
  <c r="U44" i="104"/>
  <c r="W43" i="104"/>
  <c r="X43" i="104" s="1"/>
  <c r="U40" i="103"/>
  <c r="W39" i="103"/>
  <c r="X39" i="103" s="1"/>
  <c r="U23" i="96"/>
  <c r="W22" i="96"/>
  <c r="X22" i="96" s="1"/>
  <c r="J64" i="96"/>
  <c r="L64" i="96"/>
  <c r="R64" i="96" s="1"/>
  <c r="U95" i="96"/>
  <c r="W94" i="96"/>
  <c r="X94" i="96" s="1"/>
  <c r="U21" i="95"/>
  <c r="W20" i="95"/>
  <c r="X20" i="95" s="1"/>
  <c r="K63" i="95"/>
  <c r="M63" i="95" s="1"/>
  <c r="L65" i="76"/>
  <c r="R65" i="76" s="1"/>
  <c r="J65" i="76"/>
  <c r="U45" i="105" l="1"/>
  <c r="W44" i="105"/>
  <c r="X44" i="105" s="1"/>
  <c r="W44" i="104"/>
  <c r="X44" i="104" s="1"/>
  <c r="U45" i="104"/>
  <c r="U41" i="103"/>
  <c r="W40" i="103"/>
  <c r="X40" i="103" s="1"/>
  <c r="K64" i="96"/>
  <c r="M64" i="96" s="1"/>
  <c r="U24" i="96"/>
  <c r="W23" i="96"/>
  <c r="X23" i="96" s="1"/>
  <c r="U96" i="96"/>
  <c r="W95" i="96"/>
  <c r="X95" i="96" s="1"/>
  <c r="J64" i="95"/>
  <c r="L64" i="95"/>
  <c r="R64" i="95" s="1"/>
  <c r="W64" i="95" s="1"/>
  <c r="U22" i="95"/>
  <c r="W21" i="95"/>
  <c r="X21" i="95" s="1"/>
  <c r="K65" i="76"/>
  <c r="M65" i="76" s="1"/>
  <c r="U46" i="105" l="1"/>
  <c r="W45" i="105"/>
  <c r="X45" i="105" s="1"/>
  <c r="W45" i="104"/>
  <c r="X45" i="104" s="1"/>
  <c r="U46" i="104"/>
  <c r="U42" i="103"/>
  <c r="W41" i="103"/>
  <c r="X41" i="103" s="1"/>
  <c r="J65" i="96"/>
  <c r="L65" i="96"/>
  <c r="R65" i="96" s="1"/>
  <c r="U97" i="96"/>
  <c r="W96" i="96"/>
  <c r="X96" i="96" s="1"/>
  <c r="U25" i="96"/>
  <c r="W24" i="96"/>
  <c r="X24" i="96" s="1"/>
  <c r="U23" i="95"/>
  <c r="W22" i="95"/>
  <c r="X22" i="95" s="1"/>
  <c r="K64" i="95"/>
  <c r="M64" i="95" s="1"/>
  <c r="L66" i="76"/>
  <c r="R66" i="76" s="1"/>
  <c r="J66" i="76"/>
  <c r="U47" i="105" l="1"/>
  <c r="W46" i="105"/>
  <c r="X46" i="105" s="1"/>
  <c r="U47" i="104"/>
  <c r="W46" i="104"/>
  <c r="X46" i="104" s="1"/>
  <c r="U43" i="103"/>
  <c r="W42" i="103"/>
  <c r="X42" i="103" s="1"/>
  <c r="U98" i="96"/>
  <c r="W97" i="96"/>
  <c r="X97" i="96" s="1"/>
  <c r="U26" i="96"/>
  <c r="W25" i="96"/>
  <c r="X25" i="96" s="1"/>
  <c r="K65" i="96"/>
  <c r="M65" i="96" s="1"/>
  <c r="J65" i="95"/>
  <c r="L65" i="95"/>
  <c r="R65" i="95" s="1"/>
  <c r="W65" i="95" s="1"/>
  <c r="U24" i="95"/>
  <c r="W23" i="95"/>
  <c r="X23" i="95" s="1"/>
  <c r="K66" i="76"/>
  <c r="M66" i="76" s="1"/>
  <c r="U48" i="105" l="1"/>
  <c r="W47" i="105"/>
  <c r="X47" i="105" s="1"/>
  <c r="U48" i="104"/>
  <c r="W47" i="104"/>
  <c r="X47" i="104" s="1"/>
  <c r="U44" i="103"/>
  <c r="W43" i="103"/>
  <c r="X43" i="103" s="1"/>
  <c r="J66" i="96"/>
  <c r="L66" i="96"/>
  <c r="R66" i="96" s="1"/>
  <c r="U99" i="96"/>
  <c r="W98" i="96"/>
  <c r="X98" i="96" s="1"/>
  <c r="U27" i="96"/>
  <c r="W26" i="96"/>
  <c r="X26" i="96" s="1"/>
  <c r="K65" i="95"/>
  <c r="M65" i="95" s="1"/>
  <c r="U25" i="95"/>
  <c r="W24" i="95"/>
  <c r="X24" i="95" s="1"/>
  <c r="C8" i="72"/>
  <c r="C29" i="72" s="1"/>
  <c r="C9" i="72"/>
  <c r="C30" i="72" s="1"/>
  <c r="C10" i="72"/>
  <c r="C11" i="72"/>
  <c r="C28" i="72" s="1"/>
  <c r="C12" i="72"/>
  <c r="F9" i="72"/>
  <c r="F77" i="72" s="1"/>
  <c r="R122" i="72"/>
  <c r="M122" i="72"/>
  <c r="R121" i="72"/>
  <c r="M121" i="72"/>
  <c r="R120" i="72"/>
  <c r="M120" i="72"/>
  <c r="R119" i="72"/>
  <c r="M119" i="72"/>
  <c r="R118" i="72"/>
  <c r="M118" i="72"/>
  <c r="R117" i="72"/>
  <c r="M117" i="72"/>
  <c r="R116" i="72"/>
  <c r="M116" i="72"/>
  <c r="R115" i="72"/>
  <c r="M115" i="72"/>
  <c r="R114" i="72"/>
  <c r="M114" i="72"/>
  <c r="R113" i="72"/>
  <c r="M113" i="72"/>
  <c r="R112" i="72"/>
  <c r="M112" i="72"/>
  <c r="R111" i="72"/>
  <c r="M111" i="72"/>
  <c r="A111" i="72"/>
  <c r="C101" i="72"/>
  <c r="C100" i="72"/>
  <c r="C99" i="72"/>
  <c r="E96" i="72"/>
  <c r="A96" i="72"/>
  <c r="A97" i="72" s="1"/>
  <c r="A98" i="72" s="1"/>
  <c r="A99" i="72" s="1"/>
  <c r="A100" i="72" s="1"/>
  <c r="A101" i="72" s="1"/>
  <c r="A102" i="72" s="1"/>
  <c r="A103" i="72" s="1"/>
  <c r="A104" i="72" s="1"/>
  <c r="D87" i="72"/>
  <c r="D88" i="72" s="1"/>
  <c r="D89" i="72" s="1"/>
  <c r="D90" i="72" s="1"/>
  <c r="D91" i="72" s="1"/>
  <c r="E91" i="72" s="1"/>
  <c r="B87" i="72"/>
  <c r="B88" i="72" s="1"/>
  <c r="B89" i="72" s="1"/>
  <c r="B90" i="72" s="1"/>
  <c r="B91" i="72" s="1"/>
  <c r="A87" i="72"/>
  <c r="A88" i="72" s="1"/>
  <c r="A89" i="72" s="1"/>
  <c r="A90" i="72" s="1"/>
  <c r="A91" i="72" s="1"/>
  <c r="O76" i="72"/>
  <c r="O77" i="72" s="1"/>
  <c r="O78" i="72" s="1"/>
  <c r="O79" i="72" s="1"/>
  <c r="O80" i="72" s="1"/>
  <c r="O81" i="72" s="1"/>
  <c r="O82" i="72" s="1"/>
  <c r="O83" i="72" s="1"/>
  <c r="O84" i="72" s="1"/>
  <c r="O85" i="72" s="1"/>
  <c r="O86" i="72" s="1"/>
  <c r="O87" i="72" s="1"/>
  <c r="O88" i="72" s="1"/>
  <c r="O89" i="72" s="1"/>
  <c r="O90" i="72" s="1"/>
  <c r="O91" i="72" s="1"/>
  <c r="O92" i="72" s="1"/>
  <c r="O93" i="72" s="1"/>
  <c r="O94" i="72" s="1"/>
  <c r="O95" i="72" s="1"/>
  <c r="O96" i="72" s="1"/>
  <c r="O97" i="72" s="1"/>
  <c r="O98" i="72" s="1"/>
  <c r="O99" i="72" s="1"/>
  <c r="O100" i="72" s="1"/>
  <c r="O101" i="72" s="1"/>
  <c r="O102" i="72" s="1"/>
  <c r="O103" i="72" s="1"/>
  <c r="O104" i="72" s="1"/>
  <c r="O105" i="72" s="1"/>
  <c r="O106" i="72" s="1"/>
  <c r="O107" i="72" s="1"/>
  <c r="O108" i="72" s="1"/>
  <c r="O109" i="72" s="1"/>
  <c r="O110" i="72" s="1"/>
  <c r="O111" i="72" s="1"/>
  <c r="O112" i="72" s="1"/>
  <c r="O113" i="72" s="1"/>
  <c r="O114" i="72" s="1"/>
  <c r="O115" i="72" s="1"/>
  <c r="O116" i="72" s="1"/>
  <c r="O117" i="72" s="1"/>
  <c r="O118" i="72" s="1"/>
  <c r="O119" i="72" s="1"/>
  <c r="O120" i="72" s="1"/>
  <c r="O121" i="72" s="1"/>
  <c r="O122" i="72" s="1"/>
  <c r="I76" i="72"/>
  <c r="I77" i="72" s="1"/>
  <c r="I78" i="72" s="1"/>
  <c r="I79" i="72" s="1"/>
  <c r="I80" i="72" s="1"/>
  <c r="I81" i="72" s="1"/>
  <c r="I82" i="72" s="1"/>
  <c r="I83" i="72" s="1"/>
  <c r="I84" i="72" s="1"/>
  <c r="I85" i="72" s="1"/>
  <c r="I86" i="72" s="1"/>
  <c r="I87" i="72" s="1"/>
  <c r="I88" i="72" s="1"/>
  <c r="I89" i="72" s="1"/>
  <c r="I90" i="72" s="1"/>
  <c r="I91" i="72" s="1"/>
  <c r="I92" i="72" s="1"/>
  <c r="I93" i="72" s="1"/>
  <c r="I94" i="72" s="1"/>
  <c r="I95" i="72" s="1"/>
  <c r="I96" i="72" s="1"/>
  <c r="I97" i="72" s="1"/>
  <c r="I98" i="72" s="1"/>
  <c r="I99" i="72" s="1"/>
  <c r="I100" i="72" s="1"/>
  <c r="I101" i="72" s="1"/>
  <c r="I102" i="72" s="1"/>
  <c r="I103" i="72" s="1"/>
  <c r="I104" i="72" s="1"/>
  <c r="I105" i="72" s="1"/>
  <c r="I106" i="72" s="1"/>
  <c r="I107" i="72" s="1"/>
  <c r="I108" i="72" s="1"/>
  <c r="I109" i="72" s="1"/>
  <c r="I110" i="72" s="1"/>
  <c r="I111" i="72" s="1"/>
  <c r="I112" i="72" s="1"/>
  <c r="I113" i="72" s="1"/>
  <c r="I114" i="72" s="1"/>
  <c r="I115" i="72" s="1"/>
  <c r="I116" i="72" s="1"/>
  <c r="I117" i="72" s="1"/>
  <c r="I118" i="72" s="1"/>
  <c r="I119" i="72" s="1"/>
  <c r="I120" i="72" s="1"/>
  <c r="I121" i="72" s="1"/>
  <c r="I122" i="72" s="1"/>
  <c r="A76" i="72"/>
  <c r="A77" i="72" s="1"/>
  <c r="A78" i="72" s="1"/>
  <c r="A79" i="72" s="1"/>
  <c r="A80" i="72" s="1"/>
  <c r="A81" i="72" s="1"/>
  <c r="A82" i="72" s="1"/>
  <c r="A71" i="72"/>
  <c r="T66" i="72"/>
  <c r="T65" i="72"/>
  <c r="T64" i="72"/>
  <c r="T63" i="72"/>
  <c r="T62" i="72"/>
  <c r="T61" i="72"/>
  <c r="T59" i="72"/>
  <c r="T58" i="72"/>
  <c r="T57" i="72"/>
  <c r="T56" i="72"/>
  <c r="A43" i="72"/>
  <c r="A28" i="72"/>
  <c r="A29" i="72" s="1"/>
  <c r="A30" i="72" s="1"/>
  <c r="A31" i="72" s="1"/>
  <c r="A32" i="72" s="1"/>
  <c r="A33" i="72" s="1"/>
  <c r="A34" i="72" s="1"/>
  <c r="A35" i="72" s="1"/>
  <c r="A36" i="72" s="1"/>
  <c r="D19" i="72"/>
  <c r="D20" i="72" s="1"/>
  <c r="D21" i="72" s="1"/>
  <c r="D22" i="72" s="1"/>
  <c r="D23" i="72" s="1"/>
  <c r="E23" i="72" s="1"/>
  <c r="B19" i="72"/>
  <c r="B20" i="72" s="1"/>
  <c r="A19" i="72"/>
  <c r="A20" i="72" s="1"/>
  <c r="A21" i="72" s="1"/>
  <c r="A22" i="72" s="1"/>
  <c r="A23" i="72" s="1"/>
  <c r="O8" i="72"/>
  <c r="O9" i="72" s="1"/>
  <c r="O10" i="72" s="1"/>
  <c r="O11" i="72" s="1"/>
  <c r="O12" i="72" s="1"/>
  <c r="O13" i="72" s="1"/>
  <c r="O14" i="72" s="1"/>
  <c r="O15" i="72" s="1"/>
  <c r="O16" i="72" s="1"/>
  <c r="O17" i="72" s="1"/>
  <c r="I8" i="72"/>
  <c r="I9" i="72" s="1"/>
  <c r="I10" i="72" s="1"/>
  <c r="I11" i="72" s="1"/>
  <c r="I12" i="72" s="1"/>
  <c r="I13" i="72" s="1"/>
  <c r="I14" i="72" s="1"/>
  <c r="I15" i="72" s="1"/>
  <c r="I16" i="72" s="1"/>
  <c r="I17" i="72" s="1"/>
  <c r="I18" i="72" s="1"/>
  <c r="I19" i="72" s="1"/>
  <c r="I20" i="72" s="1"/>
  <c r="I21" i="72" s="1"/>
  <c r="I22" i="72" s="1"/>
  <c r="I23" i="72" s="1"/>
  <c r="I24" i="72" s="1"/>
  <c r="I25" i="72" s="1"/>
  <c r="I26" i="72" s="1"/>
  <c r="I27" i="72" s="1"/>
  <c r="I28" i="72" s="1"/>
  <c r="I29" i="72" s="1"/>
  <c r="I30" i="72" s="1"/>
  <c r="I31" i="72" s="1"/>
  <c r="I32" i="72" s="1"/>
  <c r="I33" i="72" s="1"/>
  <c r="I34" i="72" s="1"/>
  <c r="I35" i="72" s="1"/>
  <c r="I36" i="72" s="1"/>
  <c r="I37" i="72" s="1"/>
  <c r="I38" i="72" s="1"/>
  <c r="I39" i="72" s="1"/>
  <c r="I40" i="72" s="1"/>
  <c r="I41" i="72" s="1"/>
  <c r="I42" i="72" s="1"/>
  <c r="I43" i="72" s="1"/>
  <c r="I44" i="72" s="1"/>
  <c r="I45" i="72" s="1"/>
  <c r="I46" i="72" s="1"/>
  <c r="I47" i="72" s="1"/>
  <c r="I48" i="72" s="1"/>
  <c r="I49" i="72" s="1"/>
  <c r="I50" i="72" s="1"/>
  <c r="I51" i="72" s="1"/>
  <c r="I52" i="72" s="1"/>
  <c r="I53" i="72" s="1"/>
  <c r="I54" i="72" s="1"/>
  <c r="I55" i="72" s="1"/>
  <c r="I56" i="72" s="1"/>
  <c r="I57" i="72" s="1"/>
  <c r="I58" i="72" s="1"/>
  <c r="I59" i="72" s="1"/>
  <c r="I60" i="72" s="1"/>
  <c r="I61" i="72" s="1"/>
  <c r="I62" i="72" s="1"/>
  <c r="I63" i="72" s="1"/>
  <c r="I64" i="72" s="1"/>
  <c r="I65" i="72" s="1"/>
  <c r="I66" i="72" s="1"/>
  <c r="A8" i="72"/>
  <c r="A9" i="72" s="1"/>
  <c r="A10" i="72" s="1"/>
  <c r="A11" i="72" s="1"/>
  <c r="A12" i="72" s="1"/>
  <c r="A13" i="72" s="1"/>
  <c r="A14" i="72" s="1"/>
  <c r="P7" i="72"/>
  <c r="P8" i="72" s="1"/>
  <c r="P9" i="72" s="1"/>
  <c r="P10" i="72" s="1"/>
  <c r="P11" i="72" s="1"/>
  <c r="P12" i="72" s="1"/>
  <c r="P13" i="72" s="1"/>
  <c r="P14" i="72" s="1"/>
  <c r="P15" i="72" s="1"/>
  <c r="P16" i="72" s="1"/>
  <c r="P17" i="72" s="1"/>
  <c r="P18" i="72" s="1"/>
  <c r="P19" i="72" s="1"/>
  <c r="P20" i="72" s="1"/>
  <c r="P21" i="72" s="1"/>
  <c r="P22" i="72" s="1"/>
  <c r="P23" i="72" s="1"/>
  <c r="P24" i="72" s="1"/>
  <c r="P25" i="72" s="1"/>
  <c r="P26" i="72" s="1"/>
  <c r="P27" i="72" s="1"/>
  <c r="P28" i="72" s="1"/>
  <c r="P29" i="72" s="1"/>
  <c r="P30" i="72" s="1"/>
  <c r="P31" i="72" s="1"/>
  <c r="P32" i="72" s="1"/>
  <c r="P33" i="72" s="1"/>
  <c r="P34" i="72" s="1"/>
  <c r="P35" i="72" s="1"/>
  <c r="P36" i="72" s="1"/>
  <c r="P37" i="72" s="1"/>
  <c r="P38" i="72" s="1"/>
  <c r="P39" i="72" s="1"/>
  <c r="P40" i="72" s="1"/>
  <c r="P41" i="72" s="1"/>
  <c r="P42" i="72" s="1"/>
  <c r="P43" i="72" s="1"/>
  <c r="P44" i="72" s="1"/>
  <c r="P45" i="72" s="1"/>
  <c r="P46" i="72" s="1"/>
  <c r="P47" i="72" s="1"/>
  <c r="P48" i="72" s="1"/>
  <c r="P49" i="72" s="1"/>
  <c r="P50" i="72" s="1"/>
  <c r="P51" i="72" s="1"/>
  <c r="P52" i="72" s="1"/>
  <c r="P53" i="72" s="1"/>
  <c r="P54" i="72" s="1"/>
  <c r="P55" i="72" s="1"/>
  <c r="P56" i="72" s="1"/>
  <c r="P57" i="72" s="1"/>
  <c r="P58" i="72" s="1"/>
  <c r="P59" i="72" s="1"/>
  <c r="P60" i="72" s="1"/>
  <c r="P61" i="72" s="1"/>
  <c r="P62" i="72" s="1"/>
  <c r="P63" i="72" s="1"/>
  <c r="P64" i="72" s="1"/>
  <c r="P65" i="72" s="1"/>
  <c r="P66" i="72" s="1"/>
  <c r="C79" i="71"/>
  <c r="C96" i="71" s="1"/>
  <c r="F77" i="71"/>
  <c r="R122" i="71"/>
  <c r="M122" i="71"/>
  <c r="R121" i="71"/>
  <c r="M121" i="71"/>
  <c r="R120" i="71"/>
  <c r="M120" i="71"/>
  <c r="R119" i="71"/>
  <c r="M119" i="71"/>
  <c r="R118" i="71"/>
  <c r="M118" i="71"/>
  <c r="R117" i="71"/>
  <c r="M117" i="71"/>
  <c r="R116" i="71"/>
  <c r="M116" i="71"/>
  <c r="R115" i="71"/>
  <c r="M115" i="71"/>
  <c r="R114" i="71"/>
  <c r="M114" i="71"/>
  <c r="R113" i="71"/>
  <c r="M113" i="71"/>
  <c r="R112" i="71"/>
  <c r="M112" i="71"/>
  <c r="R111" i="71"/>
  <c r="M111" i="71"/>
  <c r="A111" i="71"/>
  <c r="C101" i="71"/>
  <c r="C100" i="71"/>
  <c r="C99" i="71"/>
  <c r="E96" i="71"/>
  <c r="A96" i="71"/>
  <c r="A97" i="71" s="1"/>
  <c r="A98" i="71" s="1"/>
  <c r="A99" i="71" s="1"/>
  <c r="A100" i="71" s="1"/>
  <c r="A101" i="71" s="1"/>
  <c r="A102" i="71" s="1"/>
  <c r="A103" i="71" s="1"/>
  <c r="A104" i="71" s="1"/>
  <c r="D87" i="71"/>
  <c r="D88" i="71" s="1"/>
  <c r="D89" i="71" s="1"/>
  <c r="D90" i="71" s="1"/>
  <c r="D91" i="71" s="1"/>
  <c r="E91" i="71" s="1"/>
  <c r="B87" i="71"/>
  <c r="B88" i="71" s="1"/>
  <c r="B89" i="71" s="1"/>
  <c r="B90" i="71" s="1"/>
  <c r="B91" i="71" s="1"/>
  <c r="A87" i="71"/>
  <c r="A88" i="71" s="1"/>
  <c r="A89" i="71" s="1"/>
  <c r="A90" i="71" s="1"/>
  <c r="A91" i="71" s="1"/>
  <c r="C81" i="71"/>
  <c r="Q72" i="71" s="1"/>
  <c r="P75" i="71" s="1"/>
  <c r="P76" i="71" s="1"/>
  <c r="P77" i="71" s="1"/>
  <c r="P78" i="71" s="1"/>
  <c r="P79" i="71" s="1"/>
  <c r="P80" i="71" s="1"/>
  <c r="P81" i="71" s="1"/>
  <c r="P82" i="71" s="1"/>
  <c r="P83" i="71" s="1"/>
  <c r="P84" i="71" s="1"/>
  <c r="P85" i="71" s="1"/>
  <c r="P86" i="71" s="1"/>
  <c r="P87" i="71" s="1"/>
  <c r="P88" i="71" s="1"/>
  <c r="P89" i="71" s="1"/>
  <c r="P90" i="71" s="1"/>
  <c r="P91" i="71" s="1"/>
  <c r="P92" i="71" s="1"/>
  <c r="P93" i="71" s="1"/>
  <c r="P94" i="71" s="1"/>
  <c r="P95" i="71" s="1"/>
  <c r="P96" i="71" s="1"/>
  <c r="P97" i="71" s="1"/>
  <c r="P98" i="71" s="1"/>
  <c r="P99" i="71" s="1"/>
  <c r="P100" i="71" s="1"/>
  <c r="P101" i="71" s="1"/>
  <c r="P102" i="71" s="1"/>
  <c r="P103" i="71" s="1"/>
  <c r="P104" i="71" s="1"/>
  <c r="P105" i="71" s="1"/>
  <c r="P106" i="71" s="1"/>
  <c r="P107" i="71" s="1"/>
  <c r="P108" i="71" s="1"/>
  <c r="P109" i="71" s="1"/>
  <c r="P110" i="71" s="1"/>
  <c r="P111" i="71" s="1"/>
  <c r="P112" i="71" s="1"/>
  <c r="P113" i="71" s="1"/>
  <c r="P114" i="71" s="1"/>
  <c r="P115" i="71" s="1"/>
  <c r="P116" i="71" s="1"/>
  <c r="P117" i="71" s="1"/>
  <c r="P118" i="71" s="1"/>
  <c r="P119" i="71" s="1"/>
  <c r="P120" i="71" s="1"/>
  <c r="P121" i="71" s="1"/>
  <c r="P122" i="71" s="1"/>
  <c r="O76" i="71"/>
  <c r="O77" i="71" s="1"/>
  <c r="O78" i="71" s="1"/>
  <c r="O79" i="71" s="1"/>
  <c r="O80" i="71" s="1"/>
  <c r="O81" i="71" s="1"/>
  <c r="O82" i="71" s="1"/>
  <c r="O83" i="71" s="1"/>
  <c r="O84" i="71" s="1"/>
  <c r="O85" i="71" s="1"/>
  <c r="O86" i="71" s="1"/>
  <c r="O87" i="71" s="1"/>
  <c r="O88" i="71" s="1"/>
  <c r="O89" i="71" s="1"/>
  <c r="O90" i="71" s="1"/>
  <c r="O91" i="71" s="1"/>
  <c r="O92" i="71" s="1"/>
  <c r="O93" i="71" s="1"/>
  <c r="O94" i="71" s="1"/>
  <c r="O95" i="71" s="1"/>
  <c r="O96" i="71" s="1"/>
  <c r="O97" i="71" s="1"/>
  <c r="O98" i="71" s="1"/>
  <c r="O99" i="71" s="1"/>
  <c r="O100" i="71" s="1"/>
  <c r="O101" i="71" s="1"/>
  <c r="O102" i="71" s="1"/>
  <c r="O103" i="71" s="1"/>
  <c r="O104" i="71" s="1"/>
  <c r="O105" i="71" s="1"/>
  <c r="O106" i="71" s="1"/>
  <c r="O107" i="71" s="1"/>
  <c r="O108" i="71" s="1"/>
  <c r="O109" i="71" s="1"/>
  <c r="O110" i="71" s="1"/>
  <c r="O111" i="71" s="1"/>
  <c r="O112" i="71" s="1"/>
  <c r="O113" i="71" s="1"/>
  <c r="O114" i="71" s="1"/>
  <c r="O115" i="71" s="1"/>
  <c r="O116" i="71" s="1"/>
  <c r="O117" i="71" s="1"/>
  <c r="O118" i="71" s="1"/>
  <c r="O119" i="71" s="1"/>
  <c r="O120" i="71" s="1"/>
  <c r="O121" i="71" s="1"/>
  <c r="O122" i="71" s="1"/>
  <c r="I76" i="71"/>
  <c r="I77" i="71" s="1"/>
  <c r="I78" i="71" s="1"/>
  <c r="I79" i="71" s="1"/>
  <c r="I80" i="71" s="1"/>
  <c r="I81" i="71" s="1"/>
  <c r="I82" i="71" s="1"/>
  <c r="I83" i="71" s="1"/>
  <c r="I84" i="71" s="1"/>
  <c r="I85" i="71" s="1"/>
  <c r="I86" i="71" s="1"/>
  <c r="I87" i="71" s="1"/>
  <c r="I88" i="71" s="1"/>
  <c r="I89" i="71" s="1"/>
  <c r="I90" i="71" s="1"/>
  <c r="I91" i="71" s="1"/>
  <c r="I92" i="71" s="1"/>
  <c r="I93" i="71" s="1"/>
  <c r="I94" i="71" s="1"/>
  <c r="I95" i="71" s="1"/>
  <c r="I96" i="71" s="1"/>
  <c r="I97" i="71" s="1"/>
  <c r="I98" i="71" s="1"/>
  <c r="I99" i="71" s="1"/>
  <c r="I100" i="71" s="1"/>
  <c r="I101" i="71" s="1"/>
  <c r="I102" i="71" s="1"/>
  <c r="I103" i="71" s="1"/>
  <c r="I104" i="71" s="1"/>
  <c r="I105" i="71" s="1"/>
  <c r="I106" i="71" s="1"/>
  <c r="I107" i="71" s="1"/>
  <c r="I108" i="71" s="1"/>
  <c r="I109" i="71" s="1"/>
  <c r="I110" i="71" s="1"/>
  <c r="I111" i="71" s="1"/>
  <c r="I112" i="71" s="1"/>
  <c r="I113" i="71" s="1"/>
  <c r="I114" i="71" s="1"/>
  <c r="I115" i="71" s="1"/>
  <c r="I116" i="71" s="1"/>
  <c r="I117" i="71" s="1"/>
  <c r="I118" i="71" s="1"/>
  <c r="I119" i="71" s="1"/>
  <c r="I120" i="71" s="1"/>
  <c r="I121" i="71" s="1"/>
  <c r="I122" i="71" s="1"/>
  <c r="C76" i="71"/>
  <c r="A76" i="71"/>
  <c r="A77" i="71" s="1"/>
  <c r="A78" i="71" s="1"/>
  <c r="A79" i="71" s="1"/>
  <c r="A80" i="71" s="1"/>
  <c r="A81" i="71" s="1"/>
  <c r="A82" i="71" s="1"/>
  <c r="A71" i="71"/>
  <c r="T66" i="71"/>
  <c r="T65" i="71"/>
  <c r="T64" i="71"/>
  <c r="T63" i="71"/>
  <c r="T62" i="71"/>
  <c r="T61" i="71"/>
  <c r="T59" i="71"/>
  <c r="T58" i="71"/>
  <c r="T57" i="71"/>
  <c r="T56" i="71"/>
  <c r="A43" i="71"/>
  <c r="A29" i="71"/>
  <c r="A30" i="71" s="1"/>
  <c r="A31" i="71" s="1"/>
  <c r="A32" i="71" s="1"/>
  <c r="A33" i="71" s="1"/>
  <c r="A34" i="71" s="1"/>
  <c r="A35" i="71" s="1"/>
  <c r="A36" i="71" s="1"/>
  <c r="A28" i="71"/>
  <c r="D19" i="71"/>
  <c r="D20" i="71" s="1"/>
  <c r="D21" i="71" s="1"/>
  <c r="D22" i="71" s="1"/>
  <c r="D23" i="71" s="1"/>
  <c r="E23" i="71" s="1"/>
  <c r="B19" i="71"/>
  <c r="B20" i="71" s="1"/>
  <c r="B21" i="71" s="1"/>
  <c r="B22" i="71" s="1"/>
  <c r="B23" i="71" s="1"/>
  <c r="A19" i="71"/>
  <c r="A20" i="71" s="1"/>
  <c r="A21" i="71" s="1"/>
  <c r="A22" i="71" s="1"/>
  <c r="A23" i="71" s="1"/>
  <c r="I9" i="71"/>
  <c r="I10" i="71" s="1"/>
  <c r="I11" i="71" s="1"/>
  <c r="I12" i="71" s="1"/>
  <c r="I13" i="71" s="1"/>
  <c r="I14" i="71" s="1"/>
  <c r="I15" i="71" s="1"/>
  <c r="I16" i="71" s="1"/>
  <c r="I17" i="71" s="1"/>
  <c r="I18" i="71" s="1"/>
  <c r="I19" i="71" s="1"/>
  <c r="I20" i="71" s="1"/>
  <c r="I21" i="71" s="1"/>
  <c r="I22" i="71" s="1"/>
  <c r="I23" i="71" s="1"/>
  <c r="I24" i="71" s="1"/>
  <c r="I25" i="71" s="1"/>
  <c r="I26" i="71" s="1"/>
  <c r="I27" i="71" s="1"/>
  <c r="I28" i="71" s="1"/>
  <c r="I29" i="71" s="1"/>
  <c r="I30" i="71" s="1"/>
  <c r="I31" i="71" s="1"/>
  <c r="I32" i="71" s="1"/>
  <c r="I33" i="71" s="1"/>
  <c r="I34" i="71" s="1"/>
  <c r="I35" i="71" s="1"/>
  <c r="I36" i="71" s="1"/>
  <c r="I37" i="71" s="1"/>
  <c r="I38" i="71" s="1"/>
  <c r="I39" i="71" s="1"/>
  <c r="I40" i="71" s="1"/>
  <c r="I41" i="71" s="1"/>
  <c r="I42" i="71" s="1"/>
  <c r="I43" i="71" s="1"/>
  <c r="I44" i="71" s="1"/>
  <c r="I45" i="71" s="1"/>
  <c r="I46" i="71" s="1"/>
  <c r="I47" i="71" s="1"/>
  <c r="I48" i="71" s="1"/>
  <c r="I49" i="71" s="1"/>
  <c r="I50" i="71" s="1"/>
  <c r="I51" i="71" s="1"/>
  <c r="I52" i="71" s="1"/>
  <c r="I53" i="71" s="1"/>
  <c r="I54" i="71" s="1"/>
  <c r="I55" i="71" s="1"/>
  <c r="I56" i="71" s="1"/>
  <c r="I57" i="71" s="1"/>
  <c r="I58" i="71" s="1"/>
  <c r="I59" i="71" s="1"/>
  <c r="I60" i="71" s="1"/>
  <c r="I61" i="71" s="1"/>
  <c r="I62" i="71" s="1"/>
  <c r="I63" i="71" s="1"/>
  <c r="I64" i="71" s="1"/>
  <c r="I65" i="71" s="1"/>
  <c r="I66" i="71" s="1"/>
  <c r="O8" i="71"/>
  <c r="O9" i="71" s="1"/>
  <c r="O10" i="71" s="1"/>
  <c r="O11" i="71" s="1"/>
  <c r="O12" i="71" s="1"/>
  <c r="O13" i="71" s="1"/>
  <c r="O14" i="71" s="1"/>
  <c r="O15" i="71" s="1"/>
  <c r="O16" i="71" s="1"/>
  <c r="O17" i="71" s="1"/>
  <c r="O18" i="71" s="1"/>
  <c r="O19" i="71" s="1"/>
  <c r="O20" i="71" s="1"/>
  <c r="O21" i="71" s="1"/>
  <c r="O22" i="71" s="1"/>
  <c r="O23" i="71" s="1"/>
  <c r="O24" i="71" s="1"/>
  <c r="O25" i="71" s="1"/>
  <c r="O26" i="71" s="1"/>
  <c r="O27" i="71" s="1"/>
  <c r="O28" i="71" s="1"/>
  <c r="O29" i="71" s="1"/>
  <c r="O30" i="71" s="1"/>
  <c r="O31" i="71" s="1"/>
  <c r="O32" i="71" s="1"/>
  <c r="O33" i="71" s="1"/>
  <c r="O34" i="71" s="1"/>
  <c r="O35" i="71" s="1"/>
  <c r="O36" i="71" s="1"/>
  <c r="O37" i="71" s="1"/>
  <c r="O38" i="71" s="1"/>
  <c r="O39" i="71" s="1"/>
  <c r="O40" i="71" s="1"/>
  <c r="O41" i="71" s="1"/>
  <c r="O42" i="71" s="1"/>
  <c r="O43" i="71" s="1"/>
  <c r="O44" i="71" s="1"/>
  <c r="O45" i="71" s="1"/>
  <c r="O46" i="71" s="1"/>
  <c r="O47" i="71" s="1"/>
  <c r="O48" i="71" s="1"/>
  <c r="O49" i="71" s="1"/>
  <c r="O50" i="71" s="1"/>
  <c r="O51" i="71" s="1"/>
  <c r="O52" i="71" s="1"/>
  <c r="O53" i="71" s="1"/>
  <c r="O54" i="71" s="1"/>
  <c r="O55" i="71" s="1"/>
  <c r="O56" i="71" s="1"/>
  <c r="O57" i="71" s="1"/>
  <c r="O58" i="71" s="1"/>
  <c r="O59" i="71" s="1"/>
  <c r="O60" i="71" s="1"/>
  <c r="O61" i="71" s="1"/>
  <c r="O62" i="71" s="1"/>
  <c r="O63" i="71" s="1"/>
  <c r="O64" i="71" s="1"/>
  <c r="O65" i="71" s="1"/>
  <c r="O66" i="71" s="1"/>
  <c r="I8" i="71"/>
  <c r="A8" i="71"/>
  <c r="A9" i="71" s="1"/>
  <c r="A10" i="71" s="1"/>
  <c r="A11" i="71" s="1"/>
  <c r="A12" i="71" s="1"/>
  <c r="A13" i="71" s="1"/>
  <c r="A14" i="71" s="1"/>
  <c r="P7" i="71"/>
  <c r="P8" i="71" s="1"/>
  <c r="P9" i="71" s="1"/>
  <c r="P10" i="71" s="1"/>
  <c r="P11" i="71" s="1"/>
  <c r="P12" i="71" s="1"/>
  <c r="P13" i="71" s="1"/>
  <c r="P14" i="71" s="1"/>
  <c r="P15" i="71" s="1"/>
  <c r="P16" i="71" s="1"/>
  <c r="P17" i="71" s="1"/>
  <c r="P18" i="71" s="1"/>
  <c r="P19" i="71" s="1"/>
  <c r="P20" i="71" s="1"/>
  <c r="P21" i="71" s="1"/>
  <c r="P22" i="71" s="1"/>
  <c r="P23" i="71" s="1"/>
  <c r="P24" i="71" s="1"/>
  <c r="P25" i="71" s="1"/>
  <c r="P26" i="71" s="1"/>
  <c r="P27" i="71" s="1"/>
  <c r="P28" i="71" s="1"/>
  <c r="P29" i="71" s="1"/>
  <c r="P30" i="71" s="1"/>
  <c r="P31" i="71" s="1"/>
  <c r="P32" i="71" s="1"/>
  <c r="P33" i="71" s="1"/>
  <c r="P34" i="71" s="1"/>
  <c r="P35" i="71" s="1"/>
  <c r="P36" i="71" s="1"/>
  <c r="P37" i="71" s="1"/>
  <c r="P38" i="71" s="1"/>
  <c r="P39" i="71" s="1"/>
  <c r="P40" i="71" s="1"/>
  <c r="P41" i="71" s="1"/>
  <c r="P42" i="71" s="1"/>
  <c r="P43" i="71" s="1"/>
  <c r="P44" i="71" s="1"/>
  <c r="P45" i="71" s="1"/>
  <c r="P46" i="71" s="1"/>
  <c r="P47" i="71" s="1"/>
  <c r="P48" i="71" s="1"/>
  <c r="P49" i="71" s="1"/>
  <c r="P50" i="71" s="1"/>
  <c r="P51" i="71" s="1"/>
  <c r="P52" i="71" s="1"/>
  <c r="P53" i="71" s="1"/>
  <c r="P54" i="71" s="1"/>
  <c r="P55" i="71" s="1"/>
  <c r="P56" i="71" s="1"/>
  <c r="P57" i="71" s="1"/>
  <c r="P58" i="71" s="1"/>
  <c r="P59" i="71" s="1"/>
  <c r="P60" i="71" s="1"/>
  <c r="P61" i="71" s="1"/>
  <c r="P62" i="71" s="1"/>
  <c r="P63" i="71" s="1"/>
  <c r="P64" i="71" s="1"/>
  <c r="P65" i="71" s="1"/>
  <c r="P66" i="71" s="1"/>
  <c r="F77" i="67"/>
  <c r="R122" i="67"/>
  <c r="M122" i="67"/>
  <c r="R121" i="67"/>
  <c r="M121" i="67"/>
  <c r="R120" i="67"/>
  <c r="M120" i="67"/>
  <c r="R119" i="67"/>
  <c r="M119" i="67"/>
  <c r="R118" i="67"/>
  <c r="M118" i="67"/>
  <c r="R117" i="67"/>
  <c r="M117" i="67"/>
  <c r="R116" i="67"/>
  <c r="M116" i="67"/>
  <c r="R115" i="67"/>
  <c r="M115" i="67"/>
  <c r="R114" i="67"/>
  <c r="M114" i="67"/>
  <c r="R113" i="67"/>
  <c r="M113" i="67"/>
  <c r="R112" i="67"/>
  <c r="M112" i="67"/>
  <c r="R111" i="67"/>
  <c r="M111" i="67"/>
  <c r="A111" i="67"/>
  <c r="C101" i="67"/>
  <c r="C100" i="67"/>
  <c r="C99" i="67"/>
  <c r="E96" i="67"/>
  <c r="A96" i="67"/>
  <c r="A97" i="67" s="1"/>
  <c r="A98" i="67" s="1"/>
  <c r="A99" i="67" s="1"/>
  <c r="A100" i="67" s="1"/>
  <c r="A101" i="67" s="1"/>
  <c r="A102" i="67" s="1"/>
  <c r="A103" i="67" s="1"/>
  <c r="A104" i="67" s="1"/>
  <c r="B90" i="67"/>
  <c r="B91" i="67" s="1"/>
  <c r="D87" i="67"/>
  <c r="D88" i="67" s="1"/>
  <c r="D89" i="67" s="1"/>
  <c r="D90" i="67" s="1"/>
  <c r="D91" i="67" s="1"/>
  <c r="E91" i="67" s="1"/>
  <c r="B87" i="67"/>
  <c r="B88" i="67" s="1"/>
  <c r="B89" i="67" s="1"/>
  <c r="A87" i="67"/>
  <c r="A88" i="67" s="1"/>
  <c r="A89" i="67" s="1"/>
  <c r="A90" i="67" s="1"/>
  <c r="A91" i="67" s="1"/>
  <c r="C81" i="67"/>
  <c r="Q72" i="67" s="1"/>
  <c r="P75" i="67" s="1"/>
  <c r="P76" i="67" s="1"/>
  <c r="P77" i="67" s="1"/>
  <c r="P78" i="67" s="1"/>
  <c r="P79" i="67" s="1"/>
  <c r="P80" i="67" s="1"/>
  <c r="P81" i="67" s="1"/>
  <c r="P82" i="67" s="1"/>
  <c r="P83" i="67" s="1"/>
  <c r="P84" i="67" s="1"/>
  <c r="P85" i="67" s="1"/>
  <c r="P86" i="67" s="1"/>
  <c r="P87" i="67" s="1"/>
  <c r="P88" i="67" s="1"/>
  <c r="P89" i="67" s="1"/>
  <c r="P90" i="67" s="1"/>
  <c r="P91" i="67" s="1"/>
  <c r="P92" i="67" s="1"/>
  <c r="P93" i="67" s="1"/>
  <c r="P94" i="67" s="1"/>
  <c r="P95" i="67" s="1"/>
  <c r="P96" i="67" s="1"/>
  <c r="P97" i="67" s="1"/>
  <c r="P98" i="67" s="1"/>
  <c r="P99" i="67" s="1"/>
  <c r="P100" i="67" s="1"/>
  <c r="P101" i="67" s="1"/>
  <c r="P102" i="67" s="1"/>
  <c r="P103" i="67" s="1"/>
  <c r="P104" i="67" s="1"/>
  <c r="P105" i="67" s="1"/>
  <c r="P106" i="67" s="1"/>
  <c r="P107" i="67" s="1"/>
  <c r="P108" i="67" s="1"/>
  <c r="P109" i="67" s="1"/>
  <c r="P110" i="67" s="1"/>
  <c r="P111" i="67" s="1"/>
  <c r="P112" i="67" s="1"/>
  <c r="P113" i="67" s="1"/>
  <c r="P114" i="67" s="1"/>
  <c r="P115" i="67" s="1"/>
  <c r="P116" i="67" s="1"/>
  <c r="P117" i="67" s="1"/>
  <c r="P118" i="67" s="1"/>
  <c r="P119" i="67" s="1"/>
  <c r="P120" i="67" s="1"/>
  <c r="P121" i="67" s="1"/>
  <c r="P122" i="67" s="1"/>
  <c r="O76" i="67"/>
  <c r="O77" i="67" s="1"/>
  <c r="O78" i="67" s="1"/>
  <c r="O79" i="67" s="1"/>
  <c r="O80" i="67" s="1"/>
  <c r="O81" i="67" s="1"/>
  <c r="O82" i="67" s="1"/>
  <c r="O83" i="67" s="1"/>
  <c r="O84" i="67" s="1"/>
  <c r="O85" i="67" s="1"/>
  <c r="O86" i="67" s="1"/>
  <c r="O87" i="67" s="1"/>
  <c r="O88" i="67" s="1"/>
  <c r="O89" i="67" s="1"/>
  <c r="O90" i="67" s="1"/>
  <c r="O91" i="67" s="1"/>
  <c r="O92" i="67" s="1"/>
  <c r="O93" i="67" s="1"/>
  <c r="O94" i="67" s="1"/>
  <c r="O95" i="67" s="1"/>
  <c r="O96" i="67" s="1"/>
  <c r="O97" i="67" s="1"/>
  <c r="O98" i="67" s="1"/>
  <c r="O99" i="67" s="1"/>
  <c r="O100" i="67" s="1"/>
  <c r="O101" i="67" s="1"/>
  <c r="O102" i="67" s="1"/>
  <c r="O103" i="67" s="1"/>
  <c r="O104" i="67" s="1"/>
  <c r="O105" i="67" s="1"/>
  <c r="O106" i="67" s="1"/>
  <c r="O107" i="67" s="1"/>
  <c r="O108" i="67" s="1"/>
  <c r="O109" i="67" s="1"/>
  <c r="O110" i="67" s="1"/>
  <c r="O111" i="67" s="1"/>
  <c r="O112" i="67" s="1"/>
  <c r="O113" i="67" s="1"/>
  <c r="O114" i="67" s="1"/>
  <c r="O115" i="67" s="1"/>
  <c r="O116" i="67" s="1"/>
  <c r="O117" i="67" s="1"/>
  <c r="O118" i="67" s="1"/>
  <c r="O119" i="67" s="1"/>
  <c r="O120" i="67" s="1"/>
  <c r="O121" i="67" s="1"/>
  <c r="O122" i="67" s="1"/>
  <c r="I76" i="67"/>
  <c r="I77" i="67" s="1"/>
  <c r="I78" i="67" s="1"/>
  <c r="I79" i="67" s="1"/>
  <c r="I80" i="67" s="1"/>
  <c r="I81" i="67" s="1"/>
  <c r="I82" i="67" s="1"/>
  <c r="I83" i="67" s="1"/>
  <c r="I84" i="67" s="1"/>
  <c r="I85" i="67" s="1"/>
  <c r="I86" i="67" s="1"/>
  <c r="I87" i="67" s="1"/>
  <c r="I88" i="67" s="1"/>
  <c r="I89" i="67" s="1"/>
  <c r="I90" i="67" s="1"/>
  <c r="I91" i="67" s="1"/>
  <c r="I92" i="67" s="1"/>
  <c r="I93" i="67" s="1"/>
  <c r="I94" i="67" s="1"/>
  <c r="I95" i="67" s="1"/>
  <c r="I96" i="67" s="1"/>
  <c r="I97" i="67" s="1"/>
  <c r="I98" i="67" s="1"/>
  <c r="I99" i="67" s="1"/>
  <c r="I100" i="67" s="1"/>
  <c r="I101" i="67" s="1"/>
  <c r="I102" i="67" s="1"/>
  <c r="I103" i="67" s="1"/>
  <c r="I104" i="67" s="1"/>
  <c r="I105" i="67" s="1"/>
  <c r="I106" i="67" s="1"/>
  <c r="I107" i="67" s="1"/>
  <c r="I108" i="67" s="1"/>
  <c r="I109" i="67" s="1"/>
  <c r="I110" i="67" s="1"/>
  <c r="I111" i="67" s="1"/>
  <c r="I112" i="67" s="1"/>
  <c r="I113" i="67" s="1"/>
  <c r="I114" i="67" s="1"/>
  <c r="I115" i="67" s="1"/>
  <c r="I116" i="67" s="1"/>
  <c r="I117" i="67" s="1"/>
  <c r="I118" i="67" s="1"/>
  <c r="I119" i="67" s="1"/>
  <c r="I120" i="67" s="1"/>
  <c r="I121" i="67" s="1"/>
  <c r="I122" i="67" s="1"/>
  <c r="C76" i="67"/>
  <c r="A76" i="67"/>
  <c r="A77" i="67" s="1"/>
  <c r="A78" i="67" s="1"/>
  <c r="A79" i="67" s="1"/>
  <c r="A80" i="67" s="1"/>
  <c r="A81" i="67" s="1"/>
  <c r="A82" i="67" s="1"/>
  <c r="A71" i="67"/>
  <c r="T66" i="67"/>
  <c r="T65" i="67"/>
  <c r="T64" i="67"/>
  <c r="T63" i="67"/>
  <c r="T62" i="67"/>
  <c r="T61" i="67"/>
  <c r="T59" i="67"/>
  <c r="T58" i="67"/>
  <c r="T57" i="67"/>
  <c r="T56" i="67"/>
  <c r="A43" i="67"/>
  <c r="A32" i="67"/>
  <c r="A33" i="67" s="1"/>
  <c r="A34" i="67" s="1"/>
  <c r="A35" i="67" s="1"/>
  <c r="A36" i="67" s="1"/>
  <c r="A28" i="67"/>
  <c r="A29" i="67" s="1"/>
  <c r="A30" i="67" s="1"/>
  <c r="A31" i="67" s="1"/>
  <c r="D19" i="67"/>
  <c r="D20" i="67" s="1"/>
  <c r="D21" i="67" s="1"/>
  <c r="D22" i="67" s="1"/>
  <c r="D23" i="67" s="1"/>
  <c r="E23" i="67" s="1"/>
  <c r="B19" i="67"/>
  <c r="B20" i="67" s="1"/>
  <c r="B21" i="67" s="1"/>
  <c r="B22" i="67" s="1"/>
  <c r="A19" i="67"/>
  <c r="A20" i="67" s="1"/>
  <c r="A21" i="67" s="1"/>
  <c r="A22" i="67" s="1"/>
  <c r="A23" i="67" s="1"/>
  <c r="D13" i="67"/>
  <c r="O8" i="67"/>
  <c r="O9" i="67" s="1"/>
  <c r="I8" i="67"/>
  <c r="I9" i="67" s="1"/>
  <c r="I10" i="67" s="1"/>
  <c r="I11" i="67" s="1"/>
  <c r="I12" i="67" s="1"/>
  <c r="I13" i="67" s="1"/>
  <c r="I14" i="67" s="1"/>
  <c r="I15" i="67" s="1"/>
  <c r="I16" i="67" s="1"/>
  <c r="I17" i="67" s="1"/>
  <c r="I18" i="67" s="1"/>
  <c r="I19" i="67" s="1"/>
  <c r="I20" i="67" s="1"/>
  <c r="I21" i="67" s="1"/>
  <c r="I22" i="67" s="1"/>
  <c r="I23" i="67" s="1"/>
  <c r="I24" i="67" s="1"/>
  <c r="I25" i="67" s="1"/>
  <c r="I26" i="67" s="1"/>
  <c r="I27" i="67" s="1"/>
  <c r="I28" i="67" s="1"/>
  <c r="I29" i="67" s="1"/>
  <c r="I30" i="67" s="1"/>
  <c r="I31" i="67" s="1"/>
  <c r="I32" i="67" s="1"/>
  <c r="I33" i="67" s="1"/>
  <c r="I34" i="67" s="1"/>
  <c r="I35" i="67" s="1"/>
  <c r="I36" i="67" s="1"/>
  <c r="I37" i="67" s="1"/>
  <c r="I38" i="67" s="1"/>
  <c r="I39" i="67" s="1"/>
  <c r="I40" i="67" s="1"/>
  <c r="I41" i="67" s="1"/>
  <c r="I42" i="67" s="1"/>
  <c r="I43" i="67" s="1"/>
  <c r="I44" i="67" s="1"/>
  <c r="I45" i="67" s="1"/>
  <c r="I46" i="67" s="1"/>
  <c r="I47" i="67" s="1"/>
  <c r="I48" i="67" s="1"/>
  <c r="I49" i="67" s="1"/>
  <c r="I50" i="67" s="1"/>
  <c r="I51" i="67" s="1"/>
  <c r="I52" i="67" s="1"/>
  <c r="I53" i="67" s="1"/>
  <c r="I54" i="67" s="1"/>
  <c r="I55" i="67" s="1"/>
  <c r="I56" i="67" s="1"/>
  <c r="I57" i="67" s="1"/>
  <c r="I58" i="67" s="1"/>
  <c r="I59" i="67" s="1"/>
  <c r="I60" i="67" s="1"/>
  <c r="I61" i="67" s="1"/>
  <c r="I62" i="67" s="1"/>
  <c r="I63" i="67" s="1"/>
  <c r="I64" i="67" s="1"/>
  <c r="I65" i="67" s="1"/>
  <c r="I66" i="67" s="1"/>
  <c r="A8" i="67"/>
  <c r="A9" i="67" s="1"/>
  <c r="A10" i="67" s="1"/>
  <c r="A11" i="67" s="1"/>
  <c r="A12" i="67" s="1"/>
  <c r="A13" i="67" s="1"/>
  <c r="A14" i="67" s="1"/>
  <c r="P7" i="67"/>
  <c r="P8" i="67" s="1"/>
  <c r="P9" i="67" s="1"/>
  <c r="P10" i="67" s="1"/>
  <c r="P11" i="67" s="1"/>
  <c r="P12" i="67" s="1"/>
  <c r="P13" i="67" s="1"/>
  <c r="P14" i="67" s="1"/>
  <c r="P15" i="67" s="1"/>
  <c r="P16" i="67" s="1"/>
  <c r="P17" i="67" s="1"/>
  <c r="P18" i="67" s="1"/>
  <c r="P19" i="67" s="1"/>
  <c r="P20" i="67" s="1"/>
  <c r="P21" i="67" s="1"/>
  <c r="P22" i="67" s="1"/>
  <c r="P23" i="67" s="1"/>
  <c r="P24" i="67" s="1"/>
  <c r="P25" i="67" s="1"/>
  <c r="P26" i="67" s="1"/>
  <c r="P27" i="67" s="1"/>
  <c r="P28" i="67" s="1"/>
  <c r="P29" i="67" s="1"/>
  <c r="P30" i="67" s="1"/>
  <c r="P31" i="67" s="1"/>
  <c r="P32" i="67" s="1"/>
  <c r="P33" i="67" s="1"/>
  <c r="P34" i="67" s="1"/>
  <c r="P35" i="67" s="1"/>
  <c r="P36" i="67" s="1"/>
  <c r="P37" i="67" s="1"/>
  <c r="P38" i="67" s="1"/>
  <c r="P39" i="67" s="1"/>
  <c r="P40" i="67" s="1"/>
  <c r="P41" i="67" s="1"/>
  <c r="P42" i="67" s="1"/>
  <c r="P43" i="67" s="1"/>
  <c r="P44" i="67" s="1"/>
  <c r="P45" i="67" s="1"/>
  <c r="P46" i="67" s="1"/>
  <c r="P47" i="67" s="1"/>
  <c r="P48" i="67" s="1"/>
  <c r="P49" i="67" s="1"/>
  <c r="P50" i="67" s="1"/>
  <c r="P51" i="67" s="1"/>
  <c r="P52" i="67" s="1"/>
  <c r="P53" i="67" s="1"/>
  <c r="P54" i="67" s="1"/>
  <c r="P55" i="67" s="1"/>
  <c r="P56" i="67" s="1"/>
  <c r="P57" i="67" s="1"/>
  <c r="P58" i="67" s="1"/>
  <c r="P59" i="67" s="1"/>
  <c r="P60" i="67" s="1"/>
  <c r="P61" i="67" s="1"/>
  <c r="P62" i="67" s="1"/>
  <c r="P63" i="67" s="1"/>
  <c r="P64" i="67" s="1"/>
  <c r="P65" i="67" s="1"/>
  <c r="P66" i="67" s="1"/>
  <c r="C79" i="63"/>
  <c r="C96" i="63" s="1"/>
  <c r="C77" i="63"/>
  <c r="C98" i="63" s="1"/>
  <c r="F77" i="63"/>
  <c r="R122" i="63"/>
  <c r="M122" i="63"/>
  <c r="R121" i="63"/>
  <c r="M121" i="63"/>
  <c r="R120" i="63"/>
  <c r="M120" i="63"/>
  <c r="R119" i="63"/>
  <c r="M119" i="63"/>
  <c r="R118" i="63"/>
  <c r="M118" i="63"/>
  <c r="R117" i="63"/>
  <c r="M117" i="63"/>
  <c r="R116" i="63"/>
  <c r="M116" i="63"/>
  <c r="R115" i="63"/>
  <c r="M115" i="63"/>
  <c r="R114" i="63"/>
  <c r="M114" i="63"/>
  <c r="R113" i="63"/>
  <c r="M113" i="63"/>
  <c r="R112" i="63"/>
  <c r="M112" i="63"/>
  <c r="R111" i="63"/>
  <c r="M111" i="63"/>
  <c r="A111" i="63"/>
  <c r="C101" i="63"/>
  <c r="C100" i="63"/>
  <c r="C99" i="63"/>
  <c r="E96" i="63"/>
  <c r="A96" i="63"/>
  <c r="A97" i="63" s="1"/>
  <c r="A98" i="63" s="1"/>
  <c r="A99" i="63" s="1"/>
  <c r="A100" i="63" s="1"/>
  <c r="A101" i="63" s="1"/>
  <c r="A102" i="63" s="1"/>
  <c r="A103" i="63" s="1"/>
  <c r="A104" i="63" s="1"/>
  <c r="D87" i="63"/>
  <c r="D88" i="63" s="1"/>
  <c r="D89" i="63" s="1"/>
  <c r="D90" i="63" s="1"/>
  <c r="D91" i="63" s="1"/>
  <c r="E91" i="63" s="1"/>
  <c r="B87" i="63"/>
  <c r="B88" i="63" s="1"/>
  <c r="B89" i="63" s="1"/>
  <c r="B90" i="63" s="1"/>
  <c r="B91" i="63" s="1"/>
  <c r="A87" i="63"/>
  <c r="A88" i="63" s="1"/>
  <c r="A89" i="63" s="1"/>
  <c r="A90" i="63" s="1"/>
  <c r="A91" i="63" s="1"/>
  <c r="C81" i="63"/>
  <c r="Q72" i="63" s="1"/>
  <c r="P75" i="63" s="1"/>
  <c r="P76" i="63" s="1"/>
  <c r="P77" i="63" s="1"/>
  <c r="P78" i="63" s="1"/>
  <c r="P79" i="63" s="1"/>
  <c r="P80" i="63" s="1"/>
  <c r="P81" i="63" s="1"/>
  <c r="P82" i="63" s="1"/>
  <c r="P83" i="63" s="1"/>
  <c r="P84" i="63" s="1"/>
  <c r="P85" i="63" s="1"/>
  <c r="P86" i="63" s="1"/>
  <c r="P87" i="63" s="1"/>
  <c r="P88" i="63" s="1"/>
  <c r="P89" i="63" s="1"/>
  <c r="P90" i="63" s="1"/>
  <c r="P91" i="63" s="1"/>
  <c r="P92" i="63" s="1"/>
  <c r="P93" i="63" s="1"/>
  <c r="P94" i="63" s="1"/>
  <c r="P95" i="63" s="1"/>
  <c r="P96" i="63" s="1"/>
  <c r="P97" i="63" s="1"/>
  <c r="P98" i="63" s="1"/>
  <c r="P99" i="63" s="1"/>
  <c r="P100" i="63" s="1"/>
  <c r="P101" i="63" s="1"/>
  <c r="P102" i="63" s="1"/>
  <c r="P103" i="63" s="1"/>
  <c r="P104" i="63" s="1"/>
  <c r="P105" i="63" s="1"/>
  <c r="P106" i="63" s="1"/>
  <c r="P107" i="63" s="1"/>
  <c r="P108" i="63" s="1"/>
  <c r="P109" i="63" s="1"/>
  <c r="P110" i="63" s="1"/>
  <c r="P111" i="63" s="1"/>
  <c r="P112" i="63" s="1"/>
  <c r="P113" i="63" s="1"/>
  <c r="P114" i="63" s="1"/>
  <c r="P115" i="63" s="1"/>
  <c r="P116" i="63" s="1"/>
  <c r="P117" i="63" s="1"/>
  <c r="P118" i="63" s="1"/>
  <c r="P119" i="63" s="1"/>
  <c r="P120" i="63" s="1"/>
  <c r="P121" i="63" s="1"/>
  <c r="P122" i="63" s="1"/>
  <c r="O76" i="63"/>
  <c r="O77" i="63" s="1"/>
  <c r="O78" i="63" s="1"/>
  <c r="O79" i="63" s="1"/>
  <c r="O80" i="63" s="1"/>
  <c r="O81" i="63" s="1"/>
  <c r="O82" i="63" s="1"/>
  <c r="O83" i="63" s="1"/>
  <c r="O84" i="63" s="1"/>
  <c r="O85" i="63" s="1"/>
  <c r="O86" i="63" s="1"/>
  <c r="O87" i="63" s="1"/>
  <c r="O88" i="63" s="1"/>
  <c r="O89" i="63" s="1"/>
  <c r="O90" i="63" s="1"/>
  <c r="O91" i="63" s="1"/>
  <c r="O92" i="63" s="1"/>
  <c r="O93" i="63" s="1"/>
  <c r="O94" i="63" s="1"/>
  <c r="O95" i="63" s="1"/>
  <c r="O96" i="63" s="1"/>
  <c r="O97" i="63" s="1"/>
  <c r="O98" i="63" s="1"/>
  <c r="O99" i="63" s="1"/>
  <c r="O100" i="63" s="1"/>
  <c r="O101" i="63" s="1"/>
  <c r="O102" i="63" s="1"/>
  <c r="O103" i="63" s="1"/>
  <c r="O104" i="63" s="1"/>
  <c r="O105" i="63" s="1"/>
  <c r="O106" i="63" s="1"/>
  <c r="O107" i="63" s="1"/>
  <c r="O108" i="63" s="1"/>
  <c r="O109" i="63" s="1"/>
  <c r="O110" i="63" s="1"/>
  <c r="O111" i="63" s="1"/>
  <c r="O112" i="63" s="1"/>
  <c r="O113" i="63" s="1"/>
  <c r="O114" i="63" s="1"/>
  <c r="O115" i="63" s="1"/>
  <c r="O116" i="63" s="1"/>
  <c r="O117" i="63" s="1"/>
  <c r="O118" i="63" s="1"/>
  <c r="O119" i="63" s="1"/>
  <c r="O120" i="63" s="1"/>
  <c r="O121" i="63" s="1"/>
  <c r="O122" i="63" s="1"/>
  <c r="I76" i="63"/>
  <c r="I77" i="63" s="1"/>
  <c r="I78" i="63" s="1"/>
  <c r="I79" i="63" s="1"/>
  <c r="I80" i="63" s="1"/>
  <c r="I81" i="63" s="1"/>
  <c r="I82" i="63" s="1"/>
  <c r="I83" i="63" s="1"/>
  <c r="I84" i="63" s="1"/>
  <c r="I85" i="63" s="1"/>
  <c r="I86" i="63" s="1"/>
  <c r="I87" i="63" s="1"/>
  <c r="I88" i="63" s="1"/>
  <c r="I89" i="63" s="1"/>
  <c r="I90" i="63" s="1"/>
  <c r="I91" i="63" s="1"/>
  <c r="I92" i="63" s="1"/>
  <c r="I93" i="63" s="1"/>
  <c r="I94" i="63" s="1"/>
  <c r="I95" i="63" s="1"/>
  <c r="I96" i="63" s="1"/>
  <c r="I97" i="63" s="1"/>
  <c r="I98" i="63" s="1"/>
  <c r="I99" i="63" s="1"/>
  <c r="I100" i="63" s="1"/>
  <c r="I101" i="63" s="1"/>
  <c r="I102" i="63" s="1"/>
  <c r="I103" i="63" s="1"/>
  <c r="I104" i="63" s="1"/>
  <c r="I105" i="63" s="1"/>
  <c r="I106" i="63" s="1"/>
  <c r="I107" i="63" s="1"/>
  <c r="I108" i="63" s="1"/>
  <c r="I109" i="63" s="1"/>
  <c r="I110" i="63" s="1"/>
  <c r="I111" i="63" s="1"/>
  <c r="I112" i="63" s="1"/>
  <c r="I113" i="63" s="1"/>
  <c r="I114" i="63" s="1"/>
  <c r="I115" i="63" s="1"/>
  <c r="I116" i="63" s="1"/>
  <c r="I117" i="63" s="1"/>
  <c r="I118" i="63" s="1"/>
  <c r="I119" i="63" s="1"/>
  <c r="I120" i="63" s="1"/>
  <c r="I121" i="63" s="1"/>
  <c r="I122" i="63" s="1"/>
  <c r="C76" i="63"/>
  <c r="C97" i="63" s="1"/>
  <c r="A76" i="63"/>
  <c r="A77" i="63" s="1"/>
  <c r="A78" i="63" s="1"/>
  <c r="A79" i="63" s="1"/>
  <c r="A80" i="63" s="1"/>
  <c r="A81" i="63" s="1"/>
  <c r="A82" i="63" s="1"/>
  <c r="A71" i="63"/>
  <c r="T66" i="63"/>
  <c r="T65" i="63"/>
  <c r="T64" i="63"/>
  <c r="T63" i="63"/>
  <c r="T62" i="63"/>
  <c r="T61" i="63"/>
  <c r="T59" i="63"/>
  <c r="T58" i="63"/>
  <c r="T57" i="63"/>
  <c r="T56" i="63"/>
  <c r="A43" i="63"/>
  <c r="A29" i="63"/>
  <c r="A30" i="63" s="1"/>
  <c r="A31" i="63" s="1"/>
  <c r="A32" i="63" s="1"/>
  <c r="A33" i="63" s="1"/>
  <c r="A34" i="63" s="1"/>
  <c r="A35" i="63" s="1"/>
  <c r="A36" i="63" s="1"/>
  <c r="A28" i="63"/>
  <c r="D19" i="63"/>
  <c r="D20" i="63" s="1"/>
  <c r="D21" i="63" s="1"/>
  <c r="D22" i="63" s="1"/>
  <c r="D23" i="63" s="1"/>
  <c r="E23" i="63" s="1"/>
  <c r="B19" i="63"/>
  <c r="B20" i="63" s="1"/>
  <c r="B21" i="63" s="1"/>
  <c r="B22" i="63" s="1"/>
  <c r="B23" i="63" s="1"/>
  <c r="A19" i="63"/>
  <c r="A20" i="63" s="1"/>
  <c r="A21" i="63" s="1"/>
  <c r="A22" i="63" s="1"/>
  <c r="A23" i="63" s="1"/>
  <c r="O8" i="63"/>
  <c r="O9" i="63" s="1"/>
  <c r="O10" i="63" s="1"/>
  <c r="O11" i="63" s="1"/>
  <c r="O12" i="63" s="1"/>
  <c r="O13" i="63" s="1"/>
  <c r="O14" i="63" s="1"/>
  <c r="O15" i="63" s="1"/>
  <c r="O16" i="63" s="1"/>
  <c r="O17" i="63" s="1"/>
  <c r="O18" i="63" s="1"/>
  <c r="O19" i="63" s="1"/>
  <c r="O20" i="63" s="1"/>
  <c r="O21" i="63" s="1"/>
  <c r="O22" i="63" s="1"/>
  <c r="O23" i="63" s="1"/>
  <c r="O24" i="63" s="1"/>
  <c r="O25" i="63" s="1"/>
  <c r="O26" i="63" s="1"/>
  <c r="O27" i="63" s="1"/>
  <c r="O28" i="63" s="1"/>
  <c r="O29" i="63" s="1"/>
  <c r="O30" i="63" s="1"/>
  <c r="O31" i="63" s="1"/>
  <c r="O32" i="63" s="1"/>
  <c r="O33" i="63" s="1"/>
  <c r="O34" i="63" s="1"/>
  <c r="O35" i="63" s="1"/>
  <c r="O36" i="63" s="1"/>
  <c r="O37" i="63" s="1"/>
  <c r="O38" i="63" s="1"/>
  <c r="O39" i="63" s="1"/>
  <c r="O40" i="63" s="1"/>
  <c r="O41" i="63" s="1"/>
  <c r="O42" i="63" s="1"/>
  <c r="O43" i="63" s="1"/>
  <c r="O44" i="63" s="1"/>
  <c r="O45" i="63" s="1"/>
  <c r="O46" i="63" s="1"/>
  <c r="O47" i="63" s="1"/>
  <c r="O48" i="63" s="1"/>
  <c r="O49" i="63" s="1"/>
  <c r="O50" i="63" s="1"/>
  <c r="O51" i="63" s="1"/>
  <c r="O52" i="63" s="1"/>
  <c r="O53" i="63" s="1"/>
  <c r="O54" i="63" s="1"/>
  <c r="O55" i="63" s="1"/>
  <c r="O56" i="63" s="1"/>
  <c r="O57" i="63" s="1"/>
  <c r="O58" i="63" s="1"/>
  <c r="O59" i="63" s="1"/>
  <c r="O60" i="63" s="1"/>
  <c r="O61" i="63" s="1"/>
  <c r="O62" i="63" s="1"/>
  <c r="O63" i="63" s="1"/>
  <c r="O64" i="63" s="1"/>
  <c r="O65" i="63" s="1"/>
  <c r="O66" i="63" s="1"/>
  <c r="I8" i="63"/>
  <c r="I9" i="63" s="1"/>
  <c r="I10" i="63" s="1"/>
  <c r="I11" i="63" s="1"/>
  <c r="I12" i="63" s="1"/>
  <c r="I13" i="63" s="1"/>
  <c r="I14" i="63" s="1"/>
  <c r="I15" i="63" s="1"/>
  <c r="I16" i="63" s="1"/>
  <c r="I17" i="63" s="1"/>
  <c r="I18" i="63" s="1"/>
  <c r="I19" i="63" s="1"/>
  <c r="I20" i="63" s="1"/>
  <c r="I21" i="63" s="1"/>
  <c r="I22" i="63" s="1"/>
  <c r="I23" i="63" s="1"/>
  <c r="I24" i="63" s="1"/>
  <c r="I25" i="63" s="1"/>
  <c r="I26" i="63" s="1"/>
  <c r="I27" i="63" s="1"/>
  <c r="I28" i="63" s="1"/>
  <c r="I29" i="63" s="1"/>
  <c r="I30" i="63" s="1"/>
  <c r="I31" i="63" s="1"/>
  <c r="I32" i="63" s="1"/>
  <c r="I33" i="63" s="1"/>
  <c r="I34" i="63" s="1"/>
  <c r="I35" i="63" s="1"/>
  <c r="I36" i="63" s="1"/>
  <c r="I37" i="63" s="1"/>
  <c r="I38" i="63" s="1"/>
  <c r="I39" i="63" s="1"/>
  <c r="I40" i="63" s="1"/>
  <c r="I41" i="63" s="1"/>
  <c r="I42" i="63" s="1"/>
  <c r="I43" i="63" s="1"/>
  <c r="I44" i="63" s="1"/>
  <c r="I45" i="63" s="1"/>
  <c r="I46" i="63" s="1"/>
  <c r="I47" i="63" s="1"/>
  <c r="I48" i="63" s="1"/>
  <c r="I49" i="63" s="1"/>
  <c r="I50" i="63" s="1"/>
  <c r="I51" i="63" s="1"/>
  <c r="I52" i="63" s="1"/>
  <c r="I53" i="63" s="1"/>
  <c r="I54" i="63" s="1"/>
  <c r="I55" i="63" s="1"/>
  <c r="I56" i="63" s="1"/>
  <c r="I57" i="63" s="1"/>
  <c r="I58" i="63" s="1"/>
  <c r="I59" i="63" s="1"/>
  <c r="I60" i="63" s="1"/>
  <c r="I61" i="63" s="1"/>
  <c r="I62" i="63" s="1"/>
  <c r="I63" i="63" s="1"/>
  <c r="I64" i="63" s="1"/>
  <c r="I65" i="63" s="1"/>
  <c r="I66" i="63" s="1"/>
  <c r="A8" i="63"/>
  <c r="A9" i="63" s="1"/>
  <c r="A10" i="63" s="1"/>
  <c r="A11" i="63" s="1"/>
  <c r="A12" i="63" s="1"/>
  <c r="A13" i="63" s="1"/>
  <c r="A14" i="63" s="1"/>
  <c r="P7" i="63"/>
  <c r="P8" i="63" s="1"/>
  <c r="P9" i="63" s="1"/>
  <c r="P10" i="63" s="1"/>
  <c r="P11" i="63" s="1"/>
  <c r="P12" i="63" s="1"/>
  <c r="P13" i="63" s="1"/>
  <c r="P14" i="63" s="1"/>
  <c r="P15" i="63" s="1"/>
  <c r="P16" i="63" s="1"/>
  <c r="P17" i="63" s="1"/>
  <c r="P18" i="63" s="1"/>
  <c r="P19" i="63" s="1"/>
  <c r="P20" i="63" s="1"/>
  <c r="P21" i="63" s="1"/>
  <c r="P22" i="63" s="1"/>
  <c r="P23" i="63" s="1"/>
  <c r="P24" i="63" s="1"/>
  <c r="P25" i="63" s="1"/>
  <c r="P26" i="63" s="1"/>
  <c r="P27" i="63" s="1"/>
  <c r="P28" i="63" s="1"/>
  <c r="P29" i="63" s="1"/>
  <c r="P30" i="63" s="1"/>
  <c r="P31" i="63" s="1"/>
  <c r="P32" i="63" s="1"/>
  <c r="P33" i="63" s="1"/>
  <c r="P34" i="63" s="1"/>
  <c r="P35" i="63" s="1"/>
  <c r="P36" i="63" s="1"/>
  <c r="P37" i="63" s="1"/>
  <c r="P38" i="63" s="1"/>
  <c r="P39" i="63" s="1"/>
  <c r="P40" i="63" s="1"/>
  <c r="P41" i="63" s="1"/>
  <c r="P42" i="63" s="1"/>
  <c r="P43" i="63" s="1"/>
  <c r="P44" i="63" s="1"/>
  <c r="P45" i="63" s="1"/>
  <c r="P46" i="63" s="1"/>
  <c r="P47" i="63" s="1"/>
  <c r="P48" i="63" s="1"/>
  <c r="P49" i="63" s="1"/>
  <c r="P50" i="63" s="1"/>
  <c r="P51" i="63" s="1"/>
  <c r="P52" i="63" s="1"/>
  <c r="P53" i="63" s="1"/>
  <c r="P54" i="63" s="1"/>
  <c r="P55" i="63" s="1"/>
  <c r="P56" i="63" s="1"/>
  <c r="P57" i="63" s="1"/>
  <c r="P58" i="63" s="1"/>
  <c r="P59" i="63" s="1"/>
  <c r="P60" i="63" s="1"/>
  <c r="P61" i="63" s="1"/>
  <c r="P62" i="63" s="1"/>
  <c r="P63" i="63" s="1"/>
  <c r="P64" i="63" s="1"/>
  <c r="P65" i="63" s="1"/>
  <c r="P66" i="63" s="1"/>
  <c r="U49" i="105" l="1"/>
  <c r="W48" i="105"/>
  <c r="X48" i="105" s="1"/>
  <c r="U49" i="104"/>
  <c r="W48" i="104"/>
  <c r="X48" i="104" s="1"/>
  <c r="U45" i="103"/>
  <c r="W44" i="103"/>
  <c r="X44" i="103" s="1"/>
  <c r="U28" i="96"/>
  <c r="W27" i="96"/>
  <c r="X27" i="96" s="1"/>
  <c r="K66" i="96"/>
  <c r="M66" i="96" s="1"/>
  <c r="U100" i="96"/>
  <c r="W99" i="96"/>
  <c r="X99" i="96" s="1"/>
  <c r="J66" i="95"/>
  <c r="L66" i="95"/>
  <c r="R66" i="95" s="1"/>
  <c r="W66" i="95" s="1"/>
  <c r="U26" i="95"/>
  <c r="W25" i="95"/>
  <c r="X25" i="95" s="1"/>
  <c r="C13" i="72"/>
  <c r="D13" i="72" s="1"/>
  <c r="C76" i="72"/>
  <c r="C97" i="72" s="1"/>
  <c r="Y17" i="23"/>
  <c r="Z17" i="23" s="1"/>
  <c r="D14" i="67"/>
  <c r="N43" i="23" s="1"/>
  <c r="O18" i="72"/>
  <c r="O19" i="72" s="1"/>
  <c r="O20" i="72" s="1"/>
  <c r="O21" i="72" s="1"/>
  <c r="O22" i="72" s="1"/>
  <c r="O23" i="72" s="1"/>
  <c r="C77" i="72"/>
  <c r="C98" i="72" s="1"/>
  <c r="B21" i="72"/>
  <c r="C79" i="72"/>
  <c r="C96" i="72" s="1"/>
  <c r="C78" i="72"/>
  <c r="C35" i="72"/>
  <c r="C103" i="72" s="1"/>
  <c r="C78" i="71"/>
  <c r="C35" i="71"/>
  <c r="C103" i="71" s="1"/>
  <c r="C77" i="71"/>
  <c r="C98" i="71" s="1"/>
  <c r="C97" i="71"/>
  <c r="B23" i="67"/>
  <c r="O10" i="67"/>
  <c r="O11" i="67" s="1"/>
  <c r="O12" i="67" s="1"/>
  <c r="O13" i="67" s="1"/>
  <c r="O14" i="67" s="1"/>
  <c r="C35" i="67"/>
  <c r="C103" i="67" s="1"/>
  <c r="C78" i="67"/>
  <c r="C79" i="67"/>
  <c r="C96" i="67" s="1"/>
  <c r="C77" i="67"/>
  <c r="C98" i="67" s="1"/>
  <c r="C97" i="67"/>
  <c r="C78" i="63"/>
  <c r="C35" i="63"/>
  <c r="C103" i="63" s="1"/>
  <c r="W49" i="105" l="1"/>
  <c r="X49" i="105" s="1"/>
  <c r="U50" i="105"/>
  <c r="W49" i="104"/>
  <c r="X49" i="104" s="1"/>
  <c r="U50" i="104"/>
  <c r="U46" i="103"/>
  <c r="W45" i="103"/>
  <c r="X45" i="103" s="1"/>
  <c r="D14" i="72"/>
  <c r="N45" i="23" s="1"/>
  <c r="C81" i="72"/>
  <c r="Q72" i="72" s="1"/>
  <c r="P75" i="72" s="1"/>
  <c r="P76" i="72" s="1"/>
  <c r="P77" i="72" s="1"/>
  <c r="P78" i="72" s="1"/>
  <c r="P79" i="72" s="1"/>
  <c r="P80" i="72" s="1"/>
  <c r="P81" i="72" s="1"/>
  <c r="P82" i="72" s="1"/>
  <c r="P83" i="72" s="1"/>
  <c r="P84" i="72" s="1"/>
  <c r="P85" i="72" s="1"/>
  <c r="P86" i="72" s="1"/>
  <c r="P87" i="72" s="1"/>
  <c r="P88" i="72" s="1"/>
  <c r="P89" i="72" s="1"/>
  <c r="P90" i="72" s="1"/>
  <c r="P91" i="72" s="1"/>
  <c r="P92" i="72" s="1"/>
  <c r="P93" i="72" s="1"/>
  <c r="P94" i="72" s="1"/>
  <c r="P95" i="72" s="1"/>
  <c r="P96" i="72" s="1"/>
  <c r="P97" i="72" s="1"/>
  <c r="P98" i="72" s="1"/>
  <c r="P99" i="72" s="1"/>
  <c r="P100" i="72" s="1"/>
  <c r="P101" i="72" s="1"/>
  <c r="P102" i="72" s="1"/>
  <c r="P103" i="72" s="1"/>
  <c r="P104" i="72" s="1"/>
  <c r="P105" i="72" s="1"/>
  <c r="P106" i="72" s="1"/>
  <c r="P107" i="72" s="1"/>
  <c r="P108" i="72" s="1"/>
  <c r="P109" i="72" s="1"/>
  <c r="P110" i="72" s="1"/>
  <c r="P111" i="72" s="1"/>
  <c r="P112" i="72" s="1"/>
  <c r="P113" i="72" s="1"/>
  <c r="P114" i="72" s="1"/>
  <c r="P115" i="72" s="1"/>
  <c r="P116" i="72" s="1"/>
  <c r="P117" i="72" s="1"/>
  <c r="P118" i="72" s="1"/>
  <c r="P119" i="72" s="1"/>
  <c r="P120" i="72" s="1"/>
  <c r="P121" i="72" s="1"/>
  <c r="P122" i="72" s="1"/>
  <c r="U101" i="96"/>
  <c r="W100" i="96"/>
  <c r="X100" i="96" s="1"/>
  <c r="U29" i="96"/>
  <c r="W28" i="96"/>
  <c r="X28" i="96" s="1"/>
  <c r="U27" i="95"/>
  <c r="W26" i="95"/>
  <c r="X26" i="95" s="1"/>
  <c r="K66" i="95"/>
  <c r="M66" i="95" s="1"/>
  <c r="B22" i="72"/>
  <c r="O24" i="72"/>
  <c r="O15" i="67"/>
  <c r="U51" i="105" l="1"/>
  <c r="W50" i="105"/>
  <c r="X50" i="105" s="1"/>
  <c r="W50" i="104"/>
  <c r="X50" i="104" s="1"/>
  <c r="U51" i="104"/>
  <c r="U47" i="103"/>
  <c r="W46" i="103"/>
  <c r="X46" i="103" s="1"/>
  <c r="U30" i="96"/>
  <c r="W29" i="96"/>
  <c r="X29" i="96" s="1"/>
  <c r="U102" i="96"/>
  <c r="W101" i="96"/>
  <c r="X101" i="96" s="1"/>
  <c r="U28" i="95"/>
  <c r="W27" i="95"/>
  <c r="X27" i="95" s="1"/>
  <c r="O25" i="72"/>
  <c r="B23" i="72"/>
  <c r="O16" i="67"/>
  <c r="U52" i="105" l="1"/>
  <c r="W51" i="105"/>
  <c r="X51" i="105" s="1"/>
  <c r="W51" i="104"/>
  <c r="X51" i="104" s="1"/>
  <c r="U52" i="104"/>
  <c r="U48" i="103"/>
  <c r="W47" i="103"/>
  <c r="X47" i="103" s="1"/>
  <c r="U103" i="96"/>
  <c r="W102" i="96"/>
  <c r="X102" i="96" s="1"/>
  <c r="U31" i="96"/>
  <c r="W30" i="96"/>
  <c r="X30" i="96" s="1"/>
  <c r="U29" i="95"/>
  <c r="W28" i="95"/>
  <c r="X28" i="95" s="1"/>
  <c r="O26" i="72"/>
  <c r="O17" i="67"/>
  <c r="U53" i="105" l="1"/>
  <c r="W52" i="105"/>
  <c r="X52" i="105" s="1"/>
  <c r="U53" i="104"/>
  <c r="W52" i="104"/>
  <c r="X52" i="104" s="1"/>
  <c r="U49" i="103"/>
  <c r="W48" i="103"/>
  <c r="X48" i="103" s="1"/>
  <c r="U104" i="96"/>
  <c r="W103" i="96"/>
  <c r="X103" i="96" s="1"/>
  <c r="U32" i="96"/>
  <c r="W31" i="96"/>
  <c r="X31" i="96" s="1"/>
  <c r="U30" i="95"/>
  <c r="W29" i="95"/>
  <c r="X29" i="95" s="1"/>
  <c r="O27" i="72"/>
  <c r="O18" i="67"/>
  <c r="U54" i="105" l="1"/>
  <c r="U67" i="105"/>
  <c r="Q68" i="105" s="1"/>
  <c r="W53" i="105"/>
  <c r="X53" i="105" s="1"/>
  <c r="U54" i="104"/>
  <c r="U67" i="104" s="1"/>
  <c r="Q68" i="104" s="1"/>
  <c r="W53" i="104"/>
  <c r="X53" i="104" s="1"/>
  <c r="U50" i="103"/>
  <c r="W49" i="103"/>
  <c r="X49" i="103" s="1"/>
  <c r="U105" i="96"/>
  <c r="W104" i="96"/>
  <c r="X104" i="96" s="1"/>
  <c r="U33" i="96"/>
  <c r="W32" i="96"/>
  <c r="X32" i="96" s="1"/>
  <c r="U31" i="95"/>
  <c r="W30" i="95"/>
  <c r="X30" i="95" s="1"/>
  <c r="O28" i="72"/>
  <c r="O19" i="67"/>
  <c r="W54" i="105" l="1"/>
  <c r="X54" i="105" s="1"/>
  <c r="U55" i="105"/>
  <c r="W54" i="104"/>
  <c r="X54" i="104" s="1"/>
  <c r="U55" i="104"/>
  <c r="U51" i="103"/>
  <c r="W50" i="103"/>
  <c r="X50" i="103" s="1"/>
  <c r="U106" i="96"/>
  <c r="W105" i="96"/>
  <c r="X105" i="96" s="1"/>
  <c r="U34" i="96"/>
  <c r="W33" i="96"/>
  <c r="X33" i="96" s="1"/>
  <c r="U32" i="95"/>
  <c r="W31" i="95"/>
  <c r="X31" i="95" s="1"/>
  <c r="O29" i="72"/>
  <c r="O20" i="67"/>
  <c r="U56" i="105" l="1"/>
  <c r="W55" i="105"/>
  <c r="X55" i="105" s="1"/>
  <c r="U56" i="104"/>
  <c r="W55" i="104"/>
  <c r="X55" i="104" s="1"/>
  <c r="U52" i="103"/>
  <c r="W51" i="103"/>
  <c r="X51" i="103" s="1"/>
  <c r="U35" i="96"/>
  <c r="W34" i="96"/>
  <c r="X34" i="96" s="1"/>
  <c r="U107" i="96"/>
  <c r="W106" i="96"/>
  <c r="X106" i="96" s="1"/>
  <c r="U33" i="95"/>
  <c r="W32" i="95"/>
  <c r="X32" i="95" s="1"/>
  <c r="O30" i="72"/>
  <c r="O21" i="67"/>
  <c r="W56" i="105" l="1"/>
  <c r="X56" i="105" s="1"/>
  <c r="U57" i="105"/>
  <c r="W56" i="104"/>
  <c r="X56" i="104" s="1"/>
  <c r="U57" i="104"/>
  <c r="U53" i="103"/>
  <c r="W52" i="103"/>
  <c r="X52" i="103" s="1"/>
  <c r="U36" i="96"/>
  <c r="W35" i="96"/>
  <c r="X35" i="96" s="1"/>
  <c r="U108" i="96"/>
  <c r="W107" i="96"/>
  <c r="X107" i="96" s="1"/>
  <c r="U34" i="95"/>
  <c r="W33" i="95"/>
  <c r="X33" i="95" s="1"/>
  <c r="O31" i="72"/>
  <c r="O22" i="67"/>
  <c r="W57" i="105" l="1"/>
  <c r="X57" i="105" s="1"/>
  <c r="U58" i="105"/>
  <c r="W57" i="104"/>
  <c r="X57" i="104" s="1"/>
  <c r="U58" i="104"/>
  <c r="U54" i="103"/>
  <c r="W53" i="103"/>
  <c r="X53" i="103" s="1"/>
  <c r="U37" i="96"/>
  <c r="W36" i="96"/>
  <c r="X36" i="96" s="1"/>
  <c r="U109" i="96"/>
  <c r="W108" i="96"/>
  <c r="X108" i="96" s="1"/>
  <c r="U35" i="95"/>
  <c r="W34" i="95"/>
  <c r="X34" i="95" s="1"/>
  <c r="O32" i="72"/>
  <c r="O23" i="67"/>
  <c r="W58" i="105" l="1"/>
  <c r="X58" i="105" s="1"/>
  <c r="U59" i="105"/>
  <c r="W58" i="104"/>
  <c r="X58" i="104" s="1"/>
  <c r="U59" i="104"/>
  <c r="U55" i="103"/>
  <c r="W54" i="103"/>
  <c r="X54" i="103" s="1"/>
  <c r="U67" i="103"/>
  <c r="Q68" i="103" s="1"/>
  <c r="U38" i="96"/>
  <c r="W37" i="96"/>
  <c r="X37" i="96" s="1"/>
  <c r="U110" i="96"/>
  <c r="W109" i="96"/>
  <c r="X109" i="96" s="1"/>
  <c r="U36" i="95"/>
  <c r="W35" i="95"/>
  <c r="X35" i="95" s="1"/>
  <c r="O33" i="72"/>
  <c r="O24" i="67"/>
  <c r="U60" i="105" l="1"/>
  <c r="W59" i="105"/>
  <c r="X59" i="105" s="1"/>
  <c r="W59" i="104"/>
  <c r="X59" i="104" s="1"/>
  <c r="U60" i="104"/>
  <c r="U56" i="103"/>
  <c r="W55" i="103"/>
  <c r="X55" i="103" s="1"/>
  <c r="U39" i="96"/>
  <c r="W38" i="96"/>
  <c r="X38" i="96" s="1"/>
  <c r="U111" i="96"/>
  <c r="W110" i="96"/>
  <c r="X110" i="96" s="1"/>
  <c r="U37" i="95"/>
  <c r="W36" i="95"/>
  <c r="X36" i="95" s="1"/>
  <c r="O34" i="72"/>
  <c r="O25" i="67"/>
  <c r="W60" i="105" l="1"/>
  <c r="X60" i="105" s="1"/>
  <c r="X61" i="105" s="1"/>
  <c r="U61" i="105"/>
  <c r="U61" i="104"/>
  <c r="W60" i="104"/>
  <c r="X60" i="104" s="1"/>
  <c r="U57" i="103"/>
  <c r="W56" i="103"/>
  <c r="X56" i="103" s="1"/>
  <c r="U40" i="96"/>
  <c r="W39" i="96"/>
  <c r="X39" i="96" s="1"/>
  <c r="U112" i="96"/>
  <c r="W111" i="96"/>
  <c r="X111" i="96" s="1"/>
  <c r="U38" i="95"/>
  <c r="W37" i="95"/>
  <c r="X37" i="95" s="1"/>
  <c r="O35" i="72"/>
  <c r="O26" i="67"/>
  <c r="U62" i="105" l="1"/>
  <c r="U64" i="105"/>
  <c r="U63" i="105"/>
  <c r="X62" i="105"/>
  <c r="X64" i="105"/>
  <c r="X63" i="105"/>
  <c r="U63" i="104"/>
  <c r="W63" i="104" s="1"/>
  <c r="U62" i="104"/>
  <c r="W61" i="104"/>
  <c r="X61" i="104" s="1"/>
  <c r="U64" i="104"/>
  <c r="W64" i="104" s="1"/>
  <c r="U58" i="103"/>
  <c r="W57" i="103"/>
  <c r="X57" i="103" s="1"/>
  <c r="U113" i="96"/>
  <c r="W112" i="96"/>
  <c r="X112" i="96" s="1"/>
  <c r="U41" i="96"/>
  <c r="W40" i="96"/>
  <c r="X40" i="96" s="1"/>
  <c r="U39" i="95"/>
  <c r="W38" i="95"/>
  <c r="X38" i="95" s="1"/>
  <c r="O36" i="72"/>
  <c r="O27" i="67"/>
  <c r="X65" i="105" l="1"/>
  <c r="X66" i="105"/>
  <c r="U65" i="105"/>
  <c r="U66" i="105"/>
  <c r="X64" i="104"/>
  <c r="X63" i="104"/>
  <c r="U65" i="104"/>
  <c r="W65" i="104" s="1"/>
  <c r="U66" i="104"/>
  <c r="W66" i="104" s="1"/>
  <c r="W62" i="104"/>
  <c r="X62" i="104" s="1"/>
  <c r="U59" i="103"/>
  <c r="W58" i="103"/>
  <c r="X58" i="103" s="1"/>
  <c r="U114" i="96"/>
  <c r="W113" i="96"/>
  <c r="X113" i="96" s="1"/>
  <c r="U42" i="96"/>
  <c r="W41" i="96"/>
  <c r="X41" i="96" s="1"/>
  <c r="U40" i="95"/>
  <c r="W39" i="95"/>
  <c r="X39" i="95" s="1"/>
  <c r="O37" i="72"/>
  <c r="O28" i="67"/>
  <c r="X65" i="104" l="1"/>
  <c r="X66" i="104"/>
  <c r="U60" i="103"/>
  <c r="W59" i="103"/>
  <c r="X59" i="103" s="1"/>
  <c r="U115" i="96"/>
  <c r="W114" i="96"/>
  <c r="X114" i="96" s="1"/>
  <c r="U43" i="96"/>
  <c r="W42" i="96"/>
  <c r="X42" i="96" s="1"/>
  <c r="U41" i="95"/>
  <c r="W40" i="95"/>
  <c r="X40" i="95" s="1"/>
  <c r="O38" i="72"/>
  <c r="O29" i="67"/>
  <c r="U61" i="103" l="1"/>
  <c r="W60" i="103"/>
  <c r="X60" i="103" s="1"/>
  <c r="X61" i="103" s="1"/>
  <c r="U116" i="96"/>
  <c r="W115" i="96"/>
  <c r="X115" i="96" s="1"/>
  <c r="U44" i="96"/>
  <c r="W43" i="96"/>
  <c r="X43" i="96" s="1"/>
  <c r="U42" i="95"/>
  <c r="W41" i="95"/>
  <c r="X41" i="95" s="1"/>
  <c r="O39" i="72"/>
  <c r="O30" i="67"/>
  <c r="X63" i="103" l="1"/>
  <c r="X64" i="103"/>
  <c r="X62" i="103"/>
  <c r="U64" i="103"/>
  <c r="U62" i="103"/>
  <c r="U63" i="103"/>
  <c r="U45" i="96"/>
  <c r="W44" i="96"/>
  <c r="X44" i="96" s="1"/>
  <c r="U117" i="96"/>
  <c r="W116" i="96"/>
  <c r="X116" i="96" s="1"/>
  <c r="U43" i="95"/>
  <c r="W42" i="95"/>
  <c r="X42" i="95" s="1"/>
  <c r="O40" i="72"/>
  <c r="O31" i="67"/>
  <c r="U66" i="103" l="1"/>
  <c r="U65" i="103"/>
  <c r="X65" i="103"/>
  <c r="X66" i="103"/>
  <c r="U118" i="96"/>
  <c r="W117" i="96"/>
  <c r="X117" i="96" s="1"/>
  <c r="U46" i="96"/>
  <c r="W45" i="96"/>
  <c r="X45" i="96" s="1"/>
  <c r="U44" i="95"/>
  <c r="W43" i="95"/>
  <c r="X43" i="95" s="1"/>
  <c r="O41" i="72"/>
  <c r="O32" i="67"/>
  <c r="U119" i="96" l="1"/>
  <c r="W118" i="96"/>
  <c r="X118" i="96" s="1"/>
  <c r="U47" i="96"/>
  <c r="W46" i="96"/>
  <c r="X46" i="96" s="1"/>
  <c r="U45" i="95"/>
  <c r="W44" i="95"/>
  <c r="X44" i="95" s="1"/>
  <c r="O42" i="72"/>
  <c r="O33" i="67"/>
  <c r="U120" i="96" l="1"/>
  <c r="W119" i="96"/>
  <c r="X119" i="96" s="1"/>
  <c r="U48" i="96"/>
  <c r="W47" i="96"/>
  <c r="X47" i="96" s="1"/>
  <c r="U46" i="95"/>
  <c r="W45" i="95"/>
  <c r="X45" i="95" s="1"/>
  <c r="O43" i="72"/>
  <c r="O34" i="67"/>
  <c r="U121" i="96" l="1"/>
  <c r="W120" i="96"/>
  <c r="X120" i="96" s="1"/>
  <c r="U49" i="96"/>
  <c r="W48" i="96"/>
  <c r="X48" i="96" s="1"/>
  <c r="U47" i="95"/>
  <c r="W46" i="95"/>
  <c r="X46" i="95" s="1"/>
  <c r="O44" i="72"/>
  <c r="O35" i="67"/>
  <c r="U122" i="96" l="1"/>
  <c r="W121" i="96"/>
  <c r="X121" i="96" s="1"/>
  <c r="U50" i="96"/>
  <c r="W49" i="96"/>
  <c r="X49" i="96" s="1"/>
  <c r="U48" i="95"/>
  <c r="W47" i="95"/>
  <c r="X47" i="95" s="1"/>
  <c r="O45" i="72"/>
  <c r="O36" i="67"/>
  <c r="U123" i="96" l="1"/>
  <c r="W122" i="96"/>
  <c r="X122" i="96" s="1"/>
  <c r="U51" i="96"/>
  <c r="W50" i="96"/>
  <c r="X50" i="96" s="1"/>
  <c r="U49" i="95"/>
  <c r="W48" i="95"/>
  <c r="X48" i="95" s="1"/>
  <c r="O46" i="72"/>
  <c r="O37" i="67"/>
  <c r="U124" i="96" l="1"/>
  <c r="W123" i="96"/>
  <c r="X123" i="96" s="1"/>
  <c r="U52" i="96"/>
  <c r="W51" i="96"/>
  <c r="X51" i="96" s="1"/>
  <c r="U50" i="95"/>
  <c r="W49" i="95"/>
  <c r="X49" i="95" s="1"/>
  <c r="O47" i="72"/>
  <c r="O38" i="67"/>
  <c r="U125" i="96" l="1"/>
  <c r="W124" i="96"/>
  <c r="X124" i="96" s="1"/>
  <c r="U53" i="96"/>
  <c r="W52" i="96"/>
  <c r="X52" i="96" s="1"/>
  <c r="U51" i="95"/>
  <c r="W50" i="95"/>
  <c r="X50" i="95" s="1"/>
  <c r="O48" i="72"/>
  <c r="O39" i="67"/>
  <c r="U54" i="96" l="1"/>
  <c r="W53" i="96"/>
  <c r="X53" i="96" s="1"/>
  <c r="U126" i="96"/>
  <c r="W125" i="96"/>
  <c r="X125" i="96" s="1"/>
  <c r="U52" i="95"/>
  <c r="W51" i="95"/>
  <c r="X51" i="95" s="1"/>
  <c r="O49" i="72"/>
  <c r="O40" i="67"/>
  <c r="W126" i="96" l="1"/>
  <c r="X126" i="96" s="1"/>
  <c r="U127" i="96"/>
  <c r="U55" i="96"/>
  <c r="W54" i="96"/>
  <c r="X54" i="96" s="1"/>
  <c r="U67" i="96"/>
  <c r="Q68" i="96" s="1"/>
  <c r="U53" i="95"/>
  <c r="W52" i="95"/>
  <c r="X52" i="95" s="1"/>
  <c r="O50" i="72"/>
  <c r="O41" i="67"/>
  <c r="U56" i="96" l="1"/>
  <c r="W55" i="96"/>
  <c r="X55" i="96" s="1"/>
  <c r="U54" i="95"/>
  <c r="W53" i="95"/>
  <c r="X53" i="95" s="1"/>
  <c r="O51" i="72"/>
  <c r="O42" i="67"/>
  <c r="U57" i="96" l="1"/>
  <c r="W56" i="96"/>
  <c r="X56" i="96" s="1"/>
  <c r="U55" i="95"/>
  <c r="W54" i="95"/>
  <c r="X54" i="95" s="1"/>
  <c r="U67" i="95"/>
  <c r="Q68" i="95" s="1"/>
  <c r="O52" i="72"/>
  <c r="O43" i="67"/>
  <c r="U58" i="96" l="1"/>
  <c r="W57" i="96"/>
  <c r="X57" i="96" s="1"/>
  <c r="U56" i="95"/>
  <c r="W55" i="95"/>
  <c r="X55" i="95" s="1"/>
  <c r="O53" i="72"/>
  <c r="O44" i="67"/>
  <c r="U59" i="96" l="1"/>
  <c r="W58" i="96"/>
  <c r="X58" i="96" s="1"/>
  <c r="U57" i="95"/>
  <c r="W56" i="95"/>
  <c r="X56" i="95" s="1"/>
  <c r="O54" i="72"/>
  <c r="O45" i="67"/>
  <c r="U60" i="96" l="1"/>
  <c r="W59" i="96"/>
  <c r="X59" i="96" s="1"/>
  <c r="U58" i="95"/>
  <c r="W57" i="95"/>
  <c r="X57" i="95" s="1"/>
  <c r="O55" i="72"/>
  <c r="O46" i="67"/>
  <c r="U61" i="96" l="1"/>
  <c r="W60" i="96"/>
  <c r="X60" i="96" s="1"/>
  <c r="U59" i="95"/>
  <c r="W58" i="95"/>
  <c r="X58" i="95" s="1"/>
  <c r="O56" i="72"/>
  <c r="O47" i="67"/>
  <c r="U64" i="96" l="1"/>
  <c r="W64" i="96" s="1"/>
  <c r="U63" i="96"/>
  <c r="W63" i="96" s="1"/>
  <c r="U62" i="96"/>
  <c r="W61" i="96"/>
  <c r="X61" i="96" s="1"/>
  <c r="U60" i="95"/>
  <c r="W59" i="95"/>
  <c r="X59" i="95" s="1"/>
  <c r="O57" i="72"/>
  <c r="O48" i="67"/>
  <c r="X63" i="96" l="1"/>
  <c r="X64" i="96"/>
  <c r="U66" i="96"/>
  <c r="W66" i="96" s="1"/>
  <c r="U65" i="96"/>
  <c r="W65" i="96" s="1"/>
  <c r="W62" i="96"/>
  <c r="X62" i="96" s="1"/>
  <c r="U61" i="95"/>
  <c r="W60" i="95"/>
  <c r="X60" i="95" s="1"/>
  <c r="X61" i="95" s="1"/>
  <c r="O58" i="72"/>
  <c r="O49" i="67"/>
  <c r="X65" i="96" l="1"/>
  <c r="X66" i="96"/>
  <c r="X63" i="95"/>
  <c r="X64" i="95"/>
  <c r="X62" i="95"/>
  <c r="U64" i="95"/>
  <c r="U62" i="95"/>
  <c r="U63" i="95"/>
  <c r="O59" i="72"/>
  <c r="O50" i="67"/>
  <c r="X65" i="95" l="1"/>
  <c r="X66" i="95"/>
  <c r="U66" i="95"/>
  <c r="U65" i="95"/>
  <c r="O60" i="72"/>
  <c r="O51" i="67"/>
  <c r="O61" i="72" l="1"/>
  <c r="O52" i="67"/>
  <c r="O62" i="72" l="1"/>
  <c r="O53" i="67"/>
  <c r="O63" i="72" l="1"/>
  <c r="O54" i="67"/>
  <c r="O64" i="72" l="1"/>
  <c r="O55" i="67"/>
  <c r="O65" i="72" l="1"/>
  <c r="O56" i="67"/>
  <c r="O66" i="72" l="1"/>
  <c r="O57" i="67"/>
  <c r="O58" i="67" l="1"/>
  <c r="O59" i="67" l="1"/>
  <c r="O60" i="67" l="1"/>
  <c r="O61" i="67" l="1"/>
  <c r="O62" i="67" l="1"/>
  <c r="O63" i="67" l="1"/>
  <c r="O64" i="67" l="1"/>
  <c r="O65" i="67" l="1"/>
  <c r="O66" i="67" l="1"/>
  <c r="AN15" i="23" l="1"/>
  <c r="AM25" i="23"/>
  <c r="AN17" i="23"/>
  <c r="P14" i="23"/>
  <c r="Q14" i="23" s="1"/>
  <c r="P13" i="23"/>
  <c r="Q13" i="23" s="1"/>
  <c r="P19" i="23"/>
  <c r="Q19" i="23" s="1"/>
  <c r="P18" i="23"/>
  <c r="Q18" i="23" s="1"/>
  <c r="P12" i="23"/>
  <c r="Q12" i="23" s="1"/>
  <c r="P9" i="23"/>
  <c r="Q9" i="23" s="1"/>
  <c r="P7" i="23"/>
  <c r="Q7" i="23" s="1"/>
  <c r="P6" i="23"/>
  <c r="Q6" i="23" s="1"/>
  <c r="I16" i="23" l="1"/>
  <c r="I15" i="23"/>
  <c r="AM12" i="23"/>
  <c r="AN6" i="23"/>
  <c r="AN23" i="23"/>
  <c r="AM9" i="23"/>
  <c r="AM22" i="23"/>
  <c r="AN19" i="23"/>
  <c r="AM5" i="23"/>
  <c r="AN13" i="23"/>
  <c r="AN5" i="23"/>
  <c r="AL5" i="23"/>
  <c r="AL17" i="23"/>
  <c r="AN12" i="23"/>
  <c r="AM20" i="23"/>
  <c r="AM21" i="23"/>
  <c r="AN25" i="23"/>
  <c r="AM18" i="23"/>
  <c r="AN14" i="23"/>
  <c r="AN29" i="23"/>
  <c r="AM7" i="23"/>
  <c r="AN20" i="23"/>
  <c r="AM24" i="23"/>
  <c r="AM26" i="23"/>
  <c r="AN27" i="23"/>
  <c r="G73" i="72" s="1"/>
  <c r="F75" i="72" s="1"/>
  <c r="AN22" i="23"/>
  <c r="AN18" i="23"/>
  <c r="AM15" i="23"/>
  <c r="AM13" i="23"/>
  <c r="AM17" i="23"/>
  <c r="AM6" i="23"/>
  <c r="AN7" i="23"/>
  <c r="AN21" i="23"/>
  <c r="AN24" i="23"/>
  <c r="AN26" i="23"/>
  <c r="AM27" i="23"/>
  <c r="F73" i="67" s="1"/>
  <c r="AM23" i="23"/>
  <c r="AM19" i="23"/>
  <c r="P16" i="23"/>
  <c r="Q16" i="23" s="1"/>
  <c r="D101" i="84"/>
  <c r="D100" i="84"/>
  <c r="D99" i="84"/>
  <c r="G10" i="82"/>
  <c r="P15" i="23"/>
  <c r="Q15" i="23" s="1"/>
  <c r="Q17" i="23" s="1"/>
  <c r="AL13" i="23"/>
  <c r="AL10" i="23"/>
  <c r="D100" i="80"/>
  <c r="D101" i="80"/>
  <c r="D99" i="80"/>
  <c r="AM29" i="23"/>
  <c r="AM10" i="23"/>
  <c r="AN9" i="23"/>
  <c r="AN10" i="23"/>
  <c r="AL24" i="23"/>
  <c r="AL18" i="23"/>
  <c r="AL12" i="23"/>
  <c r="AL14" i="23"/>
  <c r="AL29" i="23"/>
  <c r="AL25" i="23"/>
  <c r="AL15" i="23"/>
  <c r="AM14" i="23"/>
  <c r="AL16" i="23"/>
  <c r="AL28" i="23"/>
  <c r="AL6" i="23"/>
  <c r="AL7" i="23"/>
  <c r="AL27" i="23"/>
  <c r="AL23" i="23"/>
  <c r="AL22" i="23"/>
  <c r="AL19" i="23"/>
  <c r="AL20" i="23"/>
  <c r="AL21" i="23"/>
  <c r="AL26" i="23"/>
  <c r="D100" i="71"/>
  <c r="D100" i="72"/>
  <c r="D101" i="63"/>
  <c r="D101" i="71"/>
  <c r="D99" i="71"/>
  <c r="D101" i="67"/>
  <c r="D100" i="63"/>
  <c r="D99" i="67"/>
  <c r="D101" i="72"/>
  <c r="D99" i="63"/>
  <c r="D100" i="67"/>
  <c r="D99" i="72"/>
  <c r="AL9" i="23"/>
  <c r="AM16" i="23"/>
  <c r="AM28" i="23"/>
  <c r="AN16" i="23"/>
  <c r="AN28" i="23"/>
  <c r="M16" i="23" l="1"/>
  <c r="N16" i="23" s="1"/>
  <c r="I17" i="23"/>
  <c r="V57" i="23"/>
  <c r="M15" i="23"/>
  <c r="N15" i="23" s="1"/>
  <c r="F7" i="72"/>
  <c r="P17" i="23"/>
  <c r="G73" i="63"/>
  <c r="F75" i="63" s="1"/>
  <c r="F73" i="71"/>
  <c r="G73" i="84"/>
  <c r="F75" i="84" s="1"/>
  <c r="F73" i="72"/>
  <c r="F73" i="84"/>
  <c r="F10" i="78"/>
  <c r="G73" i="67"/>
  <c r="F75" i="67" s="1"/>
  <c r="G73" i="71"/>
  <c r="F75" i="71" s="1"/>
  <c r="F73" i="63"/>
  <c r="F73" i="80"/>
  <c r="G73" i="80"/>
  <c r="F75" i="80" s="1"/>
  <c r="E73" i="80"/>
  <c r="F76" i="80" s="1"/>
  <c r="E73" i="84"/>
  <c r="F76" i="84" s="1"/>
  <c r="F10" i="82"/>
  <c r="S124" i="84"/>
  <c r="S75" i="84" s="1"/>
  <c r="F99" i="84"/>
  <c r="G99" i="84"/>
  <c r="F100" i="84"/>
  <c r="G100" i="84"/>
  <c r="T124" i="84"/>
  <c r="F101" i="84"/>
  <c r="G101" i="84"/>
  <c r="F101" i="80"/>
  <c r="G101" i="80"/>
  <c r="F100" i="80"/>
  <c r="T124" i="80"/>
  <c r="G100" i="80"/>
  <c r="F99" i="80"/>
  <c r="S124" i="80"/>
  <c r="S75" i="80" s="1"/>
  <c r="G99" i="80"/>
  <c r="G78" i="80"/>
  <c r="F100" i="67"/>
  <c r="T124" i="67"/>
  <c r="G100" i="67"/>
  <c r="G101" i="67"/>
  <c r="F101" i="67"/>
  <c r="E73" i="67"/>
  <c r="F76" i="67" s="1"/>
  <c r="E73" i="63"/>
  <c r="F76" i="63" s="1"/>
  <c r="E73" i="72"/>
  <c r="F76" i="72" s="1"/>
  <c r="E73" i="71"/>
  <c r="F76" i="71" s="1"/>
  <c r="S124" i="63"/>
  <c r="S75" i="63" s="1"/>
  <c r="G99" i="63"/>
  <c r="F99" i="63"/>
  <c r="G99" i="71"/>
  <c r="F99" i="71"/>
  <c r="S124" i="71"/>
  <c r="S75" i="71" s="1"/>
  <c r="F101" i="72"/>
  <c r="G101" i="72"/>
  <c r="F100" i="71"/>
  <c r="G100" i="71"/>
  <c r="T124" i="71"/>
  <c r="F101" i="63"/>
  <c r="G101" i="63"/>
  <c r="F99" i="67"/>
  <c r="G99" i="67"/>
  <c r="S124" i="67"/>
  <c r="S75" i="67" s="1"/>
  <c r="T124" i="72"/>
  <c r="F100" i="72"/>
  <c r="G100" i="72"/>
  <c r="G99" i="72"/>
  <c r="S124" i="72"/>
  <c r="S75" i="72" s="1"/>
  <c r="F99" i="72"/>
  <c r="F100" i="63"/>
  <c r="T124" i="63"/>
  <c r="G100" i="63"/>
  <c r="F101" i="71"/>
  <c r="G101" i="71"/>
  <c r="M17" i="23" l="1"/>
  <c r="N17" i="23" s="1"/>
  <c r="F10" i="72"/>
  <c r="F11" i="72" s="1"/>
  <c r="C7" i="72" s="1"/>
  <c r="D27" i="72"/>
  <c r="F11" i="82"/>
  <c r="C7" i="82" s="1"/>
  <c r="F11" i="78"/>
  <c r="C7" i="78" s="1"/>
  <c r="J7" i="78" s="1"/>
  <c r="K7" i="78" s="1"/>
  <c r="G82" i="78"/>
  <c r="F82" i="78" s="1"/>
  <c r="F83" i="78" s="1"/>
  <c r="J79" i="78" s="1"/>
  <c r="F78" i="80"/>
  <c r="F79" i="80" s="1"/>
  <c r="C75" i="80" s="1"/>
  <c r="D96" i="80" s="1"/>
  <c r="F96" i="80" s="1"/>
  <c r="G96" i="80" s="1"/>
  <c r="T104" i="84"/>
  <c r="T122" i="84"/>
  <c r="S76" i="84"/>
  <c r="S77" i="84" s="1"/>
  <c r="S78" i="84" s="1"/>
  <c r="S79" i="84" s="1"/>
  <c r="S80" i="84" s="1"/>
  <c r="S81" i="84" s="1"/>
  <c r="S82" i="84" s="1"/>
  <c r="S83" i="84" s="1"/>
  <c r="S84" i="84" s="1"/>
  <c r="S85" i="84" s="1"/>
  <c r="S86" i="84" s="1"/>
  <c r="S87" i="84" s="1"/>
  <c r="S88" i="84" s="1"/>
  <c r="S89" i="84" s="1"/>
  <c r="S90" i="84" s="1"/>
  <c r="S91" i="84" s="1"/>
  <c r="S92" i="84" s="1"/>
  <c r="S93" i="84" s="1"/>
  <c r="S94" i="84" s="1"/>
  <c r="S95" i="84" s="1"/>
  <c r="S96" i="84" s="1"/>
  <c r="S97" i="84" s="1"/>
  <c r="S98" i="84" s="1"/>
  <c r="S99" i="84" s="1"/>
  <c r="S100" i="84" s="1"/>
  <c r="S101" i="84" s="1"/>
  <c r="S102" i="84" s="1"/>
  <c r="S103" i="84" s="1"/>
  <c r="S104" i="84" s="1"/>
  <c r="S105" i="84" s="1"/>
  <c r="S106" i="84" s="1"/>
  <c r="S107" i="84" s="1"/>
  <c r="S108" i="84" s="1"/>
  <c r="S109" i="84" s="1"/>
  <c r="S110" i="84" s="1"/>
  <c r="S111" i="84" s="1"/>
  <c r="S112" i="84" s="1"/>
  <c r="S113" i="84" s="1"/>
  <c r="S114" i="84" s="1"/>
  <c r="S115" i="84" s="1"/>
  <c r="S116" i="84" s="1"/>
  <c r="S117" i="84" s="1"/>
  <c r="S118" i="84" s="1"/>
  <c r="S119" i="84" s="1"/>
  <c r="S120" i="84" s="1"/>
  <c r="S121" i="84" s="1"/>
  <c r="S122" i="84" s="1"/>
  <c r="T122" i="80"/>
  <c r="T104" i="80"/>
  <c r="S76" i="80"/>
  <c r="S77" i="80" s="1"/>
  <c r="S78" i="80" s="1"/>
  <c r="S79" i="80" s="1"/>
  <c r="S80" i="80" s="1"/>
  <c r="S81" i="80" s="1"/>
  <c r="S82" i="80" s="1"/>
  <c r="S83" i="80" s="1"/>
  <c r="S84" i="80" s="1"/>
  <c r="S85" i="80" s="1"/>
  <c r="S86" i="80" s="1"/>
  <c r="S87" i="80" s="1"/>
  <c r="S88" i="80" s="1"/>
  <c r="S89" i="80" s="1"/>
  <c r="S90" i="80" s="1"/>
  <c r="S91" i="80" s="1"/>
  <c r="S92" i="80" s="1"/>
  <c r="S93" i="80" s="1"/>
  <c r="S94" i="80" s="1"/>
  <c r="S95" i="80" s="1"/>
  <c r="S96" i="80" s="1"/>
  <c r="S97" i="80" s="1"/>
  <c r="S98" i="80" s="1"/>
  <c r="S99" i="80" s="1"/>
  <c r="S100" i="80" s="1"/>
  <c r="S101" i="80" s="1"/>
  <c r="S102" i="80" s="1"/>
  <c r="S103" i="80" s="1"/>
  <c r="S104" i="80" s="1"/>
  <c r="S105" i="80" s="1"/>
  <c r="S106" i="80" s="1"/>
  <c r="S107" i="80" s="1"/>
  <c r="S108" i="80" s="1"/>
  <c r="S109" i="80" s="1"/>
  <c r="S110" i="80" s="1"/>
  <c r="S111" i="80" s="1"/>
  <c r="S112" i="80" s="1"/>
  <c r="S113" i="80" s="1"/>
  <c r="S114" i="80" s="1"/>
  <c r="S115" i="80" s="1"/>
  <c r="S116" i="80" s="1"/>
  <c r="S117" i="80" s="1"/>
  <c r="S118" i="80" s="1"/>
  <c r="S119" i="80" s="1"/>
  <c r="S120" i="80" s="1"/>
  <c r="S121" i="80" s="1"/>
  <c r="S122" i="80" s="1"/>
  <c r="J67" i="80"/>
  <c r="L69" i="80"/>
  <c r="L7" i="80" s="1"/>
  <c r="R7" i="80" s="1"/>
  <c r="J7" i="80"/>
  <c r="K7" i="80" s="1"/>
  <c r="T122" i="71"/>
  <c r="T104" i="71"/>
  <c r="S76" i="71"/>
  <c r="S77" i="71" s="1"/>
  <c r="S78" i="71" s="1"/>
  <c r="S79" i="71" s="1"/>
  <c r="S80" i="71" s="1"/>
  <c r="S81" i="71" s="1"/>
  <c r="S82" i="71" s="1"/>
  <c r="S83" i="71" s="1"/>
  <c r="S84" i="71" s="1"/>
  <c r="S85" i="71" s="1"/>
  <c r="S86" i="71" s="1"/>
  <c r="S87" i="71" s="1"/>
  <c r="S88" i="71" s="1"/>
  <c r="S89" i="71" s="1"/>
  <c r="S90" i="71" s="1"/>
  <c r="S91" i="71" s="1"/>
  <c r="S92" i="71" s="1"/>
  <c r="S93" i="71" s="1"/>
  <c r="S94" i="71" s="1"/>
  <c r="S95" i="71" s="1"/>
  <c r="S96" i="71" s="1"/>
  <c r="S97" i="71" s="1"/>
  <c r="S98" i="71" s="1"/>
  <c r="S99" i="71" s="1"/>
  <c r="S100" i="71" s="1"/>
  <c r="S101" i="71" s="1"/>
  <c r="S102" i="71" s="1"/>
  <c r="S103" i="71" s="1"/>
  <c r="S104" i="71" s="1"/>
  <c r="S105" i="71" s="1"/>
  <c r="S106" i="71" s="1"/>
  <c r="S107" i="71" s="1"/>
  <c r="S108" i="71" s="1"/>
  <c r="S109" i="71" s="1"/>
  <c r="S110" i="71" s="1"/>
  <c r="S111" i="71" s="1"/>
  <c r="S112" i="71" s="1"/>
  <c r="S113" i="71" s="1"/>
  <c r="S114" i="71" s="1"/>
  <c r="S115" i="71" s="1"/>
  <c r="S116" i="71" s="1"/>
  <c r="S117" i="71" s="1"/>
  <c r="S118" i="71" s="1"/>
  <c r="S119" i="71" s="1"/>
  <c r="S120" i="71" s="1"/>
  <c r="S121" i="71" s="1"/>
  <c r="S122" i="71" s="1"/>
  <c r="T122" i="72"/>
  <c r="T104" i="72"/>
  <c r="T104" i="63"/>
  <c r="T122" i="63"/>
  <c r="S76" i="67"/>
  <c r="S77" i="67" s="1"/>
  <c r="S78" i="67" s="1"/>
  <c r="S79" i="67" s="1"/>
  <c r="S80" i="67" s="1"/>
  <c r="S81" i="67" s="1"/>
  <c r="S82" i="67" s="1"/>
  <c r="S83" i="67" s="1"/>
  <c r="S84" i="67" s="1"/>
  <c r="S85" i="67" s="1"/>
  <c r="S86" i="67" s="1"/>
  <c r="S87" i="67" s="1"/>
  <c r="S88" i="67" s="1"/>
  <c r="S89" i="67" s="1"/>
  <c r="S90" i="67" s="1"/>
  <c r="S91" i="67" s="1"/>
  <c r="S92" i="67" s="1"/>
  <c r="S93" i="67" s="1"/>
  <c r="S94" i="67" s="1"/>
  <c r="S95" i="67" s="1"/>
  <c r="S96" i="67" s="1"/>
  <c r="S97" i="67" s="1"/>
  <c r="S98" i="67" s="1"/>
  <c r="S99" i="67" s="1"/>
  <c r="S100" i="67" s="1"/>
  <c r="S101" i="67" s="1"/>
  <c r="S102" i="67" s="1"/>
  <c r="S103" i="67" s="1"/>
  <c r="S104" i="67" s="1"/>
  <c r="S105" i="67" s="1"/>
  <c r="S106" i="67" s="1"/>
  <c r="S107" i="67" s="1"/>
  <c r="S108" i="67" s="1"/>
  <c r="S109" i="67" s="1"/>
  <c r="S110" i="67" s="1"/>
  <c r="S111" i="67" s="1"/>
  <c r="S112" i="67" s="1"/>
  <c r="S113" i="67" s="1"/>
  <c r="S114" i="67" s="1"/>
  <c r="S115" i="67" s="1"/>
  <c r="S116" i="67" s="1"/>
  <c r="S117" i="67" s="1"/>
  <c r="S118" i="67" s="1"/>
  <c r="S119" i="67" s="1"/>
  <c r="S120" i="67" s="1"/>
  <c r="S121" i="67" s="1"/>
  <c r="S122" i="67" s="1"/>
  <c r="T104" i="67"/>
  <c r="T122" i="67"/>
  <c r="S76" i="72"/>
  <c r="S77" i="72" s="1"/>
  <c r="S78" i="72" s="1"/>
  <c r="S79" i="72" s="1"/>
  <c r="S80" i="72" s="1"/>
  <c r="S81" i="72" s="1"/>
  <c r="S82" i="72" s="1"/>
  <c r="S83" i="72" s="1"/>
  <c r="S84" i="72" s="1"/>
  <c r="S85" i="72" s="1"/>
  <c r="S86" i="72" s="1"/>
  <c r="S87" i="72" s="1"/>
  <c r="S88" i="72" s="1"/>
  <c r="S89" i="72" s="1"/>
  <c r="S90" i="72" s="1"/>
  <c r="S91" i="72" s="1"/>
  <c r="S92" i="72" s="1"/>
  <c r="S93" i="72" s="1"/>
  <c r="S94" i="72" s="1"/>
  <c r="S95" i="72" s="1"/>
  <c r="S96" i="72" s="1"/>
  <c r="S97" i="72" s="1"/>
  <c r="S98" i="72" s="1"/>
  <c r="S99" i="72" s="1"/>
  <c r="S100" i="72" s="1"/>
  <c r="S101" i="72" s="1"/>
  <c r="S102" i="72" s="1"/>
  <c r="S103" i="72" s="1"/>
  <c r="S104" i="72" s="1"/>
  <c r="S105" i="72" s="1"/>
  <c r="S106" i="72" s="1"/>
  <c r="S107" i="72" s="1"/>
  <c r="S108" i="72" s="1"/>
  <c r="S109" i="72" s="1"/>
  <c r="S110" i="72" s="1"/>
  <c r="S111" i="72" s="1"/>
  <c r="S112" i="72" s="1"/>
  <c r="S113" i="72" s="1"/>
  <c r="S114" i="72" s="1"/>
  <c r="S115" i="72" s="1"/>
  <c r="S116" i="72" s="1"/>
  <c r="S117" i="72" s="1"/>
  <c r="S118" i="72" s="1"/>
  <c r="S119" i="72" s="1"/>
  <c r="S120" i="72" s="1"/>
  <c r="S121" i="72" s="1"/>
  <c r="S122" i="72" s="1"/>
  <c r="S76" i="63"/>
  <c r="S77" i="63" s="1"/>
  <c r="S78" i="63" s="1"/>
  <c r="S79" i="63" s="1"/>
  <c r="S80" i="63" s="1"/>
  <c r="S81" i="63" s="1"/>
  <c r="S82" i="63" s="1"/>
  <c r="S83" i="63" s="1"/>
  <c r="S84" i="63" s="1"/>
  <c r="S85" i="63" s="1"/>
  <c r="S86" i="63" s="1"/>
  <c r="S87" i="63" s="1"/>
  <c r="S88" i="63" s="1"/>
  <c r="S89" i="63" s="1"/>
  <c r="S90" i="63" s="1"/>
  <c r="S91" i="63" s="1"/>
  <c r="S92" i="63" s="1"/>
  <c r="S93" i="63" s="1"/>
  <c r="S94" i="63" s="1"/>
  <c r="S95" i="63" s="1"/>
  <c r="S96" i="63" s="1"/>
  <c r="S97" i="63" s="1"/>
  <c r="S98" i="63" s="1"/>
  <c r="S99" i="63" s="1"/>
  <c r="S100" i="63" s="1"/>
  <c r="S101" i="63" s="1"/>
  <c r="S102" i="63" s="1"/>
  <c r="S103" i="63" s="1"/>
  <c r="S104" i="63" s="1"/>
  <c r="S105" i="63" s="1"/>
  <c r="S106" i="63" s="1"/>
  <c r="S107" i="63" s="1"/>
  <c r="S108" i="63" s="1"/>
  <c r="S109" i="63" s="1"/>
  <c r="S110" i="63" s="1"/>
  <c r="S111" i="63" s="1"/>
  <c r="S112" i="63" s="1"/>
  <c r="S113" i="63" s="1"/>
  <c r="S114" i="63" s="1"/>
  <c r="S115" i="63" s="1"/>
  <c r="S116" i="63" s="1"/>
  <c r="S117" i="63" s="1"/>
  <c r="S118" i="63" s="1"/>
  <c r="S119" i="63" s="1"/>
  <c r="S120" i="63" s="1"/>
  <c r="S121" i="63" s="1"/>
  <c r="S122" i="63" s="1"/>
  <c r="L129" i="78" l="1"/>
  <c r="L126" i="78" s="1"/>
  <c r="L79" i="78" s="1"/>
  <c r="L80" i="78" s="1"/>
  <c r="L81" i="78" s="1"/>
  <c r="L82" i="78" s="1"/>
  <c r="L83" i="78" s="1"/>
  <c r="L84" i="78" s="1"/>
  <c r="L85" i="78" s="1"/>
  <c r="L86" i="78" s="1"/>
  <c r="L87" i="78" s="1"/>
  <c r="L88" i="78" s="1"/>
  <c r="L89" i="78" s="1"/>
  <c r="L90" i="78" s="1"/>
  <c r="L91" i="78" s="1"/>
  <c r="L92" i="78" s="1"/>
  <c r="L93" i="78" s="1"/>
  <c r="L94" i="78" s="1"/>
  <c r="L95" i="78" s="1"/>
  <c r="L96" i="78" s="1"/>
  <c r="L97" i="78" s="1"/>
  <c r="L98" i="78" s="1"/>
  <c r="L99" i="78" s="1"/>
  <c r="L100" i="78" s="1"/>
  <c r="L101" i="78" s="1"/>
  <c r="L102" i="78" s="1"/>
  <c r="L103" i="78" s="1"/>
  <c r="L104" i="78" s="1"/>
  <c r="L105" i="78" s="1"/>
  <c r="L106" i="78" s="1"/>
  <c r="L107" i="78" s="1"/>
  <c r="L108" i="78" s="1"/>
  <c r="L109" i="78" s="1"/>
  <c r="L110" i="78" s="1"/>
  <c r="L111" i="78" s="1"/>
  <c r="L112" i="78" s="1"/>
  <c r="L113" i="78" s="1"/>
  <c r="L114" i="78" s="1"/>
  <c r="L115" i="78" s="1"/>
  <c r="L116" i="78" s="1"/>
  <c r="L117" i="78" s="1"/>
  <c r="L118" i="78" s="1"/>
  <c r="L119" i="78" s="1"/>
  <c r="L120" i="78" s="1"/>
  <c r="L121" i="78" s="1"/>
  <c r="L122" i="78" s="1"/>
  <c r="L123" i="78" s="1"/>
  <c r="L124" i="78" s="1"/>
  <c r="L125" i="78" s="1"/>
  <c r="J75" i="80"/>
  <c r="K75" i="80" s="1"/>
  <c r="D100" i="78"/>
  <c r="F100" i="78" s="1"/>
  <c r="G100" i="78" s="1"/>
  <c r="D95" i="80"/>
  <c r="F95" i="80" s="1"/>
  <c r="G95" i="80" s="1"/>
  <c r="L125" i="80"/>
  <c r="L75" i="80" s="1"/>
  <c r="L76" i="80" s="1"/>
  <c r="J127" i="78"/>
  <c r="J123" i="80"/>
  <c r="D99" i="78"/>
  <c r="F99" i="78" s="1"/>
  <c r="G99" i="78" s="1"/>
  <c r="J67" i="78"/>
  <c r="L69" i="78"/>
  <c r="L7" i="78" s="1"/>
  <c r="R7" i="78" s="1"/>
  <c r="D33" i="72"/>
  <c r="D31" i="72"/>
  <c r="D32" i="72"/>
  <c r="D28" i="72"/>
  <c r="L69" i="82"/>
  <c r="L7" i="82" s="1"/>
  <c r="R7" i="82" s="1"/>
  <c r="J7" i="82"/>
  <c r="K7" i="82" s="1"/>
  <c r="J67" i="82"/>
  <c r="T123" i="80"/>
  <c r="T125" i="80" s="1"/>
  <c r="F27" i="82"/>
  <c r="G27" i="82" s="1"/>
  <c r="D31" i="82"/>
  <c r="D33" i="82"/>
  <c r="D32" i="82"/>
  <c r="D28" i="82"/>
  <c r="Z20" i="82" s="1"/>
  <c r="AA20" i="82" s="1"/>
  <c r="AB20" i="82" s="1"/>
  <c r="V20" i="82" s="1"/>
  <c r="T123" i="84"/>
  <c r="T125" i="84" s="1"/>
  <c r="S123" i="84"/>
  <c r="S125" i="84" s="1"/>
  <c r="G82" i="85"/>
  <c r="F82" i="85" s="1"/>
  <c r="F83" i="85" s="1"/>
  <c r="F10" i="85"/>
  <c r="G78" i="67"/>
  <c r="F78" i="67" s="1"/>
  <c r="F79" i="67" s="1"/>
  <c r="C75" i="67" s="1"/>
  <c r="L125" i="67" s="1"/>
  <c r="L75" i="67" s="1"/>
  <c r="L76" i="67" s="1"/>
  <c r="F28" i="80"/>
  <c r="G28" i="80" s="1"/>
  <c r="M7" i="80"/>
  <c r="L8" i="80" s="1"/>
  <c r="R8" i="80" s="1"/>
  <c r="S123" i="80"/>
  <c r="S125" i="80" s="1"/>
  <c r="F27" i="80"/>
  <c r="G27" i="80" s="1"/>
  <c r="K79" i="78"/>
  <c r="F28" i="67"/>
  <c r="G28" i="67" s="1"/>
  <c r="D28" i="78"/>
  <c r="F28" i="78" s="1"/>
  <c r="G28" i="78" s="1"/>
  <c r="D33" i="78"/>
  <c r="D31" i="78"/>
  <c r="D32" i="78"/>
  <c r="F27" i="78"/>
  <c r="G27" i="78" s="1"/>
  <c r="S123" i="67"/>
  <c r="S125" i="67" s="1"/>
  <c r="T123" i="72"/>
  <c r="T125" i="72" s="1"/>
  <c r="S123" i="63"/>
  <c r="S125" i="63" s="1"/>
  <c r="S123" i="71"/>
  <c r="S125" i="71" s="1"/>
  <c r="T123" i="67"/>
  <c r="T125" i="67" s="1"/>
  <c r="S123" i="72"/>
  <c r="S125" i="72" s="1"/>
  <c r="T123" i="63"/>
  <c r="T125" i="63" s="1"/>
  <c r="T123" i="71"/>
  <c r="T125" i="71" s="1"/>
  <c r="R79" i="78" l="1"/>
  <c r="M79" i="78"/>
  <c r="J80" i="78" s="1"/>
  <c r="K80" i="78" s="1"/>
  <c r="M75" i="80"/>
  <c r="J76" i="80" s="1"/>
  <c r="K76" i="80" s="1"/>
  <c r="M76" i="80" s="1"/>
  <c r="J77" i="80" s="1"/>
  <c r="R75" i="80"/>
  <c r="M7" i="78"/>
  <c r="J8" i="78" s="1"/>
  <c r="K8" i="78" s="1"/>
  <c r="M7" i="82"/>
  <c r="L8" i="82" s="1"/>
  <c r="R8" i="82" s="1"/>
  <c r="F11" i="85"/>
  <c r="C7" i="85" s="1"/>
  <c r="Z104" i="80"/>
  <c r="AA104" i="80" s="1"/>
  <c r="AB104" i="80" s="1"/>
  <c r="V104" i="80" s="1"/>
  <c r="Z106" i="67"/>
  <c r="AA106" i="67" s="1"/>
  <c r="AB106" i="67" s="1"/>
  <c r="V106" i="67" s="1"/>
  <c r="Z120" i="80"/>
  <c r="AA120" i="80" s="1"/>
  <c r="AB120" i="80" s="1"/>
  <c r="V120" i="80" s="1"/>
  <c r="Z23" i="80"/>
  <c r="AA23" i="80" s="1"/>
  <c r="AB23" i="80" s="1"/>
  <c r="V23" i="80" s="1"/>
  <c r="Z27" i="82"/>
  <c r="AA27" i="82" s="1"/>
  <c r="AB27" i="82" s="1"/>
  <c r="V27" i="82" s="1"/>
  <c r="Z50" i="82"/>
  <c r="AA50" i="82" s="1"/>
  <c r="AB50" i="82" s="1"/>
  <c r="V50" i="82" s="1"/>
  <c r="Z19" i="82"/>
  <c r="AA19" i="82" s="1"/>
  <c r="AB19" i="82" s="1"/>
  <c r="V19" i="82" s="1"/>
  <c r="Z47" i="82"/>
  <c r="AA47" i="82" s="1"/>
  <c r="AB47" i="82" s="1"/>
  <c r="V47" i="82" s="1"/>
  <c r="Z62" i="82"/>
  <c r="AA62" i="82" s="1"/>
  <c r="AB62" i="82" s="1"/>
  <c r="V62" i="82" s="1"/>
  <c r="Z63" i="82"/>
  <c r="AA63" i="82" s="1"/>
  <c r="AB63" i="82" s="1"/>
  <c r="V63" i="82" s="1"/>
  <c r="Z45" i="82"/>
  <c r="AA45" i="82" s="1"/>
  <c r="AB45" i="82" s="1"/>
  <c r="V45" i="82" s="1"/>
  <c r="Z8" i="82"/>
  <c r="AA8" i="82" s="1"/>
  <c r="AB8" i="82" s="1"/>
  <c r="V8" i="82" s="1"/>
  <c r="Z33" i="82"/>
  <c r="AA33" i="82" s="1"/>
  <c r="AB33" i="82" s="1"/>
  <c r="V33" i="82" s="1"/>
  <c r="Z38" i="82"/>
  <c r="AA38" i="82" s="1"/>
  <c r="AB38" i="82" s="1"/>
  <c r="V38" i="82" s="1"/>
  <c r="Z31" i="82"/>
  <c r="AA31" i="82" s="1"/>
  <c r="AB31" i="82" s="1"/>
  <c r="V31" i="82" s="1"/>
  <c r="Z26" i="82"/>
  <c r="AA26" i="82" s="1"/>
  <c r="AB26" i="82" s="1"/>
  <c r="V26" i="82" s="1"/>
  <c r="Z44" i="82"/>
  <c r="AA44" i="82" s="1"/>
  <c r="AB44" i="82" s="1"/>
  <c r="V44" i="82" s="1"/>
  <c r="Z91" i="80"/>
  <c r="AA91" i="80" s="1"/>
  <c r="AB91" i="80" s="1"/>
  <c r="V91" i="80" s="1"/>
  <c r="Z60" i="80"/>
  <c r="AA60" i="80" s="1"/>
  <c r="AB60" i="80" s="1"/>
  <c r="V60" i="80" s="1"/>
  <c r="Z61" i="82"/>
  <c r="AA61" i="82" s="1"/>
  <c r="AB61" i="82" s="1"/>
  <c r="V61" i="82" s="1"/>
  <c r="Z26" i="80"/>
  <c r="AA26" i="80" s="1"/>
  <c r="AB26" i="80" s="1"/>
  <c r="V26" i="80" s="1"/>
  <c r="Z113" i="80"/>
  <c r="AA113" i="80" s="1"/>
  <c r="AB113" i="80" s="1"/>
  <c r="V113" i="80" s="1"/>
  <c r="Z87" i="80"/>
  <c r="AA87" i="80" s="1"/>
  <c r="AB87" i="80" s="1"/>
  <c r="V87" i="80" s="1"/>
  <c r="C18" i="80"/>
  <c r="E18" i="80" s="1"/>
  <c r="Z52" i="82"/>
  <c r="AA52" i="82" s="1"/>
  <c r="AB52" i="82" s="1"/>
  <c r="V52" i="82" s="1"/>
  <c r="Z49" i="82"/>
  <c r="AA49" i="82" s="1"/>
  <c r="AB49" i="82" s="1"/>
  <c r="V49" i="82" s="1"/>
  <c r="Z64" i="82"/>
  <c r="AA64" i="82" s="1"/>
  <c r="AB64" i="82" s="1"/>
  <c r="V64" i="82" s="1"/>
  <c r="Z13" i="82"/>
  <c r="AA13" i="82" s="1"/>
  <c r="AB13" i="82" s="1"/>
  <c r="V13" i="82" s="1"/>
  <c r="Z16" i="82"/>
  <c r="AA16" i="82" s="1"/>
  <c r="AB16" i="82" s="1"/>
  <c r="V16" i="82" s="1"/>
  <c r="C18" i="82"/>
  <c r="E18" i="82" s="1"/>
  <c r="Z57" i="82"/>
  <c r="AA57" i="82" s="1"/>
  <c r="AB57" i="82" s="1"/>
  <c r="V57" i="82" s="1"/>
  <c r="Z23" i="82"/>
  <c r="AA23" i="82" s="1"/>
  <c r="AB23" i="82" s="1"/>
  <c r="V23" i="82" s="1"/>
  <c r="Z17" i="82"/>
  <c r="AA17" i="82" s="1"/>
  <c r="AB17" i="82" s="1"/>
  <c r="V17" i="82" s="1"/>
  <c r="Z25" i="82"/>
  <c r="AA25" i="82" s="1"/>
  <c r="AB25" i="82" s="1"/>
  <c r="V25" i="82" s="1"/>
  <c r="Z46" i="82"/>
  <c r="AA46" i="82" s="1"/>
  <c r="AB46" i="82" s="1"/>
  <c r="V46" i="82" s="1"/>
  <c r="Z60" i="82"/>
  <c r="AA60" i="82" s="1"/>
  <c r="AB60" i="82" s="1"/>
  <c r="V60" i="82" s="1"/>
  <c r="Z37" i="82"/>
  <c r="AA37" i="82" s="1"/>
  <c r="AB37" i="82" s="1"/>
  <c r="V37" i="82" s="1"/>
  <c r="Z27" i="80"/>
  <c r="AA27" i="80" s="1"/>
  <c r="AB27" i="80" s="1"/>
  <c r="V27" i="80" s="1"/>
  <c r="Z11" i="80"/>
  <c r="AA11" i="80" s="1"/>
  <c r="AB11" i="80" s="1"/>
  <c r="V11" i="80" s="1"/>
  <c r="Z45" i="80"/>
  <c r="AA45" i="80" s="1"/>
  <c r="AB45" i="80" s="1"/>
  <c r="V45" i="80" s="1"/>
  <c r="Z33" i="80"/>
  <c r="AA33" i="80" s="1"/>
  <c r="AB33" i="80" s="1"/>
  <c r="V33" i="80" s="1"/>
  <c r="Z82" i="80"/>
  <c r="AA82" i="80" s="1"/>
  <c r="AB82" i="80" s="1"/>
  <c r="V82" i="80" s="1"/>
  <c r="Z46" i="80"/>
  <c r="AA46" i="80" s="1"/>
  <c r="AB46" i="80" s="1"/>
  <c r="V46" i="80" s="1"/>
  <c r="Z95" i="80"/>
  <c r="AA95" i="80" s="1"/>
  <c r="AB95" i="80" s="1"/>
  <c r="V95" i="80" s="1"/>
  <c r="Z35" i="82"/>
  <c r="AA35" i="82" s="1"/>
  <c r="AB35" i="82" s="1"/>
  <c r="V35" i="82" s="1"/>
  <c r="Z9" i="82"/>
  <c r="AA9" i="82" s="1"/>
  <c r="AB9" i="82" s="1"/>
  <c r="V9" i="82" s="1"/>
  <c r="Z55" i="82"/>
  <c r="AA55" i="82" s="1"/>
  <c r="AB55" i="82" s="1"/>
  <c r="V55" i="82" s="1"/>
  <c r="Z41" i="82"/>
  <c r="AA41" i="82" s="1"/>
  <c r="AB41" i="82" s="1"/>
  <c r="V41" i="82" s="1"/>
  <c r="Z42" i="82"/>
  <c r="AA42" i="82" s="1"/>
  <c r="AB42" i="82" s="1"/>
  <c r="V42" i="82" s="1"/>
  <c r="C20" i="82"/>
  <c r="E20" i="82" s="1"/>
  <c r="Z54" i="82"/>
  <c r="AA54" i="82" s="1"/>
  <c r="AB54" i="82" s="1"/>
  <c r="V54" i="82" s="1"/>
  <c r="Z14" i="82"/>
  <c r="AA14" i="82" s="1"/>
  <c r="AB14" i="82" s="1"/>
  <c r="V14" i="82" s="1"/>
  <c r="Z34" i="82"/>
  <c r="AA34" i="82" s="1"/>
  <c r="AB34" i="82" s="1"/>
  <c r="V34" i="82" s="1"/>
  <c r="Z36" i="82"/>
  <c r="AA36" i="82" s="1"/>
  <c r="AB36" i="82" s="1"/>
  <c r="V36" i="82" s="1"/>
  <c r="Z28" i="82"/>
  <c r="AA28" i="82" s="1"/>
  <c r="AB28" i="82" s="1"/>
  <c r="V28" i="82" s="1"/>
  <c r="Z40" i="82"/>
  <c r="AA40" i="82" s="1"/>
  <c r="AB40" i="82" s="1"/>
  <c r="V40" i="82" s="1"/>
  <c r="Z43" i="82"/>
  <c r="AA43" i="82" s="1"/>
  <c r="AB43" i="82" s="1"/>
  <c r="V43" i="82" s="1"/>
  <c r="C21" i="82"/>
  <c r="E21" i="82" s="1"/>
  <c r="Z8" i="80"/>
  <c r="AA8" i="80" s="1"/>
  <c r="AB8" i="80" s="1"/>
  <c r="V8" i="80" s="1"/>
  <c r="Z15" i="80"/>
  <c r="AA15" i="80" s="1"/>
  <c r="AB15" i="80" s="1"/>
  <c r="V15" i="80" s="1"/>
  <c r="Z99" i="80"/>
  <c r="AA99" i="80" s="1"/>
  <c r="AB99" i="80" s="1"/>
  <c r="V99" i="80" s="1"/>
  <c r="Z105" i="80"/>
  <c r="AA105" i="80" s="1"/>
  <c r="AB105" i="80" s="1"/>
  <c r="V105" i="80" s="1"/>
  <c r="Z66" i="80"/>
  <c r="AA66" i="80" s="1"/>
  <c r="AB66" i="80" s="1"/>
  <c r="V66" i="80" s="1"/>
  <c r="Z103" i="80"/>
  <c r="AA103" i="80" s="1"/>
  <c r="AB103" i="80" s="1"/>
  <c r="V103" i="80" s="1"/>
  <c r="Z11" i="82"/>
  <c r="AA11" i="82" s="1"/>
  <c r="AB11" i="82" s="1"/>
  <c r="V11" i="82" s="1"/>
  <c r="Z59" i="82"/>
  <c r="AA59" i="82" s="1"/>
  <c r="AB59" i="82" s="1"/>
  <c r="V59" i="82" s="1"/>
  <c r="Z24" i="80"/>
  <c r="Z12" i="80"/>
  <c r="AA12" i="80" s="1"/>
  <c r="AB12" i="80" s="1"/>
  <c r="V12" i="80" s="1"/>
  <c r="C21" i="80"/>
  <c r="E21" i="80" s="1"/>
  <c r="Z90" i="80"/>
  <c r="AA90" i="80" s="1"/>
  <c r="AB90" i="80" s="1"/>
  <c r="V90" i="80" s="1"/>
  <c r="Z52" i="80"/>
  <c r="AA52" i="80" s="1"/>
  <c r="AB52" i="80" s="1"/>
  <c r="V52" i="80" s="1"/>
  <c r="Z110" i="80"/>
  <c r="AA110" i="80" s="1"/>
  <c r="AB110" i="80" s="1"/>
  <c r="V110" i="80" s="1"/>
  <c r="Z98" i="80"/>
  <c r="AA98" i="80" s="1"/>
  <c r="AB98" i="80" s="1"/>
  <c r="V98" i="80" s="1"/>
  <c r="Z84" i="80"/>
  <c r="AA84" i="80" s="1"/>
  <c r="AB84" i="80" s="1"/>
  <c r="V84" i="80" s="1"/>
  <c r="Z29" i="82"/>
  <c r="AA29" i="82" s="1"/>
  <c r="AB29" i="82" s="1"/>
  <c r="V29" i="82" s="1"/>
  <c r="Z12" i="82"/>
  <c r="AA12" i="82" s="1"/>
  <c r="AB12" i="82" s="1"/>
  <c r="V12" i="82" s="1"/>
  <c r="Z56" i="82"/>
  <c r="AA56" i="82" s="1"/>
  <c r="AB56" i="82" s="1"/>
  <c r="V56" i="82" s="1"/>
  <c r="Z30" i="82"/>
  <c r="AA30" i="82" s="1"/>
  <c r="AB30" i="82" s="1"/>
  <c r="V30" i="82" s="1"/>
  <c r="C22" i="82"/>
  <c r="E22" i="82" s="1"/>
  <c r="Z24" i="82"/>
  <c r="AA24" i="82" s="1"/>
  <c r="AB24" i="82" s="1"/>
  <c r="V24" i="82" s="1"/>
  <c r="Z15" i="82"/>
  <c r="AA15" i="82" s="1"/>
  <c r="AB15" i="82" s="1"/>
  <c r="V15" i="82" s="1"/>
  <c r="Z10" i="82"/>
  <c r="AA10" i="82" s="1"/>
  <c r="AB10" i="82" s="1"/>
  <c r="V10" i="82" s="1"/>
  <c r="Z66" i="82"/>
  <c r="AA66" i="82" s="1"/>
  <c r="AB66" i="82" s="1"/>
  <c r="V66" i="82" s="1"/>
  <c r="Z7" i="82"/>
  <c r="AA7" i="82" s="1"/>
  <c r="AB7" i="82" s="1"/>
  <c r="V7" i="82" s="1"/>
  <c r="Z39" i="82"/>
  <c r="AA39" i="82" s="1"/>
  <c r="AB39" i="82" s="1"/>
  <c r="V39" i="82" s="1"/>
  <c r="Z48" i="82"/>
  <c r="AA48" i="82" s="1"/>
  <c r="AB48" i="82" s="1"/>
  <c r="V48" i="82" s="1"/>
  <c r="Z18" i="82"/>
  <c r="AA18" i="82" s="1"/>
  <c r="AB18" i="82" s="1"/>
  <c r="V18" i="82" s="1"/>
  <c r="Z58" i="82"/>
  <c r="AA58" i="82" s="1"/>
  <c r="AB58" i="82" s="1"/>
  <c r="V58" i="82" s="1"/>
  <c r="Z65" i="82"/>
  <c r="AA65" i="82" s="1"/>
  <c r="AB65" i="82" s="1"/>
  <c r="V65" i="82" s="1"/>
  <c r="Z14" i="80"/>
  <c r="AA14" i="80" s="1"/>
  <c r="AB14" i="80" s="1"/>
  <c r="V14" i="80" s="1"/>
  <c r="C87" i="80"/>
  <c r="E87" i="80" s="1"/>
  <c r="Z61" i="80"/>
  <c r="AA61" i="80" s="1"/>
  <c r="AB61" i="80" s="1"/>
  <c r="V61" i="80" s="1"/>
  <c r="Z64" i="80"/>
  <c r="AA64" i="80" s="1"/>
  <c r="AB64" i="80" s="1"/>
  <c r="V64" i="80" s="1"/>
  <c r="Z28" i="80"/>
  <c r="AA28" i="80" s="1"/>
  <c r="AB28" i="80" s="1"/>
  <c r="V28" i="80" s="1"/>
  <c r="Z50" i="80"/>
  <c r="AA50" i="80" s="1"/>
  <c r="AB50" i="80" s="1"/>
  <c r="V50" i="80" s="1"/>
  <c r="Z47" i="80"/>
  <c r="AA47" i="80" s="1"/>
  <c r="AB47" i="80" s="1"/>
  <c r="V47" i="80" s="1"/>
  <c r="Z25" i="80"/>
  <c r="AA25" i="80" s="1"/>
  <c r="AB25" i="80" s="1"/>
  <c r="V25" i="80" s="1"/>
  <c r="Z41" i="80"/>
  <c r="AA41" i="80" s="1"/>
  <c r="AB41" i="80" s="1"/>
  <c r="V41" i="80" s="1"/>
  <c r="Z34" i="80"/>
  <c r="AA34" i="80" s="1"/>
  <c r="AB34" i="80" s="1"/>
  <c r="V34" i="80" s="1"/>
  <c r="Z20" i="80"/>
  <c r="AA20" i="80" s="1"/>
  <c r="AB20" i="80" s="1"/>
  <c r="V20" i="80" s="1"/>
  <c r="Z89" i="80"/>
  <c r="AA89" i="80" s="1"/>
  <c r="AB89" i="80" s="1"/>
  <c r="V89" i="80" s="1"/>
  <c r="Z116" i="80"/>
  <c r="AA116" i="80" s="1"/>
  <c r="AB116" i="80" s="1"/>
  <c r="V116" i="80" s="1"/>
  <c r="Z62" i="80"/>
  <c r="AA62" i="80" s="1"/>
  <c r="AB62" i="80" s="1"/>
  <c r="V62" i="80" s="1"/>
  <c r="Z59" i="80"/>
  <c r="AA59" i="80" s="1"/>
  <c r="AB59" i="80" s="1"/>
  <c r="V59" i="80" s="1"/>
  <c r="Z77" i="80"/>
  <c r="AA77" i="80" s="1"/>
  <c r="AB77" i="80" s="1"/>
  <c r="V77" i="80" s="1"/>
  <c r="Z96" i="80"/>
  <c r="AA96" i="80" s="1"/>
  <c r="AB96" i="80" s="1"/>
  <c r="V96" i="80" s="1"/>
  <c r="Z118" i="80"/>
  <c r="AA118" i="80" s="1"/>
  <c r="AB118" i="80" s="1"/>
  <c r="V118" i="80" s="1"/>
  <c r="Z58" i="80"/>
  <c r="AA58" i="80" s="1"/>
  <c r="AB58" i="80" s="1"/>
  <c r="V58" i="80" s="1"/>
  <c r="Z100" i="80"/>
  <c r="AA100" i="80" s="1"/>
  <c r="AB100" i="80" s="1"/>
  <c r="V100" i="80" s="1"/>
  <c r="Z49" i="80"/>
  <c r="AA49" i="80" s="1"/>
  <c r="AB49" i="80" s="1"/>
  <c r="V49" i="80" s="1"/>
  <c r="Z65" i="80"/>
  <c r="AA65" i="80" s="1"/>
  <c r="AB65" i="80" s="1"/>
  <c r="V65" i="80" s="1"/>
  <c r="Z122" i="80"/>
  <c r="AA122" i="80" s="1"/>
  <c r="AB122" i="80" s="1"/>
  <c r="V122" i="80" s="1"/>
  <c r="Z117" i="80"/>
  <c r="AA117" i="80" s="1"/>
  <c r="AB117" i="80" s="1"/>
  <c r="V117" i="80" s="1"/>
  <c r="Z53" i="80"/>
  <c r="AA53" i="80" s="1"/>
  <c r="AB53" i="80" s="1"/>
  <c r="V53" i="80" s="1"/>
  <c r="Z80" i="80"/>
  <c r="AA80" i="80" s="1"/>
  <c r="AB80" i="80" s="1"/>
  <c r="V80" i="80" s="1"/>
  <c r="Z78" i="80"/>
  <c r="AA78" i="80" s="1"/>
  <c r="AB78" i="80" s="1"/>
  <c r="V78" i="80" s="1"/>
  <c r="Z101" i="80"/>
  <c r="AA101" i="80" s="1"/>
  <c r="AB101" i="80" s="1"/>
  <c r="V101" i="80" s="1"/>
  <c r="C22" i="80"/>
  <c r="E22" i="80" s="1"/>
  <c r="C19" i="80"/>
  <c r="E19" i="80" s="1"/>
  <c r="Z18" i="80"/>
  <c r="AA18" i="80" s="1"/>
  <c r="AB18" i="80" s="1"/>
  <c r="V18" i="80" s="1"/>
  <c r="C20" i="80"/>
  <c r="E20" i="80" s="1"/>
  <c r="Z86" i="80"/>
  <c r="AA86" i="80" s="1"/>
  <c r="AB86" i="80" s="1"/>
  <c r="V86" i="80" s="1"/>
  <c r="Z13" i="80"/>
  <c r="AA13" i="80" s="1"/>
  <c r="AB13" i="80" s="1"/>
  <c r="V13" i="80" s="1"/>
  <c r="Z38" i="80"/>
  <c r="AA38" i="80" s="1"/>
  <c r="AB38" i="80" s="1"/>
  <c r="V38" i="80" s="1"/>
  <c r="Z17" i="80"/>
  <c r="AA17" i="80" s="1"/>
  <c r="AB17" i="80" s="1"/>
  <c r="V17" i="80" s="1"/>
  <c r="Z9" i="80"/>
  <c r="AA9" i="80" s="1"/>
  <c r="AB9" i="80" s="1"/>
  <c r="V9" i="80" s="1"/>
  <c r="Z31" i="80"/>
  <c r="AA31" i="80" s="1"/>
  <c r="AB31" i="80" s="1"/>
  <c r="V31" i="80" s="1"/>
  <c r="C86" i="80"/>
  <c r="E86" i="80" s="1"/>
  <c r="Z54" i="80"/>
  <c r="AA54" i="80" s="1"/>
  <c r="AB54" i="80" s="1"/>
  <c r="V54" i="80" s="1"/>
  <c r="Z79" i="80"/>
  <c r="AA79" i="80" s="1"/>
  <c r="AB79" i="80" s="1"/>
  <c r="V79" i="80" s="1"/>
  <c r="Z51" i="80"/>
  <c r="AA51" i="80" s="1"/>
  <c r="AB51" i="80" s="1"/>
  <c r="V51" i="80" s="1"/>
  <c r="Z39" i="80"/>
  <c r="AA39" i="80" s="1"/>
  <c r="AB39" i="80" s="1"/>
  <c r="V39" i="80" s="1"/>
  <c r="Z94" i="80"/>
  <c r="AA94" i="80" s="1"/>
  <c r="AB94" i="80" s="1"/>
  <c r="V94" i="80" s="1"/>
  <c r="Z92" i="80"/>
  <c r="AA92" i="80" s="1"/>
  <c r="AB92" i="80" s="1"/>
  <c r="V92" i="80" s="1"/>
  <c r="Z109" i="80"/>
  <c r="AA109" i="80" s="1"/>
  <c r="AB109" i="80" s="1"/>
  <c r="V109" i="80" s="1"/>
  <c r="Z42" i="80"/>
  <c r="AA42" i="80" s="1"/>
  <c r="AB42" i="80" s="1"/>
  <c r="V42" i="80" s="1"/>
  <c r="Z76" i="80"/>
  <c r="AA76" i="80" s="1"/>
  <c r="AB76" i="80" s="1"/>
  <c r="V76" i="80" s="1"/>
  <c r="Z81" i="80"/>
  <c r="AA81" i="80" s="1"/>
  <c r="AB81" i="80" s="1"/>
  <c r="V81" i="80" s="1"/>
  <c r="Z56" i="80"/>
  <c r="AA56" i="80" s="1"/>
  <c r="AB56" i="80" s="1"/>
  <c r="V56" i="80" s="1"/>
  <c r="Z108" i="80"/>
  <c r="AA108" i="80" s="1"/>
  <c r="AB108" i="80" s="1"/>
  <c r="V108" i="80" s="1"/>
  <c r="C88" i="80"/>
  <c r="E88" i="80" s="1"/>
  <c r="Z112" i="80"/>
  <c r="AA112" i="80" s="1"/>
  <c r="AB112" i="80" s="1"/>
  <c r="V112" i="80" s="1"/>
  <c r="Z48" i="80"/>
  <c r="AA48" i="80" s="1"/>
  <c r="AB48" i="80" s="1"/>
  <c r="V48" i="80" s="1"/>
  <c r="Z57" i="80"/>
  <c r="AA57" i="80" s="1"/>
  <c r="AB57" i="80" s="1"/>
  <c r="V57" i="80" s="1"/>
  <c r="Z75" i="80"/>
  <c r="AA75" i="80" s="1"/>
  <c r="AB75" i="80" s="1"/>
  <c r="V75" i="80" s="1"/>
  <c r="C90" i="80"/>
  <c r="E90" i="80" s="1"/>
  <c r="Z114" i="80"/>
  <c r="AA114" i="80" s="1"/>
  <c r="AB114" i="80" s="1"/>
  <c r="V114" i="80" s="1"/>
  <c r="Z7" i="80"/>
  <c r="AA7" i="80" s="1"/>
  <c r="AB7" i="80" s="1"/>
  <c r="V7" i="80" s="1"/>
  <c r="Z29" i="80"/>
  <c r="AA29" i="80" s="1"/>
  <c r="AB29" i="80" s="1"/>
  <c r="V29" i="80" s="1"/>
  <c r="Z30" i="80"/>
  <c r="AA30" i="80" s="1"/>
  <c r="AB30" i="80" s="1"/>
  <c r="V30" i="80" s="1"/>
  <c r="Z88" i="80"/>
  <c r="AA88" i="80" s="1"/>
  <c r="AB88" i="80" s="1"/>
  <c r="V88" i="80" s="1"/>
  <c r="Z19" i="80"/>
  <c r="AA19" i="80" s="1"/>
  <c r="AB19" i="80" s="1"/>
  <c r="V19" i="80" s="1"/>
  <c r="Z10" i="80"/>
  <c r="AA10" i="80" s="1"/>
  <c r="AB10" i="80" s="1"/>
  <c r="V10" i="80" s="1"/>
  <c r="Z21" i="80"/>
  <c r="AA21" i="80" s="1"/>
  <c r="AB21" i="80" s="1"/>
  <c r="V21" i="80" s="1"/>
  <c r="Z22" i="80"/>
  <c r="AA22" i="80" s="1"/>
  <c r="AB22" i="80" s="1"/>
  <c r="V22" i="80" s="1"/>
  <c r="Z37" i="80"/>
  <c r="AA37" i="80" s="1"/>
  <c r="AB37" i="80" s="1"/>
  <c r="V37" i="80" s="1"/>
  <c r="Z16" i="80"/>
  <c r="AA16" i="80" s="1"/>
  <c r="AB16" i="80" s="1"/>
  <c r="V16" i="80" s="1"/>
  <c r="Z63" i="80"/>
  <c r="AA63" i="80" s="1"/>
  <c r="AB63" i="80" s="1"/>
  <c r="V63" i="80" s="1"/>
  <c r="Z85" i="80"/>
  <c r="AA85" i="80" s="1"/>
  <c r="AB85" i="80" s="1"/>
  <c r="V85" i="80" s="1"/>
  <c r="Z102" i="80"/>
  <c r="AA102" i="80" s="1"/>
  <c r="AB102" i="80" s="1"/>
  <c r="V102" i="80" s="1"/>
  <c r="Z121" i="80"/>
  <c r="AA121" i="80" s="1"/>
  <c r="AB121" i="80" s="1"/>
  <c r="V121" i="80" s="1"/>
  <c r="Z55" i="80"/>
  <c r="AA55" i="80" s="1"/>
  <c r="AB55" i="80" s="1"/>
  <c r="V55" i="80" s="1"/>
  <c r="C89" i="80"/>
  <c r="E89" i="80" s="1"/>
  <c r="Z83" i="80"/>
  <c r="AA83" i="80" s="1"/>
  <c r="AB83" i="80" s="1"/>
  <c r="V83" i="80" s="1"/>
  <c r="Z106" i="80"/>
  <c r="AA106" i="80" s="1"/>
  <c r="AB106" i="80" s="1"/>
  <c r="V106" i="80" s="1"/>
  <c r="Z43" i="80"/>
  <c r="AA43" i="80" s="1"/>
  <c r="AB43" i="80" s="1"/>
  <c r="V43" i="80" s="1"/>
  <c r="Z93" i="80"/>
  <c r="AA93" i="80" s="1"/>
  <c r="AB93" i="80" s="1"/>
  <c r="V93" i="80" s="1"/>
  <c r="Z35" i="80"/>
  <c r="AA35" i="80" s="1"/>
  <c r="AB35" i="80" s="1"/>
  <c r="V35" i="80" s="1"/>
  <c r="Z115" i="80"/>
  <c r="AA115" i="80" s="1"/>
  <c r="AB115" i="80" s="1"/>
  <c r="V115" i="80" s="1"/>
  <c r="Z97" i="80"/>
  <c r="AA97" i="80" s="1"/>
  <c r="AB97" i="80" s="1"/>
  <c r="V97" i="80" s="1"/>
  <c r="Z111" i="80"/>
  <c r="AA111" i="80" s="1"/>
  <c r="AB111" i="80" s="1"/>
  <c r="V111" i="80" s="1"/>
  <c r="Z40" i="80"/>
  <c r="AA40" i="80" s="1"/>
  <c r="AB40" i="80" s="1"/>
  <c r="V40" i="80" s="1"/>
  <c r="Z32" i="80"/>
  <c r="AA32" i="80" s="1"/>
  <c r="AB32" i="80" s="1"/>
  <c r="V32" i="80" s="1"/>
  <c r="Z44" i="80"/>
  <c r="AA44" i="80" s="1"/>
  <c r="AB44" i="80" s="1"/>
  <c r="V44" i="80" s="1"/>
  <c r="Z107" i="80"/>
  <c r="AA107" i="80" s="1"/>
  <c r="AB107" i="80" s="1"/>
  <c r="V107" i="80" s="1"/>
  <c r="Z119" i="80"/>
  <c r="AA119" i="80" s="1"/>
  <c r="AB119" i="80" s="1"/>
  <c r="V119" i="80" s="1"/>
  <c r="Z36" i="80"/>
  <c r="AA36" i="80" s="1"/>
  <c r="AB36" i="80" s="1"/>
  <c r="V36" i="80" s="1"/>
  <c r="F28" i="82"/>
  <c r="G28" i="82" s="1"/>
  <c r="G32" i="82"/>
  <c r="F32" i="82"/>
  <c r="T72" i="82"/>
  <c r="T68" i="82"/>
  <c r="G33" i="82"/>
  <c r="F33" i="82"/>
  <c r="Z53" i="82"/>
  <c r="AA53" i="82" s="1"/>
  <c r="AB53" i="82" s="1"/>
  <c r="V53" i="82" s="1"/>
  <c r="Z32" i="82"/>
  <c r="AA32" i="82" s="1"/>
  <c r="AB32" i="82" s="1"/>
  <c r="V32" i="82" s="1"/>
  <c r="C19" i="82"/>
  <c r="E19" i="82" s="1"/>
  <c r="Z21" i="82"/>
  <c r="AA21" i="82" s="1"/>
  <c r="AB21" i="82" s="1"/>
  <c r="V21" i="82" s="1"/>
  <c r="Z51" i="82"/>
  <c r="AA51" i="82" s="1"/>
  <c r="AB51" i="82" s="1"/>
  <c r="V51" i="82" s="1"/>
  <c r="Z22" i="82"/>
  <c r="AA22" i="82" s="1"/>
  <c r="AB22" i="82" s="1"/>
  <c r="V22" i="82" s="1"/>
  <c r="F31" i="82"/>
  <c r="S68" i="82"/>
  <c r="S7" i="82" s="1"/>
  <c r="S72" i="82"/>
  <c r="G31" i="82"/>
  <c r="G78" i="84"/>
  <c r="F78" i="84" s="1"/>
  <c r="F79" i="84" s="1"/>
  <c r="C75" i="84" s="1"/>
  <c r="L129" i="85"/>
  <c r="L126" i="85" s="1"/>
  <c r="L79" i="85" s="1"/>
  <c r="D100" i="85"/>
  <c r="F100" i="85" s="1"/>
  <c r="G100" i="85" s="1"/>
  <c r="J127" i="85"/>
  <c r="J79" i="85"/>
  <c r="D99" i="85"/>
  <c r="F99" i="85" s="1"/>
  <c r="G99" i="85" s="1"/>
  <c r="F28" i="84"/>
  <c r="G28" i="84" s="1"/>
  <c r="Z90" i="78"/>
  <c r="AA90" i="78" s="1"/>
  <c r="AB90" i="78" s="1"/>
  <c r="V90" i="78" s="1"/>
  <c r="D96" i="67"/>
  <c r="F96" i="67" s="1"/>
  <c r="G96" i="67" s="1"/>
  <c r="J8" i="80"/>
  <c r="K8" i="80" s="1"/>
  <c r="Z53" i="78"/>
  <c r="AA53" i="78" s="1"/>
  <c r="AB53" i="78" s="1"/>
  <c r="V53" i="78" s="1"/>
  <c r="Z98" i="78"/>
  <c r="AA98" i="78" s="1"/>
  <c r="AB98" i="78" s="1"/>
  <c r="V98" i="78" s="1"/>
  <c r="J75" i="67"/>
  <c r="K75" i="67" s="1"/>
  <c r="M75" i="67" s="1"/>
  <c r="J76" i="67" s="1"/>
  <c r="R75" i="67"/>
  <c r="D95" i="67"/>
  <c r="F95" i="67" s="1"/>
  <c r="G95" i="67" s="1"/>
  <c r="J123" i="67"/>
  <c r="Z120" i="78"/>
  <c r="AA120" i="78" s="1"/>
  <c r="AB120" i="78" s="1"/>
  <c r="V120" i="78" s="1"/>
  <c r="Z35" i="78"/>
  <c r="AA35" i="78" s="1"/>
  <c r="AB35" i="78" s="1"/>
  <c r="V35" i="78" s="1"/>
  <c r="Z54" i="78"/>
  <c r="AA54" i="78" s="1"/>
  <c r="AB54" i="78" s="1"/>
  <c r="V54" i="78" s="1"/>
  <c r="Z26" i="78"/>
  <c r="AA26" i="78" s="1"/>
  <c r="AB26" i="78" s="1"/>
  <c r="V26" i="78" s="1"/>
  <c r="Z9" i="78"/>
  <c r="AA9" i="78" s="1"/>
  <c r="AB9" i="78" s="1"/>
  <c r="V9" i="78" s="1"/>
  <c r="Z106" i="78"/>
  <c r="AA106" i="78" s="1"/>
  <c r="AB106" i="78" s="1"/>
  <c r="V106" i="78" s="1"/>
  <c r="Z79" i="78"/>
  <c r="AA79" i="78" s="1"/>
  <c r="AB79" i="78" s="1"/>
  <c r="V79" i="78" s="1"/>
  <c r="Z112" i="78"/>
  <c r="AA112" i="78" s="1"/>
  <c r="AB112" i="78" s="1"/>
  <c r="V112" i="78" s="1"/>
  <c r="Z101" i="78"/>
  <c r="AA101" i="78" s="1"/>
  <c r="AB101" i="78" s="1"/>
  <c r="V101" i="78" s="1"/>
  <c r="Z125" i="78"/>
  <c r="AA125" i="78" s="1"/>
  <c r="AB125" i="78" s="1"/>
  <c r="V125" i="78" s="1"/>
  <c r="Z42" i="78"/>
  <c r="AA42" i="78" s="1"/>
  <c r="AB42" i="78" s="1"/>
  <c r="V42" i="78" s="1"/>
  <c r="Z39" i="78"/>
  <c r="AA39" i="78" s="1"/>
  <c r="AB39" i="78" s="1"/>
  <c r="V39" i="78" s="1"/>
  <c r="Z43" i="78"/>
  <c r="AA43" i="78" s="1"/>
  <c r="AB43" i="78" s="1"/>
  <c r="V43" i="78" s="1"/>
  <c r="Z33" i="78"/>
  <c r="AA33" i="78" s="1"/>
  <c r="AB33" i="78" s="1"/>
  <c r="V33" i="78" s="1"/>
  <c r="Z36" i="78"/>
  <c r="AA36" i="78" s="1"/>
  <c r="AB36" i="78" s="1"/>
  <c r="V36" i="78" s="1"/>
  <c r="Z85" i="78"/>
  <c r="AA85" i="78" s="1"/>
  <c r="AB85" i="78" s="1"/>
  <c r="V85" i="78" s="1"/>
  <c r="Z10" i="78"/>
  <c r="AA10" i="78" s="1"/>
  <c r="AB10" i="78" s="1"/>
  <c r="V10" i="78" s="1"/>
  <c r="Z87" i="78"/>
  <c r="AA87" i="78" s="1"/>
  <c r="AB87" i="78" s="1"/>
  <c r="V87" i="78" s="1"/>
  <c r="Z65" i="78"/>
  <c r="AA65" i="78" s="1"/>
  <c r="AB65" i="78" s="1"/>
  <c r="V65" i="78" s="1"/>
  <c r="Z47" i="78"/>
  <c r="AA47" i="78" s="1"/>
  <c r="AB47" i="78" s="1"/>
  <c r="V47" i="78" s="1"/>
  <c r="Z118" i="78"/>
  <c r="AA118" i="78" s="1"/>
  <c r="AB118" i="78" s="1"/>
  <c r="V118" i="78" s="1"/>
  <c r="Z80" i="78"/>
  <c r="AA80" i="78" s="1"/>
  <c r="AB80" i="78" s="1"/>
  <c r="V80" i="78" s="1"/>
  <c r="Z8" i="78"/>
  <c r="AA8" i="78" s="1"/>
  <c r="AB8" i="78" s="1"/>
  <c r="V8" i="78" s="1"/>
  <c r="C92" i="78"/>
  <c r="E92" i="78" s="1"/>
  <c r="AA24" i="80"/>
  <c r="AB24" i="80" s="1"/>
  <c r="V24" i="80" s="1"/>
  <c r="G33" i="80"/>
  <c r="F33" i="80"/>
  <c r="Z110" i="78"/>
  <c r="AA110" i="78" s="1"/>
  <c r="AB110" i="78" s="1"/>
  <c r="V110" i="78" s="1"/>
  <c r="F31" i="80"/>
  <c r="G31" i="80"/>
  <c r="S68" i="80"/>
  <c r="S7" i="80" s="1"/>
  <c r="S8" i="80" s="1"/>
  <c r="S9" i="80" s="1"/>
  <c r="S10" i="80" s="1"/>
  <c r="S11" i="80" s="1"/>
  <c r="S12" i="80" s="1"/>
  <c r="S13" i="80" s="1"/>
  <c r="S14" i="80" s="1"/>
  <c r="S15" i="80" s="1"/>
  <c r="S16" i="80" s="1"/>
  <c r="S17" i="80" s="1"/>
  <c r="S18" i="80" s="1"/>
  <c r="S19" i="80" s="1"/>
  <c r="S20" i="80" s="1"/>
  <c r="S21" i="80" s="1"/>
  <c r="S22" i="80" s="1"/>
  <c r="S23" i="80" s="1"/>
  <c r="S24" i="80" s="1"/>
  <c r="S25" i="80" s="1"/>
  <c r="S26" i="80" s="1"/>
  <c r="S27" i="80" s="1"/>
  <c r="S28" i="80" s="1"/>
  <c r="S29" i="80" s="1"/>
  <c r="S30" i="80" s="1"/>
  <c r="S31" i="80" s="1"/>
  <c r="S32" i="80" s="1"/>
  <c r="S33" i="80" s="1"/>
  <c r="S34" i="80" s="1"/>
  <c r="S35" i="80" s="1"/>
  <c r="S36" i="80" s="1"/>
  <c r="S37" i="80" s="1"/>
  <c r="S38" i="80" s="1"/>
  <c r="S39" i="80" s="1"/>
  <c r="S40" i="80" s="1"/>
  <c r="S41" i="80" s="1"/>
  <c r="S42" i="80" s="1"/>
  <c r="S43" i="80" s="1"/>
  <c r="S44" i="80" s="1"/>
  <c r="S45" i="80" s="1"/>
  <c r="S46" i="80" s="1"/>
  <c r="S47" i="80" s="1"/>
  <c r="S48" i="80" s="1"/>
  <c r="S49" i="80" s="1"/>
  <c r="S50" i="80" s="1"/>
  <c r="S51" i="80" s="1"/>
  <c r="S52" i="80" s="1"/>
  <c r="S53" i="80" s="1"/>
  <c r="S54" i="80" s="1"/>
  <c r="S55" i="80" s="1"/>
  <c r="S56" i="80" s="1"/>
  <c r="S57" i="80" s="1"/>
  <c r="S58" i="80" s="1"/>
  <c r="S59" i="80" s="1"/>
  <c r="S60" i="80" s="1"/>
  <c r="S61" i="80" s="1"/>
  <c r="F32" i="80"/>
  <c r="G32" i="80"/>
  <c r="T68" i="80"/>
  <c r="L77" i="80"/>
  <c r="R76" i="80"/>
  <c r="G33" i="78"/>
  <c r="F33" i="78"/>
  <c r="Z11" i="78"/>
  <c r="AA11" i="78" s="1"/>
  <c r="AB11" i="78" s="1"/>
  <c r="V11" i="78" s="1"/>
  <c r="Z89" i="78"/>
  <c r="AA89" i="78" s="1"/>
  <c r="AB89" i="78" s="1"/>
  <c r="V89" i="78" s="1"/>
  <c r="C90" i="78"/>
  <c r="E90" i="78" s="1"/>
  <c r="Z103" i="78"/>
  <c r="AA103" i="78" s="1"/>
  <c r="AB103" i="78" s="1"/>
  <c r="V103" i="78" s="1"/>
  <c r="Z44" i="78"/>
  <c r="AA44" i="78" s="1"/>
  <c r="AB44" i="78" s="1"/>
  <c r="V44" i="78" s="1"/>
  <c r="Z14" i="78"/>
  <c r="Z23" i="78"/>
  <c r="AA23" i="78" s="1"/>
  <c r="AB23" i="78" s="1"/>
  <c r="V23" i="78" s="1"/>
  <c r="Z124" i="78"/>
  <c r="AA124" i="78" s="1"/>
  <c r="AB124" i="78" s="1"/>
  <c r="V124" i="78" s="1"/>
  <c r="Z21" i="78"/>
  <c r="AA21" i="78" s="1"/>
  <c r="AB21" i="78" s="1"/>
  <c r="V21" i="78" s="1"/>
  <c r="C19" i="78"/>
  <c r="E19" i="78" s="1"/>
  <c r="Z58" i="78"/>
  <c r="AA58" i="78" s="1"/>
  <c r="AB58" i="78" s="1"/>
  <c r="V58" i="78" s="1"/>
  <c r="Z57" i="78"/>
  <c r="AA57" i="78" s="1"/>
  <c r="AB57" i="78" s="1"/>
  <c r="V57" i="78" s="1"/>
  <c r="Z51" i="78"/>
  <c r="AA51" i="78" s="1"/>
  <c r="AB51" i="78" s="1"/>
  <c r="V51" i="78" s="1"/>
  <c r="Z104" i="78"/>
  <c r="AA104" i="78" s="1"/>
  <c r="AB104" i="78" s="1"/>
  <c r="V104" i="78" s="1"/>
  <c r="Z115" i="78"/>
  <c r="AA115" i="78" s="1"/>
  <c r="AB115" i="78" s="1"/>
  <c r="V115" i="78" s="1"/>
  <c r="Z13" i="78"/>
  <c r="AA13" i="78" s="1"/>
  <c r="AB13" i="78" s="1"/>
  <c r="V13" i="78" s="1"/>
  <c r="Z30" i="78"/>
  <c r="AA30" i="78" s="1"/>
  <c r="AB30" i="78" s="1"/>
  <c r="V30" i="78" s="1"/>
  <c r="Z96" i="78"/>
  <c r="AA96" i="78" s="1"/>
  <c r="AB96" i="78" s="1"/>
  <c r="V96" i="78" s="1"/>
  <c r="Z7" i="78"/>
  <c r="AA7" i="78" s="1"/>
  <c r="AB7" i="78" s="1"/>
  <c r="V7" i="78" s="1"/>
  <c r="Z56" i="78"/>
  <c r="AA56" i="78" s="1"/>
  <c r="AB56" i="78" s="1"/>
  <c r="V56" i="78" s="1"/>
  <c r="C91" i="78"/>
  <c r="E91" i="78" s="1"/>
  <c r="Z102" i="78"/>
  <c r="AA102" i="78" s="1"/>
  <c r="AB102" i="78" s="1"/>
  <c r="V102" i="78" s="1"/>
  <c r="Z121" i="78"/>
  <c r="AA121" i="78" s="1"/>
  <c r="AB121" i="78" s="1"/>
  <c r="V121" i="78" s="1"/>
  <c r="Z22" i="78"/>
  <c r="AA22" i="78" s="1"/>
  <c r="AB22" i="78" s="1"/>
  <c r="V22" i="78" s="1"/>
  <c r="C20" i="78"/>
  <c r="E20" i="78" s="1"/>
  <c r="Z83" i="78"/>
  <c r="AA83" i="78" s="1"/>
  <c r="AB83" i="78" s="1"/>
  <c r="V83" i="78" s="1"/>
  <c r="Z86" i="78"/>
  <c r="AA86" i="78" s="1"/>
  <c r="AB86" i="78" s="1"/>
  <c r="V86" i="78" s="1"/>
  <c r="Z59" i="78"/>
  <c r="AA59" i="78" s="1"/>
  <c r="AB59" i="78" s="1"/>
  <c r="V59" i="78" s="1"/>
  <c r="Z92" i="78"/>
  <c r="AA92" i="78" s="1"/>
  <c r="AB92" i="78" s="1"/>
  <c r="V92" i="78" s="1"/>
  <c r="Z123" i="78"/>
  <c r="AA123" i="78" s="1"/>
  <c r="AB123" i="78" s="1"/>
  <c r="V123" i="78" s="1"/>
  <c r="Z18" i="78"/>
  <c r="AA18" i="78" s="1"/>
  <c r="AB18" i="78" s="1"/>
  <c r="V18" i="78" s="1"/>
  <c r="C21" i="78"/>
  <c r="E21" i="78" s="1"/>
  <c r="Z45" i="78"/>
  <c r="AA45" i="78" s="1"/>
  <c r="AB45" i="78" s="1"/>
  <c r="V45" i="78" s="1"/>
  <c r="Z88" i="78"/>
  <c r="AA88" i="78" s="1"/>
  <c r="AB88" i="78" s="1"/>
  <c r="V88" i="78" s="1"/>
  <c r="Z122" i="78"/>
  <c r="AA122" i="78" s="1"/>
  <c r="AB122" i="78" s="1"/>
  <c r="V122" i="78" s="1"/>
  <c r="Z24" i="78"/>
  <c r="AA24" i="78" s="1"/>
  <c r="AB24" i="78" s="1"/>
  <c r="V24" i="78" s="1"/>
  <c r="Z17" i="78"/>
  <c r="AA17" i="78" s="1"/>
  <c r="AB17" i="78" s="1"/>
  <c r="V17" i="78" s="1"/>
  <c r="Z49" i="78"/>
  <c r="AA49" i="78" s="1"/>
  <c r="AB49" i="78" s="1"/>
  <c r="V49" i="78" s="1"/>
  <c r="Z16" i="78"/>
  <c r="AA16" i="78" s="1"/>
  <c r="AB16" i="78" s="1"/>
  <c r="V16" i="78" s="1"/>
  <c r="Z40" i="78"/>
  <c r="AA40" i="78" s="1"/>
  <c r="AB40" i="78" s="1"/>
  <c r="V40" i="78" s="1"/>
  <c r="Z28" i="78"/>
  <c r="AA28" i="78" s="1"/>
  <c r="AB28" i="78" s="1"/>
  <c r="V28" i="78" s="1"/>
  <c r="Z52" i="78"/>
  <c r="AA52" i="78" s="1"/>
  <c r="AB52" i="78" s="1"/>
  <c r="V52" i="78" s="1"/>
  <c r="Z81" i="78"/>
  <c r="AA81" i="78" s="1"/>
  <c r="AB81" i="78" s="1"/>
  <c r="V81" i="78" s="1"/>
  <c r="Z99" i="78"/>
  <c r="AA99" i="78" s="1"/>
  <c r="AB99" i="78" s="1"/>
  <c r="V99" i="78" s="1"/>
  <c r="Z114" i="78"/>
  <c r="AA114" i="78" s="1"/>
  <c r="AB114" i="78" s="1"/>
  <c r="V114" i="78" s="1"/>
  <c r="T68" i="78"/>
  <c r="F32" i="78"/>
  <c r="G32" i="78"/>
  <c r="T72" i="78"/>
  <c r="Z55" i="78"/>
  <c r="AA55" i="78" s="1"/>
  <c r="AB55" i="78" s="1"/>
  <c r="V55" i="78" s="1"/>
  <c r="Z94" i="78"/>
  <c r="AA94" i="78" s="1"/>
  <c r="AB94" i="78" s="1"/>
  <c r="V94" i="78" s="1"/>
  <c r="C22" i="78"/>
  <c r="E22" i="78" s="1"/>
  <c r="Z62" i="78"/>
  <c r="AA62" i="78" s="1"/>
  <c r="AB62" i="78" s="1"/>
  <c r="V62" i="78" s="1"/>
  <c r="Z107" i="78"/>
  <c r="AA107" i="78" s="1"/>
  <c r="AB107" i="78" s="1"/>
  <c r="V107" i="78" s="1"/>
  <c r="Z105" i="78"/>
  <c r="AA105" i="78" s="1"/>
  <c r="AB105" i="78" s="1"/>
  <c r="V105" i="78" s="1"/>
  <c r="C18" i="78"/>
  <c r="E18" i="78" s="1"/>
  <c r="Z15" i="78"/>
  <c r="AA15" i="78" s="1"/>
  <c r="AB15" i="78" s="1"/>
  <c r="V15" i="78" s="1"/>
  <c r="Z27" i="78"/>
  <c r="AA27" i="78" s="1"/>
  <c r="AB27" i="78" s="1"/>
  <c r="V27" i="78" s="1"/>
  <c r="Z29" i="78"/>
  <c r="AA29" i="78" s="1"/>
  <c r="AB29" i="78" s="1"/>
  <c r="V29" i="78" s="1"/>
  <c r="Z60" i="78"/>
  <c r="AA60" i="78" s="1"/>
  <c r="AB60" i="78" s="1"/>
  <c r="V60" i="78" s="1"/>
  <c r="Z84" i="78"/>
  <c r="AA84" i="78" s="1"/>
  <c r="AB84" i="78" s="1"/>
  <c r="V84" i="78" s="1"/>
  <c r="Z100" i="78"/>
  <c r="AA100" i="78" s="1"/>
  <c r="AB100" i="78" s="1"/>
  <c r="V100" i="78" s="1"/>
  <c r="Z116" i="78"/>
  <c r="AA116" i="78" s="1"/>
  <c r="AB116" i="78" s="1"/>
  <c r="V116" i="78" s="1"/>
  <c r="Z81" i="67"/>
  <c r="AA81" i="67" s="1"/>
  <c r="AB81" i="67" s="1"/>
  <c r="V81" i="67" s="1"/>
  <c r="R80" i="78"/>
  <c r="R81" i="78" s="1"/>
  <c r="R82" i="78" s="1"/>
  <c r="R83" i="78" s="1"/>
  <c r="R84" i="78" s="1"/>
  <c r="R85" i="78" s="1"/>
  <c r="R86" i="78" s="1"/>
  <c r="R87" i="78" s="1"/>
  <c r="R88" i="78" s="1"/>
  <c r="R89" i="78" s="1"/>
  <c r="R90" i="78" s="1"/>
  <c r="R91" i="78" s="1"/>
  <c r="R92" i="78" s="1"/>
  <c r="R93" i="78" s="1"/>
  <c r="R94" i="78" s="1"/>
  <c r="R95" i="78" s="1"/>
  <c r="R96" i="78" s="1"/>
  <c r="R97" i="78" s="1"/>
  <c r="R98" i="78" s="1"/>
  <c r="R99" i="78" s="1"/>
  <c r="R100" i="78" s="1"/>
  <c r="R101" i="78" s="1"/>
  <c r="R102" i="78" s="1"/>
  <c r="R103" i="78" s="1"/>
  <c r="R104" i="78" s="1"/>
  <c r="R105" i="78" s="1"/>
  <c r="R106" i="78" s="1"/>
  <c r="R107" i="78" s="1"/>
  <c r="R108" i="78" s="1"/>
  <c r="R109" i="78" s="1"/>
  <c r="R110" i="78" s="1"/>
  <c r="R111" i="78" s="1"/>
  <c r="R112" i="78" s="1"/>
  <c r="R113" i="78" s="1"/>
  <c r="R114" i="78" s="1"/>
  <c r="R115" i="78" s="1"/>
  <c r="R116" i="78" s="1"/>
  <c r="R117" i="78" s="1"/>
  <c r="R118" i="78" s="1"/>
  <c r="R119" i="78" s="1"/>
  <c r="R120" i="78" s="1"/>
  <c r="R121" i="78" s="1"/>
  <c r="R122" i="78" s="1"/>
  <c r="R123" i="78" s="1"/>
  <c r="R124" i="78" s="1"/>
  <c r="R125" i="78" s="1"/>
  <c r="R126" i="78" s="1"/>
  <c r="S68" i="78"/>
  <c r="S7" i="78" s="1"/>
  <c r="F31" i="78"/>
  <c r="S72" i="78"/>
  <c r="G31" i="78"/>
  <c r="Z19" i="78"/>
  <c r="AA19" i="78" s="1"/>
  <c r="AB19" i="78" s="1"/>
  <c r="V19" i="78" s="1"/>
  <c r="Z34" i="78"/>
  <c r="AA34" i="78" s="1"/>
  <c r="AB34" i="78" s="1"/>
  <c r="V34" i="78" s="1"/>
  <c r="C93" i="78"/>
  <c r="E93" i="78" s="1"/>
  <c r="C94" i="78"/>
  <c r="E94" i="78" s="1"/>
  <c r="Z108" i="78"/>
  <c r="Z20" i="78"/>
  <c r="AA20" i="78" s="1"/>
  <c r="AB20" i="78" s="1"/>
  <c r="V20" i="78" s="1"/>
  <c r="Z82" i="78"/>
  <c r="AA82" i="78" s="1"/>
  <c r="AB82" i="78" s="1"/>
  <c r="V82" i="78" s="1"/>
  <c r="Z48" i="78"/>
  <c r="AA48" i="78" s="1"/>
  <c r="AB48" i="78" s="1"/>
  <c r="V48" i="78" s="1"/>
  <c r="Z38" i="78"/>
  <c r="AA38" i="78" s="1"/>
  <c r="AB38" i="78" s="1"/>
  <c r="V38" i="78" s="1"/>
  <c r="Z31" i="78"/>
  <c r="AA31" i="78" s="1"/>
  <c r="AB31" i="78" s="1"/>
  <c r="V31" i="78" s="1"/>
  <c r="Z95" i="78"/>
  <c r="AA95" i="78" s="1"/>
  <c r="AB95" i="78" s="1"/>
  <c r="V95" i="78" s="1"/>
  <c r="Z37" i="78"/>
  <c r="AA37" i="78" s="1"/>
  <c r="AB37" i="78" s="1"/>
  <c r="V37" i="78" s="1"/>
  <c r="Z63" i="78"/>
  <c r="AA63" i="78" s="1"/>
  <c r="AB63" i="78" s="1"/>
  <c r="V63" i="78" s="1"/>
  <c r="Z91" i="78"/>
  <c r="AA91" i="78" s="1"/>
  <c r="AB91" i="78" s="1"/>
  <c r="V91" i="78" s="1"/>
  <c r="Z119" i="78"/>
  <c r="AA119" i="78" s="1"/>
  <c r="AB119" i="78" s="1"/>
  <c r="V119" i="78" s="1"/>
  <c r="Z109" i="78"/>
  <c r="AA109" i="78" s="1"/>
  <c r="AB109" i="78" s="1"/>
  <c r="V109" i="78" s="1"/>
  <c r="Z12" i="78"/>
  <c r="AA12" i="78" s="1"/>
  <c r="AB12" i="78" s="1"/>
  <c r="V12" i="78" s="1"/>
  <c r="Z61" i="78"/>
  <c r="Z117" i="78"/>
  <c r="AA117" i="78" s="1"/>
  <c r="AB117" i="78" s="1"/>
  <c r="V117" i="78" s="1"/>
  <c r="Z32" i="78"/>
  <c r="AA32" i="78" s="1"/>
  <c r="AB32" i="78" s="1"/>
  <c r="V32" i="78" s="1"/>
  <c r="Z66" i="78"/>
  <c r="AA66" i="78" s="1"/>
  <c r="AB66" i="78" s="1"/>
  <c r="V66" i="78" s="1"/>
  <c r="Z97" i="78"/>
  <c r="AA97" i="78" s="1"/>
  <c r="AB97" i="78" s="1"/>
  <c r="V97" i="78" s="1"/>
  <c r="Z111" i="78"/>
  <c r="AA111" i="78" s="1"/>
  <c r="AB111" i="78" s="1"/>
  <c r="V111" i="78" s="1"/>
  <c r="Z46" i="78"/>
  <c r="AA46" i="78" s="1"/>
  <c r="AB46" i="78" s="1"/>
  <c r="V46" i="78" s="1"/>
  <c r="Z50" i="78"/>
  <c r="AA50" i="78" s="1"/>
  <c r="AB50" i="78" s="1"/>
  <c r="V50" i="78" s="1"/>
  <c r="Z25" i="78"/>
  <c r="AA25" i="78" s="1"/>
  <c r="AB25" i="78" s="1"/>
  <c r="V25" i="78" s="1"/>
  <c r="Z41" i="78"/>
  <c r="AA41" i="78" s="1"/>
  <c r="AB41" i="78" s="1"/>
  <c r="V41" i="78" s="1"/>
  <c r="Z64" i="78"/>
  <c r="AA64" i="78" s="1"/>
  <c r="AB64" i="78" s="1"/>
  <c r="V64" i="78" s="1"/>
  <c r="Z93" i="78"/>
  <c r="AA93" i="78" s="1"/>
  <c r="AB93" i="78" s="1"/>
  <c r="V93" i="78" s="1"/>
  <c r="Z126" i="78"/>
  <c r="AA126" i="78" s="1"/>
  <c r="AB126" i="78" s="1"/>
  <c r="V126" i="78" s="1"/>
  <c r="Z113" i="78"/>
  <c r="AA113" i="78" s="1"/>
  <c r="AB113" i="78" s="1"/>
  <c r="V113" i="78" s="1"/>
  <c r="R76" i="67"/>
  <c r="L77" i="67"/>
  <c r="M80" i="78" l="1"/>
  <c r="J81" i="78" s="1"/>
  <c r="K81" i="78" s="1"/>
  <c r="M81" i="78" s="1"/>
  <c r="J82" i="78" s="1"/>
  <c r="K82" i="78" s="1"/>
  <c r="M82" i="78" s="1"/>
  <c r="J83" i="78" s="1"/>
  <c r="K83" i="78" s="1"/>
  <c r="M83" i="78" s="1"/>
  <c r="J84" i="78" s="1"/>
  <c r="K84" i="78" s="1"/>
  <c r="M84" i="78" s="1"/>
  <c r="J85" i="78" s="1"/>
  <c r="K85" i="78" s="1"/>
  <c r="M85" i="78" s="1"/>
  <c r="J86" i="78" s="1"/>
  <c r="K86" i="78" s="1"/>
  <c r="M86" i="78" s="1"/>
  <c r="J87" i="78" s="1"/>
  <c r="K87" i="78" s="1"/>
  <c r="M87" i="78" s="1"/>
  <c r="J88" i="78" s="1"/>
  <c r="L8" i="78"/>
  <c r="R8" i="78" s="1"/>
  <c r="S8" i="78" s="1"/>
  <c r="S9" i="78" s="1"/>
  <c r="S10" i="78" s="1"/>
  <c r="S11" i="78" s="1"/>
  <c r="S12" i="78" s="1"/>
  <c r="S13" i="78" s="1"/>
  <c r="S14" i="78" s="1"/>
  <c r="S15" i="78" s="1"/>
  <c r="S16" i="78" s="1"/>
  <c r="S17" i="78" s="1"/>
  <c r="S18" i="78" s="1"/>
  <c r="S19" i="78" s="1"/>
  <c r="S20" i="78" s="1"/>
  <c r="S21" i="78" s="1"/>
  <c r="S22" i="78" s="1"/>
  <c r="S23" i="78" s="1"/>
  <c r="S24" i="78" s="1"/>
  <c r="S25" i="78" s="1"/>
  <c r="S26" i="78" s="1"/>
  <c r="S27" i="78" s="1"/>
  <c r="S28" i="78" s="1"/>
  <c r="S29" i="78" s="1"/>
  <c r="S30" i="78" s="1"/>
  <c r="S31" i="78" s="1"/>
  <c r="S32" i="78" s="1"/>
  <c r="S33" i="78" s="1"/>
  <c r="S34" i="78" s="1"/>
  <c r="S35" i="78" s="1"/>
  <c r="S36" i="78" s="1"/>
  <c r="S37" i="78" s="1"/>
  <c r="S38" i="78" s="1"/>
  <c r="S39" i="78" s="1"/>
  <c r="S40" i="78" s="1"/>
  <c r="S41" i="78" s="1"/>
  <c r="S42" i="78" s="1"/>
  <c r="S43" i="78" s="1"/>
  <c r="S44" i="78" s="1"/>
  <c r="S45" i="78" s="1"/>
  <c r="S46" i="78" s="1"/>
  <c r="S47" i="78" s="1"/>
  <c r="S48" i="78" s="1"/>
  <c r="S49" i="78" s="1"/>
  <c r="S50" i="78" s="1"/>
  <c r="S51" i="78" s="1"/>
  <c r="S52" i="78" s="1"/>
  <c r="S53" i="78" s="1"/>
  <c r="S54" i="78" s="1"/>
  <c r="S55" i="78" s="1"/>
  <c r="S56" i="78" s="1"/>
  <c r="S57" i="78" s="1"/>
  <c r="S58" i="78" s="1"/>
  <c r="S59" i="78" s="1"/>
  <c r="S60" i="78" s="1"/>
  <c r="S61" i="78" s="1"/>
  <c r="J8" i="82"/>
  <c r="K8" i="82" s="1"/>
  <c r="M8" i="82" s="1"/>
  <c r="J7" i="85"/>
  <c r="K7" i="85" s="1"/>
  <c r="J67" i="85"/>
  <c r="L69" i="85"/>
  <c r="L7" i="85" s="1"/>
  <c r="R7" i="85" s="1"/>
  <c r="Z76" i="67"/>
  <c r="AA76" i="67" s="1"/>
  <c r="AB76" i="67" s="1"/>
  <c r="V76" i="67" s="1"/>
  <c r="Z55" i="67"/>
  <c r="AA55" i="67" s="1"/>
  <c r="AB55" i="67" s="1"/>
  <c r="V55" i="67" s="1"/>
  <c r="Z20" i="67"/>
  <c r="AA20" i="67" s="1"/>
  <c r="AB20" i="67" s="1"/>
  <c r="V20" i="67" s="1"/>
  <c r="Z96" i="67"/>
  <c r="AA96" i="67" s="1"/>
  <c r="AB96" i="67" s="1"/>
  <c r="V96" i="67" s="1"/>
  <c r="Z98" i="67"/>
  <c r="AA98" i="67" s="1"/>
  <c r="AB98" i="67" s="1"/>
  <c r="V98" i="67" s="1"/>
  <c r="Z58" i="67"/>
  <c r="AA58" i="67" s="1"/>
  <c r="AB58" i="67" s="1"/>
  <c r="V58" i="67" s="1"/>
  <c r="M8" i="80"/>
  <c r="L9" i="80" s="1"/>
  <c r="R9" i="80" s="1"/>
  <c r="Z36" i="67"/>
  <c r="AA36" i="67" s="1"/>
  <c r="AB36" i="67" s="1"/>
  <c r="V36" i="67" s="1"/>
  <c r="Z79" i="67"/>
  <c r="AA79" i="67" s="1"/>
  <c r="AB79" i="67" s="1"/>
  <c r="V79" i="67" s="1"/>
  <c r="Z17" i="67"/>
  <c r="AA17" i="67" s="1"/>
  <c r="AB17" i="67" s="1"/>
  <c r="V17" i="67" s="1"/>
  <c r="C19" i="67"/>
  <c r="E19" i="67" s="1"/>
  <c r="C21" i="67"/>
  <c r="E21" i="67" s="1"/>
  <c r="Z53" i="67"/>
  <c r="AA53" i="67" s="1"/>
  <c r="AB53" i="67" s="1"/>
  <c r="V53" i="67" s="1"/>
  <c r="Z82" i="67"/>
  <c r="AA82" i="67" s="1"/>
  <c r="AB82" i="67" s="1"/>
  <c r="V82" i="67" s="1"/>
  <c r="G33" i="67"/>
  <c r="Z37" i="67"/>
  <c r="AA37" i="67" s="1"/>
  <c r="AB37" i="67" s="1"/>
  <c r="V37" i="67" s="1"/>
  <c r="Z95" i="67"/>
  <c r="AA95" i="67" s="1"/>
  <c r="AB95" i="67" s="1"/>
  <c r="V95" i="67" s="1"/>
  <c r="Z57" i="67"/>
  <c r="AA57" i="67" s="1"/>
  <c r="AB57" i="67" s="1"/>
  <c r="V57" i="67" s="1"/>
  <c r="C86" i="67"/>
  <c r="E86" i="67" s="1"/>
  <c r="Z39" i="67"/>
  <c r="AA39" i="67" s="1"/>
  <c r="AB39" i="67" s="1"/>
  <c r="V39" i="67" s="1"/>
  <c r="Z110" i="67"/>
  <c r="AA110" i="67" s="1"/>
  <c r="AB110" i="67" s="1"/>
  <c r="V110" i="67" s="1"/>
  <c r="Z42" i="67"/>
  <c r="AA42" i="67" s="1"/>
  <c r="AB42" i="67" s="1"/>
  <c r="V42" i="67" s="1"/>
  <c r="Z117" i="67"/>
  <c r="AA117" i="67" s="1"/>
  <c r="AB117" i="67" s="1"/>
  <c r="V117" i="67" s="1"/>
  <c r="L69" i="67"/>
  <c r="L7" i="67" s="1"/>
  <c r="R7" i="67" s="1"/>
  <c r="Z52" i="67"/>
  <c r="AA52" i="67" s="1"/>
  <c r="AB52" i="67" s="1"/>
  <c r="V52" i="67" s="1"/>
  <c r="Z13" i="67"/>
  <c r="AA13" i="67" s="1"/>
  <c r="AB13" i="67" s="1"/>
  <c r="V13" i="67" s="1"/>
  <c r="Z33" i="67"/>
  <c r="AA33" i="67" s="1"/>
  <c r="AB33" i="67" s="1"/>
  <c r="V33" i="67" s="1"/>
  <c r="C89" i="67"/>
  <c r="E89" i="67" s="1"/>
  <c r="Z23" i="67"/>
  <c r="AA23" i="67" s="1"/>
  <c r="AB23" i="67" s="1"/>
  <c r="V23" i="67" s="1"/>
  <c r="C88" i="67"/>
  <c r="E88" i="67" s="1"/>
  <c r="Z26" i="67"/>
  <c r="AA26" i="67" s="1"/>
  <c r="AB26" i="67" s="1"/>
  <c r="V26" i="67" s="1"/>
  <c r="Z90" i="67"/>
  <c r="AA90" i="67" s="1"/>
  <c r="AB90" i="67" s="1"/>
  <c r="V90" i="67" s="1"/>
  <c r="Z64" i="67"/>
  <c r="AA64" i="67" s="1"/>
  <c r="AB64" i="67" s="1"/>
  <c r="V64" i="67" s="1"/>
  <c r="Z32" i="67"/>
  <c r="AA32" i="67" s="1"/>
  <c r="AB32" i="67" s="1"/>
  <c r="V32" i="67" s="1"/>
  <c r="Z119" i="67"/>
  <c r="AA119" i="67" s="1"/>
  <c r="AB119" i="67" s="1"/>
  <c r="V119" i="67" s="1"/>
  <c r="Z92" i="67"/>
  <c r="AA92" i="67" s="1"/>
  <c r="AB92" i="67" s="1"/>
  <c r="V92" i="67" s="1"/>
  <c r="Z49" i="67"/>
  <c r="AA49" i="67" s="1"/>
  <c r="AB49" i="67" s="1"/>
  <c r="V49" i="67" s="1"/>
  <c r="T68" i="67"/>
  <c r="Z108" i="67"/>
  <c r="AA108" i="67" s="1"/>
  <c r="AB108" i="67" s="1"/>
  <c r="V108" i="67" s="1"/>
  <c r="Z84" i="67"/>
  <c r="AA84" i="67" s="1"/>
  <c r="AB84" i="67" s="1"/>
  <c r="V84" i="67" s="1"/>
  <c r="Z51" i="67"/>
  <c r="AA51" i="67" s="1"/>
  <c r="AB51" i="67" s="1"/>
  <c r="V51" i="67" s="1"/>
  <c r="Z19" i="67"/>
  <c r="AA19" i="67" s="1"/>
  <c r="AB19" i="67" s="1"/>
  <c r="V19" i="67" s="1"/>
  <c r="Z105" i="67"/>
  <c r="AA105" i="67" s="1"/>
  <c r="AB105" i="67" s="1"/>
  <c r="V105" i="67" s="1"/>
  <c r="Z75" i="67"/>
  <c r="AA75" i="67" s="1"/>
  <c r="AB75" i="67" s="1"/>
  <c r="V75" i="67" s="1"/>
  <c r="Z116" i="67"/>
  <c r="AA116" i="67" s="1"/>
  <c r="AB116" i="67" s="1"/>
  <c r="V116" i="67" s="1"/>
  <c r="Z38" i="67"/>
  <c r="AA38" i="67" s="1"/>
  <c r="AB38" i="67" s="1"/>
  <c r="V38" i="67" s="1"/>
  <c r="Z9" i="67"/>
  <c r="AA9" i="67" s="1"/>
  <c r="AB9" i="67" s="1"/>
  <c r="V9" i="67" s="1"/>
  <c r="Z112" i="67"/>
  <c r="AA112" i="67" s="1"/>
  <c r="AB112" i="67" s="1"/>
  <c r="V112" i="67" s="1"/>
  <c r="Z61" i="67"/>
  <c r="AA61" i="67" s="1"/>
  <c r="AB61" i="67" s="1"/>
  <c r="V61" i="67" s="1"/>
  <c r="Z56" i="67"/>
  <c r="AA56" i="67" s="1"/>
  <c r="AB56" i="67" s="1"/>
  <c r="V56" i="67" s="1"/>
  <c r="Z40" i="67"/>
  <c r="AA40" i="67" s="1"/>
  <c r="AB40" i="67" s="1"/>
  <c r="V40" i="67" s="1"/>
  <c r="Z24" i="67"/>
  <c r="AA24" i="67" s="1"/>
  <c r="AB24" i="67" s="1"/>
  <c r="V24" i="67" s="1"/>
  <c r="Z102" i="67"/>
  <c r="AA102" i="67" s="1"/>
  <c r="AB102" i="67" s="1"/>
  <c r="V102" i="67" s="1"/>
  <c r="Z122" i="67"/>
  <c r="AA122" i="67" s="1"/>
  <c r="AB122" i="67" s="1"/>
  <c r="V122" i="67" s="1"/>
  <c r="Z100" i="67"/>
  <c r="AA100" i="67" s="1"/>
  <c r="AB100" i="67" s="1"/>
  <c r="V100" i="67" s="1"/>
  <c r="Z97" i="67"/>
  <c r="AA97" i="67" s="1"/>
  <c r="AB97" i="67" s="1"/>
  <c r="V97" i="67" s="1"/>
  <c r="Z65" i="67"/>
  <c r="AA65" i="67" s="1"/>
  <c r="AB65" i="67" s="1"/>
  <c r="V65" i="67" s="1"/>
  <c r="Z41" i="67"/>
  <c r="AA41" i="67" s="1"/>
  <c r="AB41" i="67" s="1"/>
  <c r="V41" i="67" s="1"/>
  <c r="Z21" i="67"/>
  <c r="AA21" i="67" s="1"/>
  <c r="AB21" i="67" s="1"/>
  <c r="V21" i="67" s="1"/>
  <c r="Z77" i="67"/>
  <c r="AA77" i="67" s="1"/>
  <c r="AB77" i="67" s="1"/>
  <c r="V77" i="67" s="1"/>
  <c r="Z87" i="67"/>
  <c r="AA87" i="67" s="1"/>
  <c r="AB87" i="67" s="1"/>
  <c r="V87" i="67" s="1"/>
  <c r="S68" i="67"/>
  <c r="Z118" i="67"/>
  <c r="AA118" i="67" s="1"/>
  <c r="AB118" i="67" s="1"/>
  <c r="V118" i="67" s="1"/>
  <c r="Z59" i="67"/>
  <c r="AA59" i="67" s="1"/>
  <c r="AB59" i="67" s="1"/>
  <c r="V59" i="67" s="1"/>
  <c r="Z43" i="67"/>
  <c r="AA43" i="67" s="1"/>
  <c r="AB43" i="67" s="1"/>
  <c r="V43" i="67" s="1"/>
  <c r="Z27" i="67"/>
  <c r="AA27" i="67" s="1"/>
  <c r="AB27" i="67" s="1"/>
  <c r="V27" i="67" s="1"/>
  <c r="Z93" i="67"/>
  <c r="AA93" i="67" s="1"/>
  <c r="AB93" i="67" s="1"/>
  <c r="V93" i="67" s="1"/>
  <c r="Z89" i="67"/>
  <c r="AA89" i="67" s="1"/>
  <c r="AB89" i="67" s="1"/>
  <c r="V89" i="67" s="1"/>
  <c r="C90" i="67"/>
  <c r="E90" i="67" s="1"/>
  <c r="Z78" i="67"/>
  <c r="AA78" i="67" s="1"/>
  <c r="AB78" i="67" s="1"/>
  <c r="V78" i="67" s="1"/>
  <c r="C22" i="67"/>
  <c r="E22" i="67" s="1"/>
  <c r="Z62" i="67"/>
  <c r="AA62" i="67" s="1"/>
  <c r="AB62" i="67" s="1"/>
  <c r="V62" i="67" s="1"/>
  <c r="Z46" i="67"/>
  <c r="AA46" i="67" s="1"/>
  <c r="AB46" i="67" s="1"/>
  <c r="V46" i="67" s="1"/>
  <c r="Z30" i="67"/>
  <c r="AA30" i="67" s="1"/>
  <c r="AB30" i="67" s="1"/>
  <c r="V30" i="67" s="1"/>
  <c r="Z14" i="67"/>
  <c r="AA14" i="67" s="1"/>
  <c r="AB14" i="67" s="1"/>
  <c r="V14" i="67" s="1"/>
  <c r="Z114" i="67"/>
  <c r="AA114" i="67" s="1"/>
  <c r="AB114" i="67" s="1"/>
  <c r="V114" i="67" s="1"/>
  <c r="Z91" i="67"/>
  <c r="AA91" i="67" s="1"/>
  <c r="AB91" i="67" s="1"/>
  <c r="V91" i="67" s="1"/>
  <c r="Z109" i="67"/>
  <c r="AA109" i="67" s="1"/>
  <c r="AB109" i="67" s="1"/>
  <c r="V109" i="67" s="1"/>
  <c r="C18" i="67"/>
  <c r="E18" i="67" s="1"/>
  <c r="J7" i="67"/>
  <c r="K7" i="67" s="1"/>
  <c r="Z48" i="67"/>
  <c r="AA48" i="67" s="1"/>
  <c r="AB48" i="67" s="1"/>
  <c r="V48" i="67" s="1"/>
  <c r="Z16" i="67"/>
  <c r="AA16" i="67" s="1"/>
  <c r="AB16" i="67" s="1"/>
  <c r="V16" i="67" s="1"/>
  <c r="Z85" i="67"/>
  <c r="AA85" i="67" s="1"/>
  <c r="AB85" i="67" s="1"/>
  <c r="V85" i="67" s="1"/>
  <c r="Z10" i="67"/>
  <c r="AA10" i="67" s="1"/>
  <c r="AB10" i="67" s="1"/>
  <c r="V10" i="67" s="1"/>
  <c r="Z29" i="67"/>
  <c r="AA29" i="67" s="1"/>
  <c r="AB29" i="67" s="1"/>
  <c r="V29" i="67" s="1"/>
  <c r="Z7" i="67"/>
  <c r="AA7" i="67" s="1"/>
  <c r="AB7" i="67" s="1"/>
  <c r="V7" i="67" s="1"/>
  <c r="F27" i="67"/>
  <c r="G27" i="67" s="1"/>
  <c r="Z35" i="67"/>
  <c r="AA35" i="67" s="1"/>
  <c r="AB35" i="67" s="1"/>
  <c r="V35" i="67" s="1"/>
  <c r="Z8" i="67"/>
  <c r="AA8" i="67" s="1"/>
  <c r="AB8" i="67" s="1"/>
  <c r="V8" i="67" s="1"/>
  <c r="Z104" i="67"/>
  <c r="AA104" i="67" s="1"/>
  <c r="AB104" i="67" s="1"/>
  <c r="V104" i="67" s="1"/>
  <c r="Z54" i="67"/>
  <c r="AA54" i="67" s="1"/>
  <c r="AB54" i="67" s="1"/>
  <c r="V54" i="67" s="1"/>
  <c r="Z22" i="67"/>
  <c r="AA22" i="67" s="1"/>
  <c r="AB22" i="67" s="1"/>
  <c r="V22" i="67" s="1"/>
  <c r="Z103" i="67"/>
  <c r="AA103" i="67" s="1"/>
  <c r="AB103" i="67" s="1"/>
  <c r="V103" i="67" s="1"/>
  <c r="Z113" i="67"/>
  <c r="AA113" i="67" s="1"/>
  <c r="AB113" i="67" s="1"/>
  <c r="V113" i="67" s="1"/>
  <c r="Z60" i="67"/>
  <c r="AA60" i="67" s="1"/>
  <c r="AB60" i="67" s="1"/>
  <c r="V60" i="67" s="1"/>
  <c r="Z44" i="67"/>
  <c r="AA44" i="67" s="1"/>
  <c r="AB44" i="67" s="1"/>
  <c r="V44" i="67" s="1"/>
  <c r="Z28" i="67"/>
  <c r="AA28" i="67" s="1"/>
  <c r="AB28" i="67" s="1"/>
  <c r="V28" i="67" s="1"/>
  <c r="Z86" i="67"/>
  <c r="AA86" i="67" s="1"/>
  <c r="AB86" i="67" s="1"/>
  <c r="V86" i="67" s="1"/>
  <c r="Z107" i="67"/>
  <c r="AA107" i="67" s="1"/>
  <c r="AB107" i="67" s="1"/>
  <c r="V107" i="67" s="1"/>
  <c r="Z115" i="67"/>
  <c r="AA115" i="67" s="1"/>
  <c r="AB115" i="67" s="1"/>
  <c r="V115" i="67" s="1"/>
  <c r="Z94" i="67"/>
  <c r="AA94" i="67" s="1"/>
  <c r="AB94" i="67" s="1"/>
  <c r="V94" i="67" s="1"/>
  <c r="Z83" i="67"/>
  <c r="AA83" i="67" s="1"/>
  <c r="AB83" i="67" s="1"/>
  <c r="V83" i="67" s="1"/>
  <c r="Z45" i="67"/>
  <c r="AA45" i="67" s="1"/>
  <c r="AB45" i="67" s="1"/>
  <c r="V45" i="67" s="1"/>
  <c r="Z25" i="67"/>
  <c r="AA25" i="67" s="1"/>
  <c r="AB25" i="67" s="1"/>
  <c r="V25" i="67" s="1"/>
  <c r="Z80" i="67"/>
  <c r="AA80" i="67" s="1"/>
  <c r="AB80" i="67" s="1"/>
  <c r="V80" i="67" s="1"/>
  <c r="C87" i="67"/>
  <c r="E87" i="67" s="1"/>
  <c r="Z120" i="67"/>
  <c r="AA120" i="67" s="1"/>
  <c r="AB120" i="67" s="1"/>
  <c r="V120" i="67" s="1"/>
  <c r="Z101" i="67"/>
  <c r="AA101" i="67" s="1"/>
  <c r="AB101" i="67" s="1"/>
  <c r="V101" i="67" s="1"/>
  <c r="Z63" i="67"/>
  <c r="AA63" i="67" s="1"/>
  <c r="AB63" i="67" s="1"/>
  <c r="V63" i="67" s="1"/>
  <c r="Z47" i="67"/>
  <c r="AA47" i="67" s="1"/>
  <c r="AB47" i="67" s="1"/>
  <c r="V47" i="67" s="1"/>
  <c r="Z31" i="67"/>
  <c r="AA31" i="67" s="1"/>
  <c r="AB31" i="67" s="1"/>
  <c r="V31" i="67" s="1"/>
  <c r="Z15" i="67"/>
  <c r="AA15" i="67" s="1"/>
  <c r="AB15" i="67" s="1"/>
  <c r="V15" i="67" s="1"/>
  <c r="Z121" i="67"/>
  <c r="AA121" i="67" s="1"/>
  <c r="AB121" i="67" s="1"/>
  <c r="V121" i="67" s="1"/>
  <c r="Z88" i="67"/>
  <c r="AA88" i="67" s="1"/>
  <c r="AB88" i="67" s="1"/>
  <c r="V88" i="67" s="1"/>
  <c r="Z99" i="67"/>
  <c r="AA99" i="67" s="1"/>
  <c r="AB99" i="67" s="1"/>
  <c r="V99" i="67" s="1"/>
  <c r="Z11" i="67"/>
  <c r="AA11" i="67" s="1"/>
  <c r="AB11" i="67" s="1"/>
  <c r="V11" i="67" s="1"/>
  <c r="Z66" i="67"/>
  <c r="AA66" i="67" s="1"/>
  <c r="AB66" i="67" s="1"/>
  <c r="V66" i="67" s="1"/>
  <c r="Z50" i="67"/>
  <c r="AA50" i="67" s="1"/>
  <c r="AB50" i="67" s="1"/>
  <c r="V50" i="67" s="1"/>
  <c r="Z34" i="67"/>
  <c r="AA34" i="67" s="1"/>
  <c r="AB34" i="67" s="1"/>
  <c r="V34" i="67" s="1"/>
  <c r="Z18" i="67"/>
  <c r="AA18" i="67" s="1"/>
  <c r="AB18" i="67" s="1"/>
  <c r="V18" i="67" s="1"/>
  <c r="Z12" i="67"/>
  <c r="AA12" i="67" s="1"/>
  <c r="AB12" i="67" s="1"/>
  <c r="V12" i="67" s="1"/>
  <c r="C20" i="67"/>
  <c r="E20" i="67" s="1"/>
  <c r="Z111" i="67"/>
  <c r="AA111" i="67" s="1"/>
  <c r="AB111" i="67" s="1"/>
  <c r="V111" i="67" s="1"/>
  <c r="J67" i="67"/>
  <c r="V67" i="82"/>
  <c r="D30" i="82" s="1"/>
  <c r="F30" i="82" s="1"/>
  <c r="G30" i="82" s="1"/>
  <c r="AD7" i="82"/>
  <c r="L9" i="82"/>
  <c r="R9" i="82" s="1"/>
  <c r="J9" i="82"/>
  <c r="S8" i="82"/>
  <c r="S9" i="82" s="1"/>
  <c r="S10" i="82" s="1"/>
  <c r="S11" i="82" s="1"/>
  <c r="S12" i="82" s="1"/>
  <c r="S13" i="82" s="1"/>
  <c r="S14" i="82" s="1"/>
  <c r="S15" i="82" s="1"/>
  <c r="S16" i="82" s="1"/>
  <c r="S17" i="82" s="1"/>
  <c r="S18" i="82" s="1"/>
  <c r="S19" i="82" s="1"/>
  <c r="S20" i="82" s="1"/>
  <c r="S21" i="82" s="1"/>
  <c r="S22" i="82" s="1"/>
  <c r="S23" i="82" s="1"/>
  <c r="S24" i="82" s="1"/>
  <c r="S25" i="82" s="1"/>
  <c r="S26" i="82" s="1"/>
  <c r="S27" i="82" s="1"/>
  <c r="S28" i="82" s="1"/>
  <c r="S29" i="82" s="1"/>
  <c r="S30" i="82" s="1"/>
  <c r="S31" i="82" s="1"/>
  <c r="S32" i="82" s="1"/>
  <c r="S33" i="82" s="1"/>
  <c r="S34" i="82" s="1"/>
  <c r="S35" i="82" s="1"/>
  <c r="S36" i="82" s="1"/>
  <c r="S37" i="82" s="1"/>
  <c r="S38" i="82" s="1"/>
  <c r="S39" i="82" s="1"/>
  <c r="S40" i="82" s="1"/>
  <c r="S41" i="82" s="1"/>
  <c r="S42" i="82" s="1"/>
  <c r="S43" i="82" s="1"/>
  <c r="S44" i="82" s="1"/>
  <c r="S45" i="82" s="1"/>
  <c r="S46" i="82" s="1"/>
  <c r="S47" i="82" s="1"/>
  <c r="S48" i="82" s="1"/>
  <c r="S49" i="82" s="1"/>
  <c r="S50" i="82" s="1"/>
  <c r="S51" i="82" s="1"/>
  <c r="S52" i="82" s="1"/>
  <c r="S53" i="82" s="1"/>
  <c r="S54" i="82" s="1"/>
  <c r="S55" i="82" s="1"/>
  <c r="T36" i="82"/>
  <c r="T54" i="82"/>
  <c r="L80" i="85"/>
  <c r="L81" i="85" s="1"/>
  <c r="L82" i="85" s="1"/>
  <c r="L83" i="85" s="1"/>
  <c r="L84" i="85" s="1"/>
  <c r="L85" i="85" s="1"/>
  <c r="L86" i="85" s="1"/>
  <c r="L87" i="85" s="1"/>
  <c r="L88" i="85" s="1"/>
  <c r="L89" i="85" s="1"/>
  <c r="L90" i="85" s="1"/>
  <c r="L91" i="85" s="1"/>
  <c r="L92" i="85" s="1"/>
  <c r="L93" i="85" s="1"/>
  <c r="L94" i="85" s="1"/>
  <c r="L95" i="85" s="1"/>
  <c r="L96" i="85" s="1"/>
  <c r="L97" i="85" s="1"/>
  <c r="L98" i="85" s="1"/>
  <c r="L99" i="85" s="1"/>
  <c r="L100" i="85" s="1"/>
  <c r="L101" i="85" s="1"/>
  <c r="L102" i="85" s="1"/>
  <c r="L103" i="85" s="1"/>
  <c r="L104" i="85" s="1"/>
  <c r="L105" i="85" s="1"/>
  <c r="L106" i="85" s="1"/>
  <c r="L107" i="85" s="1"/>
  <c r="L108" i="85" s="1"/>
  <c r="L109" i="85" s="1"/>
  <c r="L110" i="85" s="1"/>
  <c r="L111" i="85" s="1"/>
  <c r="L112" i="85" s="1"/>
  <c r="L113" i="85" s="1"/>
  <c r="L114" i="85" s="1"/>
  <c r="L115" i="85" s="1"/>
  <c r="L116" i="85" s="1"/>
  <c r="L117" i="85" s="1"/>
  <c r="L118" i="85" s="1"/>
  <c r="L119" i="85" s="1"/>
  <c r="L120" i="85" s="1"/>
  <c r="L121" i="85" s="1"/>
  <c r="L122" i="85" s="1"/>
  <c r="L123" i="85" s="1"/>
  <c r="L124" i="85" s="1"/>
  <c r="L125" i="85" s="1"/>
  <c r="R79" i="85"/>
  <c r="K79" i="85"/>
  <c r="M79" i="85" s="1"/>
  <c r="J80" i="85" s="1"/>
  <c r="K80" i="85" s="1"/>
  <c r="L125" i="84"/>
  <c r="L75" i="84" s="1"/>
  <c r="J123" i="84"/>
  <c r="J75" i="84"/>
  <c r="K75" i="84" s="1"/>
  <c r="D96" i="84"/>
  <c r="F96" i="84" s="1"/>
  <c r="G96" i="84" s="1"/>
  <c r="D95" i="84"/>
  <c r="F95" i="84" s="1"/>
  <c r="G95" i="84" s="1"/>
  <c r="V123" i="80"/>
  <c r="D98" i="80" s="1"/>
  <c r="F98" i="80" s="1"/>
  <c r="G98" i="80" s="1"/>
  <c r="D32" i="85"/>
  <c r="F27" i="85"/>
  <c r="G27" i="85" s="1"/>
  <c r="D31" i="85"/>
  <c r="D33" i="85"/>
  <c r="D28" i="85"/>
  <c r="Z112" i="85" s="1"/>
  <c r="AA112" i="85" s="1"/>
  <c r="AB112" i="85" s="1"/>
  <c r="V112" i="85" s="1"/>
  <c r="J67" i="84"/>
  <c r="L69" i="84"/>
  <c r="L7" i="84" s="1"/>
  <c r="R7" i="84" s="1"/>
  <c r="J7" i="84"/>
  <c r="K7" i="84" s="1"/>
  <c r="K76" i="67"/>
  <c r="M76" i="67" s="1"/>
  <c r="J77" i="67" s="1"/>
  <c r="R127" i="78"/>
  <c r="K77" i="80"/>
  <c r="M77" i="80" s="1"/>
  <c r="J78" i="80" s="1"/>
  <c r="R77" i="80"/>
  <c r="L78" i="80"/>
  <c r="T36" i="80"/>
  <c r="T54" i="80"/>
  <c r="S64" i="80"/>
  <c r="S62" i="80"/>
  <c r="S63" i="80"/>
  <c r="AD7" i="80"/>
  <c r="S67" i="80"/>
  <c r="S69" i="80" s="1"/>
  <c r="V67" i="80"/>
  <c r="G78" i="72"/>
  <c r="F78" i="72" s="1"/>
  <c r="F79" i="72" s="1"/>
  <c r="C75" i="72" s="1"/>
  <c r="AA108" i="78"/>
  <c r="AB108" i="78" s="1"/>
  <c r="V108" i="78" s="1"/>
  <c r="V127" i="78" s="1"/>
  <c r="D102" i="78" s="1"/>
  <c r="F102" i="78" s="1"/>
  <c r="G102" i="78" s="1"/>
  <c r="AD7" i="78"/>
  <c r="T36" i="78"/>
  <c r="T54" i="78"/>
  <c r="AA61" i="78"/>
  <c r="AB61" i="78" s="1"/>
  <c r="V61" i="78" s="1"/>
  <c r="G32" i="67"/>
  <c r="AA14" i="78"/>
  <c r="AB14" i="78" s="1"/>
  <c r="V14" i="78" s="1"/>
  <c r="V67" i="78" s="1"/>
  <c r="D30" i="78" s="1"/>
  <c r="F30" i="78" s="1"/>
  <c r="G30" i="78" s="1"/>
  <c r="L78" i="67"/>
  <c r="R77" i="67"/>
  <c r="M8" i="78" l="1"/>
  <c r="J9" i="78" s="1"/>
  <c r="K9" i="78" s="1"/>
  <c r="M7" i="85"/>
  <c r="J8" i="85" s="1"/>
  <c r="J9" i="80"/>
  <c r="K9" i="80" s="1"/>
  <c r="M7" i="67"/>
  <c r="J8" i="67" s="1"/>
  <c r="K8" i="67" s="1"/>
  <c r="F32" i="67"/>
  <c r="G31" i="67"/>
  <c r="F31" i="67"/>
  <c r="D30" i="80"/>
  <c r="F30" i="80" s="1"/>
  <c r="G30" i="80" s="1"/>
  <c r="S7" i="67"/>
  <c r="AD7" i="67" s="1"/>
  <c r="AE7" i="67" s="1"/>
  <c r="F33" i="67"/>
  <c r="Z104" i="85"/>
  <c r="AA104" i="85" s="1"/>
  <c r="AB104" i="85" s="1"/>
  <c r="V104" i="85" s="1"/>
  <c r="Z108" i="85"/>
  <c r="AA108" i="85" s="1"/>
  <c r="AB108" i="85" s="1"/>
  <c r="V108" i="85" s="1"/>
  <c r="Z89" i="85"/>
  <c r="AA89" i="85" s="1"/>
  <c r="AB89" i="85" s="1"/>
  <c r="V89" i="85" s="1"/>
  <c r="Z60" i="85"/>
  <c r="AA60" i="85" s="1"/>
  <c r="AB60" i="85" s="1"/>
  <c r="V60" i="85" s="1"/>
  <c r="S73" i="78"/>
  <c r="Z114" i="85"/>
  <c r="AA114" i="85" s="1"/>
  <c r="AB114" i="85" s="1"/>
  <c r="V114" i="85" s="1"/>
  <c r="L9" i="78"/>
  <c r="R9" i="78" s="1"/>
  <c r="V123" i="67"/>
  <c r="D98" i="67" s="1"/>
  <c r="F98" i="67" s="1"/>
  <c r="G98" i="67" s="1"/>
  <c r="Z23" i="85"/>
  <c r="AA23" i="85" s="1"/>
  <c r="AB23" i="85" s="1"/>
  <c r="V23" i="85" s="1"/>
  <c r="Z51" i="85"/>
  <c r="AA51" i="85" s="1"/>
  <c r="AB51" i="85" s="1"/>
  <c r="V51" i="85" s="1"/>
  <c r="Z7" i="85"/>
  <c r="AA7" i="85" s="1"/>
  <c r="AB7" i="85" s="1"/>
  <c r="V7" i="85" s="1"/>
  <c r="Z84" i="85"/>
  <c r="AA84" i="85" s="1"/>
  <c r="AB84" i="85" s="1"/>
  <c r="V84" i="85" s="1"/>
  <c r="V67" i="67"/>
  <c r="C20" i="85"/>
  <c r="E20" i="85" s="1"/>
  <c r="Z98" i="85"/>
  <c r="AA98" i="85" s="1"/>
  <c r="AB98" i="85" s="1"/>
  <c r="V98" i="85" s="1"/>
  <c r="Z53" i="85"/>
  <c r="AA53" i="85" s="1"/>
  <c r="AB53" i="85" s="1"/>
  <c r="V53" i="85" s="1"/>
  <c r="Z119" i="85"/>
  <c r="AA119" i="85" s="1"/>
  <c r="AB119" i="85" s="1"/>
  <c r="V119" i="85" s="1"/>
  <c r="S67" i="78"/>
  <c r="S69" i="78" s="1"/>
  <c r="Z111" i="85"/>
  <c r="AA111" i="85" s="1"/>
  <c r="AB111" i="85" s="1"/>
  <c r="V111" i="85" s="1"/>
  <c r="Z99" i="85"/>
  <c r="AA99" i="85" s="1"/>
  <c r="AB99" i="85" s="1"/>
  <c r="V99" i="85" s="1"/>
  <c r="Z13" i="85"/>
  <c r="AA13" i="85" s="1"/>
  <c r="AB13" i="85" s="1"/>
  <c r="V13" i="85" s="1"/>
  <c r="Z92" i="85"/>
  <c r="AA92" i="85" s="1"/>
  <c r="AB92" i="85" s="1"/>
  <c r="V92" i="85" s="1"/>
  <c r="Z96" i="85"/>
  <c r="AA96" i="85" s="1"/>
  <c r="AB96" i="85" s="1"/>
  <c r="V96" i="85" s="1"/>
  <c r="Z113" i="85"/>
  <c r="AA113" i="85" s="1"/>
  <c r="AB113" i="85" s="1"/>
  <c r="V113" i="85" s="1"/>
  <c r="Z61" i="85"/>
  <c r="AA61" i="85" s="1"/>
  <c r="AB61" i="85" s="1"/>
  <c r="V61" i="85" s="1"/>
  <c r="Z39" i="85"/>
  <c r="AA39" i="85" s="1"/>
  <c r="AB39" i="85" s="1"/>
  <c r="V39" i="85" s="1"/>
  <c r="Z48" i="85"/>
  <c r="AA48" i="85" s="1"/>
  <c r="AB48" i="85" s="1"/>
  <c r="V48" i="85" s="1"/>
  <c r="Z17" i="85"/>
  <c r="AA17" i="85" s="1"/>
  <c r="AB17" i="85" s="1"/>
  <c r="V17" i="85" s="1"/>
  <c r="Z45" i="85"/>
  <c r="AA45" i="85" s="1"/>
  <c r="AB45" i="85" s="1"/>
  <c r="V45" i="85" s="1"/>
  <c r="Z34" i="85"/>
  <c r="AA34" i="85" s="1"/>
  <c r="AB34" i="85" s="1"/>
  <c r="V34" i="85" s="1"/>
  <c r="Z37" i="85"/>
  <c r="AA37" i="85" s="1"/>
  <c r="AB37" i="85" s="1"/>
  <c r="V37" i="85" s="1"/>
  <c r="Z41" i="85"/>
  <c r="AA41" i="85" s="1"/>
  <c r="AB41" i="85" s="1"/>
  <c r="V41" i="85" s="1"/>
  <c r="Z28" i="85"/>
  <c r="AA28" i="85" s="1"/>
  <c r="AB28" i="85" s="1"/>
  <c r="V28" i="85" s="1"/>
  <c r="Z107" i="85"/>
  <c r="AA107" i="85" s="1"/>
  <c r="AB107" i="85" s="1"/>
  <c r="V107" i="85" s="1"/>
  <c r="Z63" i="85"/>
  <c r="AA63" i="85" s="1"/>
  <c r="AB63" i="85" s="1"/>
  <c r="V63" i="85" s="1"/>
  <c r="C21" i="85"/>
  <c r="E21" i="85" s="1"/>
  <c r="Z123" i="85"/>
  <c r="AA123" i="85" s="1"/>
  <c r="AB123" i="85" s="1"/>
  <c r="V123" i="85" s="1"/>
  <c r="Z102" i="85"/>
  <c r="AA102" i="85" s="1"/>
  <c r="AB102" i="85" s="1"/>
  <c r="V102" i="85" s="1"/>
  <c r="Z10" i="85"/>
  <c r="AA10" i="85" s="1"/>
  <c r="AB10" i="85" s="1"/>
  <c r="V10" i="85" s="1"/>
  <c r="Z90" i="85"/>
  <c r="AA90" i="85" s="1"/>
  <c r="AB90" i="85" s="1"/>
  <c r="V90" i="85" s="1"/>
  <c r="Z58" i="85"/>
  <c r="AA58" i="85" s="1"/>
  <c r="AB58" i="85" s="1"/>
  <c r="V58" i="85" s="1"/>
  <c r="C22" i="85"/>
  <c r="E22" i="85" s="1"/>
  <c r="Z35" i="85"/>
  <c r="AA35" i="85" s="1"/>
  <c r="AB35" i="85" s="1"/>
  <c r="V35" i="85" s="1"/>
  <c r="Z54" i="85"/>
  <c r="AA54" i="85" s="1"/>
  <c r="AB54" i="85" s="1"/>
  <c r="V54" i="85" s="1"/>
  <c r="Z20" i="85"/>
  <c r="AA20" i="85" s="1"/>
  <c r="AB20" i="85" s="1"/>
  <c r="V20" i="85" s="1"/>
  <c r="Z38" i="85"/>
  <c r="AA38" i="85" s="1"/>
  <c r="AB38" i="85" s="1"/>
  <c r="V38" i="85" s="1"/>
  <c r="Z50" i="85"/>
  <c r="AA50" i="85" s="1"/>
  <c r="AB50" i="85" s="1"/>
  <c r="V50" i="85" s="1"/>
  <c r="C91" i="85"/>
  <c r="E91" i="85" s="1"/>
  <c r="Z26" i="85"/>
  <c r="AA26" i="85" s="1"/>
  <c r="AB26" i="85" s="1"/>
  <c r="V26" i="85" s="1"/>
  <c r="Z42" i="85"/>
  <c r="AA42" i="85" s="1"/>
  <c r="AB42" i="85" s="1"/>
  <c r="V42" i="85" s="1"/>
  <c r="Z80" i="85"/>
  <c r="AA80" i="85" s="1"/>
  <c r="AB80" i="85" s="1"/>
  <c r="V80" i="85" s="1"/>
  <c r="Z109" i="85"/>
  <c r="AA109" i="85" s="1"/>
  <c r="AB109" i="85" s="1"/>
  <c r="V109" i="85" s="1"/>
  <c r="Z33" i="85"/>
  <c r="AA33" i="85" s="1"/>
  <c r="AB33" i="85" s="1"/>
  <c r="V33" i="85" s="1"/>
  <c r="Z40" i="85"/>
  <c r="AA40" i="85" s="1"/>
  <c r="AB40" i="85" s="1"/>
  <c r="V40" i="85" s="1"/>
  <c r="Z31" i="85"/>
  <c r="AA31" i="85" s="1"/>
  <c r="AB31" i="85" s="1"/>
  <c r="V31" i="85" s="1"/>
  <c r="Z55" i="85"/>
  <c r="AA55" i="85" s="1"/>
  <c r="AB55" i="85" s="1"/>
  <c r="V55" i="85" s="1"/>
  <c r="Z115" i="85"/>
  <c r="AA115" i="85" s="1"/>
  <c r="AB115" i="85" s="1"/>
  <c r="V115" i="85" s="1"/>
  <c r="Z110" i="85"/>
  <c r="AA110" i="85" s="1"/>
  <c r="AB110" i="85" s="1"/>
  <c r="V110" i="85" s="1"/>
  <c r="Z56" i="85"/>
  <c r="AA56" i="85" s="1"/>
  <c r="AB56" i="85" s="1"/>
  <c r="V56" i="85" s="1"/>
  <c r="Z82" i="85"/>
  <c r="AA82" i="85" s="1"/>
  <c r="AB82" i="85" s="1"/>
  <c r="V82" i="85" s="1"/>
  <c r="Z24" i="85"/>
  <c r="AA24" i="85" s="1"/>
  <c r="AB24" i="85" s="1"/>
  <c r="V24" i="85" s="1"/>
  <c r="Z125" i="85"/>
  <c r="AA125" i="85" s="1"/>
  <c r="AB125" i="85" s="1"/>
  <c r="V125" i="85" s="1"/>
  <c r="Z65" i="85"/>
  <c r="AA65" i="85" s="1"/>
  <c r="AB65" i="85" s="1"/>
  <c r="V65" i="85" s="1"/>
  <c r="K9" i="82"/>
  <c r="M9" i="82" s="1"/>
  <c r="M7" i="84"/>
  <c r="T67" i="82"/>
  <c r="T69" i="82" s="1"/>
  <c r="T55" i="82" s="1"/>
  <c r="T73" i="82" s="1"/>
  <c r="S73" i="82"/>
  <c r="S56" i="82"/>
  <c r="S57" i="82" s="1"/>
  <c r="S58" i="82" s="1"/>
  <c r="S59" i="82" s="1"/>
  <c r="S60" i="82" s="1"/>
  <c r="S61" i="82" s="1"/>
  <c r="S67" i="82"/>
  <c r="S69" i="82" s="1"/>
  <c r="AD8" i="82"/>
  <c r="AE7" i="82"/>
  <c r="K77" i="67"/>
  <c r="M77" i="67" s="1"/>
  <c r="J78" i="67" s="1"/>
  <c r="Z117" i="85"/>
  <c r="AA117" i="85" s="1"/>
  <c r="AB117" i="85" s="1"/>
  <c r="V117" i="85" s="1"/>
  <c r="F28" i="85"/>
  <c r="G28" i="85" s="1"/>
  <c r="M80" i="85"/>
  <c r="J81" i="85" s="1"/>
  <c r="K81" i="85" s="1"/>
  <c r="M81" i="85" s="1"/>
  <c r="J82" i="85" s="1"/>
  <c r="C94" i="85"/>
  <c r="E94" i="85" s="1"/>
  <c r="Z62" i="85"/>
  <c r="AA62" i="85" s="1"/>
  <c r="AB62" i="85" s="1"/>
  <c r="V62" i="85" s="1"/>
  <c r="Z8" i="85"/>
  <c r="AA8" i="85" s="1"/>
  <c r="AB8" i="85" s="1"/>
  <c r="V8" i="85" s="1"/>
  <c r="Z9" i="85"/>
  <c r="AA9" i="85" s="1"/>
  <c r="AB9" i="85" s="1"/>
  <c r="V9" i="85" s="1"/>
  <c r="Z95" i="85"/>
  <c r="AA95" i="85" s="1"/>
  <c r="AB95" i="85" s="1"/>
  <c r="V95" i="85" s="1"/>
  <c r="Z59" i="85"/>
  <c r="AA59" i="85" s="1"/>
  <c r="AB59" i="85" s="1"/>
  <c r="V59" i="85" s="1"/>
  <c r="Z88" i="85"/>
  <c r="AA88" i="85" s="1"/>
  <c r="AB88" i="85" s="1"/>
  <c r="V88" i="85" s="1"/>
  <c r="Z86" i="85"/>
  <c r="AA86" i="85" s="1"/>
  <c r="AB86" i="85" s="1"/>
  <c r="V86" i="85" s="1"/>
  <c r="Z15" i="85"/>
  <c r="AA15" i="85" s="1"/>
  <c r="AB15" i="85" s="1"/>
  <c r="V15" i="85" s="1"/>
  <c r="Z64" i="85"/>
  <c r="AA64" i="85" s="1"/>
  <c r="AB64" i="85" s="1"/>
  <c r="V64" i="85" s="1"/>
  <c r="Z103" i="85"/>
  <c r="AA103" i="85" s="1"/>
  <c r="AB103" i="85" s="1"/>
  <c r="V103" i="85" s="1"/>
  <c r="C18" i="85"/>
  <c r="E18" i="85" s="1"/>
  <c r="Z97" i="85"/>
  <c r="AA97" i="85" s="1"/>
  <c r="AB97" i="85" s="1"/>
  <c r="V97" i="85" s="1"/>
  <c r="Z16" i="85"/>
  <c r="AA16" i="85" s="1"/>
  <c r="AB16" i="85" s="1"/>
  <c r="V16" i="85" s="1"/>
  <c r="Z52" i="85"/>
  <c r="AA52" i="85" s="1"/>
  <c r="AB52" i="85" s="1"/>
  <c r="V52" i="85" s="1"/>
  <c r="Z122" i="85"/>
  <c r="AA122" i="85" s="1"/>
  <c r="AB122" i="85" s="1"/>
  <c r="V122" i="85" s="1"/>
  <c r="Z29" i="85"/>
  <c r="AA29" i="85" s="1"/>
  <c r="AB29" i="85" s="1"/>
  <c r="V29" i="85" s="1"/>
  <c r="Z118" i="85"/>
  <c r="AA118" i="85" s="1"/>
  <c r="AB118" i="85" s="1"/>
  <c r="V118" i="85" s="1"/>
  <c r="Z100" i="85"/>
  <c r="AA100" i="85" s="1"/>
  <c r="AB100" i="85" s="1"/>
  <c r="V100" i="85" s="1"/>
  <c r="Z57" i="85"/>
  <c r="AA57" i="85" s="1"/>
  <c r="AB57" i="85" s="1"/>
  <c r="V57" i="85" s="1"/>
  <c r="Z27" i="85"/>
  <c r="AA27" i="85" s="1"/>
  <c r="AB27" i="85" s="1"/>
  <c r="V27" i="85" s="1"/>
  <c r="Z120" i="85"/>
  <c r="AA120" i="85" s="1"/>
  <c r="AB120" i="85" s="1"/>
  <c r="V120" i="85" s="1"/>
  <c r="Z47" i="85"/>
  <c r="AA47" i="85" s="1"/>
  <c r="AB47" i="85" s="1"/>
  <c r="V47" i="85" s="1"/>
  <c r="Z116" i="85"/>
  <c r="AA116" i="85" s="1"/>
  <c r="AB116" i="85" s="1"/>
  <c r="V116" i="85" s="1"/>
  <c r="Z43" i="85"/>
  <c r="AA43" i="85" s="1"/>
  <c r="AB43" i="85" s="1"/>
  <c r="V43" i="85" s="1"/>
  <c r="Z93" i="85"/>
  <c r="AA93" i="85" s="1"/>
  <c r="AB93" i="85" s="1"/>
  <c r="V93" i="85" s="1"/>
  <c r="Z30" i="85"/>
  <c r="Z11" i="85"/>
  <c r="Z101" i="85"/>
  <c r="AA101" i="85" s="1"/>
  <c r="AB101" i="85" s="1"/>
  <c r="V101" i="85" s="1"/>
  <c r="G33" i="85"/>
  <c r="F33" i="85"/>
  <c r="T72" i="85"/>
  <c r="F32" i="85"/>
  <c r="T68" i="85"/>
  <c r="G32" i="85"/>
  <c r="M75" i="84"/>
  <c r="J76" i="84" s="1"/>
  <c r="K76" i="84" s="1"/>
  <c r="Z81" i="84"/>
  <c r="AA81" i="84" s="1"/>
  <c r="AB81" i="84" s="1"/>
  <c r="V81" i="84" s="1"/>
  <c r="Z109" i="84"/>
  <c r="AA109" i="84" s="1"/>
  <c r="AB109" i="84" s="1"/>
  <c r="V109" i="84" s="1"/>
  <c r="Z96" i="84"/>
  <c r="AA96" i="84" s="1"/>
  <c r="AB96" i="84" s="1"/>
  <c r="V96" i="84" s="1"/>
  <c r="Z83" i="84"/>
  <c r="AA83" i="84" s="1"/>
  <c r="AB83" i="84" s="1"/>
  <c r="V83" i="84" s="1"/>
  <c r="Z57" i="84"/>
  <c r="AA57" i="84" s="1"/>
  <c r="AB57" i="84" s="1"/>
  <c r="V57" i="84" s="1"/>
  <c r="Z34" i="84"/>
  <c r="AA34" i="84" s="1"/>
  <c r="AB34" i="84" s="1"/>
  <c r="V34" i="84" s="1"/>
  <c r="Z104" i="84"/>
  <c r="AA104" i="84" s="1"/>
  <c r="AB104" i="84" s="1"/>
  <c r="V104" i="84" s="1"/>
  <c r="Z58" i="84"/>
  <c r="AA58" i="84" s="1"/>
  <c r="AB58" i="84" s="1"/>
  <c r="V58" i="84" s="1"/>
  <c r="Z36" i="84"/>
  <c r="AA36" i="84" s="1"/>
  <c r="AB36" i="84" s="1"/>
  <c r="V36" i="84" s="1"/>
  <c r="Z119" i="84"/>
  <c r="AA119" i="84" s="1"/>
  <c r="AB119" i="84" s="1"/>
  <c r="V119" i="84" s="1"/>
  <c r="Z88" i="84"/>
  <c r="AA88" i="84" s="1"/>
  <c r="AB88" i="84" s="1"/>
  <c r="V88" i="84" s="1"/>
  <c r="Z82" i="84"/>
  <c r="AA82" i="84" s="1"/>
  <c r="AB82" i="84" s="1"/>
  <c r="V82" i="84" s="1"/>
  <c r="Z49" i="84"/>
  <c r="AA49" i="84" s="1"/>
  <c r="AB49" i="84" s="1"/>
  <c r="V49" i="84" s="1"/>
  <c r="Z42" i="84"/>
  <c r="AA42" i="84" s="1"/>
  <c r="AB42" i="84" s="1"/>
  <c r="V42" i="84" s="1"/>
  <c r="C86" i="84"/>
  <c r="E86" i="84" s="1"/>
  <c r="Z47" i="84"/>
  <c r="AA47" i="84" s="1"/>
  <c r="AB47" i="84" s="1"/>
  <c r="V47" i="84" s="1"/>
  <c r="Z112" i="84"/>
  <c r="AA112" i="84" s="1"/>
  <c r="AB112" i="84" s="1"/>
  <c r="V112" i="84" s="1"/>
  <c r="Z100" i="84"/>
  <c r="AA100" i="84" s="1"/>
  <c r="AB100" i="84" s="1"/>
  <c r="V100" i="84" s="1"/>
  <c r="Z89" i="84"/>
  <c r="AA89" i="84" s="1"/>
  <c r="AB89" i="84" s="1"/>
  <c r="V89" i="84" s="1"/>
  <c r="Z59" i="84"/>
  <c r="AA59" i="84" s="1"/>
  <c r="AB59" i="84" s="1"/>
  <c r="V59" i="84" s="1"/>
  <c r="Z65" i="84"/>
  <c r="AA65" i="84" s="1"/>
  <c r="AB65" i="84" s="1"/>
  <c r="V65" i="84" s="1"/>
  <c r="Z28" i="84"/>
  <c r="AA28" i="84" s="1"/>
  <c r="AB28" i="84" s="1"/>
  <c r="V28" i="84" s="1"/>
  <c r="Z22" i="84"/>
  <c r="AA22" i="84" s="1"/>
  <c r="AB22" i="84" s="1"/>
  <c r="V22" i="84" s="1"/>
  <c r="C21" i="84"/>
  <c r="E21" i="84" s="1"/>
  <c r="Z13" i="84"/>
  <c r="AA13" i="84" s="1"/>
  <c r="AB13" i="84" s="1"/>
  <c r="V13" i="84" s="1"/>
  <c r="Z7" i="84"/>
  <c r="AA7" i="84" s="1"/>
  <c r="AB7" i="84" s="1"/>
  <c r="V7" i="84" s="1"/>
  <c r="Z29" i="84"/>
  <c r="AA29" i="84" s="1"/>
  <c r="AB29" i="84" s="1"/>
  <c r="V29" i="84" s="1"/>
  <c r="Z37" i="84"/>
  <c r="AA37" i="84" s="1"/>
  <c r="AB37" i="84" s="1"/>
  <c r="V37" i="84" s="1"/>
  <c r="Z60" i="84"/>
  <c r="AA60" i="84" s="1"/>
  <c r="AB60" i="84" s="1"/>
  <c r="V60" i="84" s="1"/>
  <c r="Z17" i="84"/>
  <c r="AA17" i="84" s="1"/>
  <c r="AB17" i="84" s="1"/>
  <c r="V17" i="84" s="1"/>
  <c r="C19" i="84"/>
  <c r="E19" i="84" s="1"/>
  <c r="Z33" i="84"/>
  <c r="AA33" i="84" s="1"/>
  <c r="AB33" i="84" s="1"/>
  <c r="V33" i="84" s="1"/>
  <c r="Z121" i="84"/>
  <c r="AA121" i="84" s="1"/>
  <c r="AB121" i="84" s="1"/>
  <c r="V121" i="84" s="1"/>
  <c r="Z90" i="84"/>
  <c r="AA90" i="84" s="1"/>
  <c r="AB90" i="84" s="1"/>
  <c r="V90" i="84" s="1"/>
  <c r="C87" i="84"/>
  <c r="E87" i="84" s="1"/>
  <c r="Z53" i="84"/>
  <c r="AA53" i="84" s="1"/>
  <c r="AB53" i="84" s="1"/>
  <c r="V53" i="84" s="1"/>
  <c r="Z107" i="84"/>
  <c r="AA107" i="84" s="1"/>
  <c r="AB107" i="84" s="1"/>
  <c r="V107" i="84" s="1"/>
  <c r="Z32" i="84"/>
  <c r="AA32" i="84" s="1"/>
  <c r="AB32" i="84" s="1"/>
  <c r="V32" i="84" s="1"/>
  <c r="Z51" i="84"/>
  <c r="AA51" i="84" s="1"/>
  <c r="AB51" i="84" s="1"/>
  <c r="V51" i="84" s="1"/>
  <c r="Z111" i="84"/>
  <c r="AA111" i="84" s="1"/>
  <c r="AB111" i="84" s="1"/>
  <c r="V111" i="84" s="1"/>
  <c r="Z99" i="84"/>
  <c r="AA99" i="84" s="1"/>
  <c r="AB99" i="84" s="1"/>
  <c r="V99" i="84" s="1"/>
  <c r="Z52" i="84"/>
  <c r="AA52" i="84" s="1"/>
  <c r="AB52" i="84" s="1"/>
  <c r="V52" i="84" s="1"/>
  <c r="Z39" i="84"/>
  <c r="AA39" i="84" s="1"/>
  <c r="AB39" i="84" s="1"/>
  <c r="V39" i="84" s="1"/>
  <c r="Z106" i="84"/>
  <c r="AA106" i="84" s="1"/>
  <c r="AB106" i="84" s="1"/>
  <c r="V106" i="84" s="1"/>
  <c r="Z87" i="84"/>
  <c r="AA87" i="84" s="1"/>
  <c r="AB87" i="84" s="1"/>
  <c r="V87" i="84" s="1"/>
  <c r="Z26" i="84"/>
  <c r="AA26" i="84" s="1"/>
  <c r="AB26" i="84" s="1"/>
  <c r="V26" i="84" s="1"/>
  <c r="Z110" i="84"/>
  <c r="AA110" i="84" s="1"/>
  <c r="AB110" i="84" s="1"/>
  <c r="V110" i="84" s="1"/>
  <c r="Z122" i="84"/>
  <c r="AA122" i="84" s="1"/>
  <c r="AB122" i="84" s="1"/>
  <c r="V122" i="84" s="1"/>
  <c r="Z78" i="84"/>
  <c r="AA78" i="84" s="1"/>
  <c r="AB78" i="84" s="1"/>
  <c r="V78" i="84" s="1"/>
  <c r="Z55" i="84"/>
  <c r="AA55" i="84" s="1"/>
  <c r="AB55" i="84" s="1"/>
  <c r="V55" i="84" s="1"/>
  <c r="Z46" i="84"/>
  <c r="AA46" i="84" s="1"/>
  <c r="AB46" i="84" s="1"/>
  <c r="V46" i="84" s="1"/>
  <c r="Z50" i="84"/>
  <c r="AA50" i="84" s="1"/>
  <c r="AB50" i="84" s="1"/>
  <c r="V50" i="84" s="1"/>
  <c r="Z18" i="84"/>
  <c r="AA18" i="84" s="1"/>
  <c r="AB18" i="84" s="1"/>
  <c r="V18" i="84" s="1"/>
  <c r="Z45" i="84"/>
  <c r="AA45" i="84" s="1"/>
  <c r="AB45" i="84" s="1"/>
  <c r="V45" i="84" s="1"/>
  <c r="Z62" i="84"/>
  <c r="AA62" i="84" s="1"/>
  <c r="AB62" i="84" s="1"/>
  <c r="V62" i="84" s="1"/>
  <c r="C20" i="84"/>
  <c r="E20" i="84" s="1"/>
  <c r="Z12" i="84"/>
  <c r="AA12" i="84" s="1"/>
  <c r="AB12" i="84" s="1"/>
  <c r="V12" i="84" s="1"/>
  <c r="Z10" i="84"/>
  <c r="AA10" i="84" s="1"/>
  <c r="AB10" i="84" s="1"/>
  <c r="V10" i="84" s="1"/>
  <c r="Z20" i="84"/>
  <c r="AA20" i="84" s="1"/>
  <c r="AB20" i="84" s="1"/>
  <c r="V20" i="84" s="1"/>
  <c r="Z24" i="84"/>
  <c r="AA24" i="84" s="1"/>
  <c r="AB24" i="84" s="1"/>
  <c r="V24" i="84" s="1"/>
  <c r="F27" i="84"/>
  <c r="G27" i="84" s="1"/>
  <c r="Z44" i="84"/>
  <c r="AA44" i="84" s="1"/>
  <c r="AB44" i="84" s="1"/>
  <c r="V44" i="84" s="1"/>
  <c r="Z113" i="84"/>
  <c r="AA113" i="84" s="1"/>
  <c r="AB113" i="84" s="1"/>
  <c r="V113" i="84" s="1"/>
  <c r="Z84" i="84"/>
  <c r="AA84" i="84" s="1"/>
  <c r="AB84" i="84" s="1"/>
  <c r="V84" i="84" s="1"/>
  <c r="Z75" i="84"/>
  <c r="Z35" i="84"/>
  <c r="AA35" i="84" s="1"/>
  <c r="AB35" i="84" s="1"/>
  <c r="V35" i="84" s="1"/>
  <c r="Z118" i="84"/>
  <c r="AA118" i="84" s="1"/>
  <c r="AB118" i="84" s="1"/>
  <c r="V118" i="84" s="1"/>
  <c r="C90" i="84"/>
  <c r="E90" i="84" s="1"/>
  <c r="Z91" i="84"/>
  <c r="AA91" i="84" s="1"/>
  <c r="AB91" i="84" s="1"/>
  <c r="V91" i="84" s="1"/>
  <c r="Z114" i="84"/>
  <c r="AA114" i="84" s="1"/>
  <c r="AB114" i="84" s="1"/>
  <c r="V114" i="84" s="1"/>
  <c r="Z102" i="84"/>
  <c r="AA102" i="84" s="1"/>
  <c r="AB102" i="84" s="1"/>
  <c r="V102" i="84" s="1"/>
  <c r="Z92" i="84"/>
  <c r="AA92" i="84" s="1"/>
  <c r="AB92" i="84" s="1"/>
  <c r="V92" i="84" s="1"/>
  <c r="Z80" i="84"/>
  <c r="AA80" i="84" s="1"/>
  <c r="AB80" i="84" s="1"/>
  <c r="V80" i="84" s="1"/>
  <c r="Z63" i="84"/>
  <c r="AA63" i="84" s="1"/>
  <c r="AB63" i="84" s="1"/>
  <c r="V63" i="84" s="1"/>
  <c r="Z115" i="84"/>
  <c r="AA115" i="84" s="1"/>
  <c r="AB115" i="84" s="1"/>
  <c r="V115" i="84" s="1"/>
  <c r="Z76" i="84"/>
  <c r="AA76" i="84" s="1"/>
  <c r="AB76" i="84" s="1"/>
  <c r="V76" i="84" s="1"/>
  <c r="Z40" i="84"/>
  <c r="AA40" i="84" s="1"/>
  <c r="AB40" i="84" s="1"/>
  <c r="V40" i="84" s="1"/>
  <c r="Z117" i="84"/>
  <c r="AA117" i="84" s="1"/>
  <c r="AB117" i="84" s="1"/>
  <c r="V117" i="84" s="1"/>
  <c r="Z86" i="84"/>
  <c r="AA86" i="84" s="1"/>
  <c r="AB86" i="84" s="1"/>
  <c r="V86" i="84" s="1"/>
  <c r="Z77" i="84"/>
  <c r="AA77" i="84" s="1"/>
  <c r="AB77" i="84" s="1"/>
  <c r="V77" i="84" s="1"/>
  <c r="C89" i="84"/>
  <c r="E89" i="84" s="1"/>
  <c r="Z15" i="84"/>
  <c r="AA15" i="84" s="1"/>
  <c r="AB15" i="84" s="1"/>
  <c r="V15" i="84" s="1"/>
  <c r="Z11" i="84"/>
  <c r="AA11" i="84" s="1"/>
  <c r="AB11" i="84" s="1"/>
  <c r="V11" i="84" s="1"/>
  <c r="Z14" i="84"/>
  <c r="AA14" i="84" s="1"/>
  <c r="AB14" i="84" s="1"/>
  <c r="V14" i="84" s="1"/>
  <c r="Z21" i="84"/>
  <c r="AA21" i="84" s="1"/>
  <c r="AB21" i="84" s="1"/>
  <c r="V21" i="84" s="1"/>
  <c r="Z31" i="84"/>
  <c r="AA31" i="84" s="1"/>
  <c r="AB31" i="84" s="1"/>
  <c r="V31" i="84" s="1"/>
  <c r="Z9" i="84"/>
  <c r="AA9" i="84" s="1"/>
  <c r="AB9" i="84" s="1"/>
  <c r="V9" i="84" s="1"/>
  <c r="Z27" i="84"/>
  <c r="AA27" i="84" s="1"/>
  <c r="AB27" i="84" s="1"/>
  <c r="V27" i="84" s="1"/>
  <c r="Z16" i="84"/>
  <c r="AA16" i="84" s="1"/>
  <c r="AB16" i="84" s="1"/>
  <c r="V16" i="84" s="1"/>
  <c r="Z66" i="84"/>
  <c r="AA66" i="84" s="1"/>
  <c r="AB66" i="84" s="1"/>
  <c r="V66" i="84" s="1"/>
  <c r="Z116" i="84"/>
  <c r="AA116" i="84" s="1"/>
  <c r="AB116" i="84" s="1"/>
  <c r="V116" i="84" s="1"/>
  <c r="Z103" i="84"/>
  <c r="AA103" i="84" s="1"/>
  <c r="AB103" i="84" s="1"/>
  <c r="V103" i="84" s="1"/>
  <c r="Z95" i="84"/>
  <c r="AA95" i="84" s="1"/>
  <c r="AB95" i="84" s="1"/>
  <c r="V95" i="84" s="1"/>
  <c r="Z85" i="84"/>
  <c r="AA85" i="84" s="1"/>
  <c r="AB85" i="84" s="1"/>
  <c r="V85" i="84" s="1"/>
  <c r="Z61" i="84"/>
  <c r="AA61" i="84" s="1"/>
  <c r="AB61" i="84" s="1"/>
  <c r="V61" i="84" s="1"/>
  <c r="Z101" i="84"/>
  <c r="AA101" i="84" s="1"/>
  <c r="AB101" i="84" s="1"/>
  <c r="V101" i="84" s="1"/>
  <c r="C88" i="84"/>
  <c r="E88" i="84" s="1"/>
  <c r="Z105" i="84"/>
  <c r="AA105" i="84" s="1"/>
  <c r="AB105" i="84" s="1"/>
  <c r="V105" i="84" s="1"/>
  <c r="Z93" i="84"/>
  <c r="AA93" i="84" s="1"/>
  <c r="AB93" i="84" s="1"/>
  <c r="V93" i="84" s="1"/>
  <c r="Z79" i="84"/>
  <c r="AA79" i="84" s="1"/>
  <c r="AB79" i="84" s="1"/>
  <c r="V79" i="84" s="1"/>
  <c r="Z56" i="84"/>
  <c r="AA56" i="84" s="1"/>
  <c r="AB56" i="84" s="1"/>
  <c r="V56" i="84" s="1"/>
  <c r="Z38" i="84"/>
  <c r="AA38" i="84" s="1"/>
  <c r="AB38" i="84" s="1"/>
  <c r="V38" i="84" s="1"/>
  <c r="Z98" i="84"/>
  <c r="AA98" i="84" s="1"/>
  <c r="AB98" i="84" s="1"/>
  <c r="V98" i="84" s="1"/>
  <c r="Z54" i="84"/>
  <c r="AA54" i="84" s="1"/>
  <c r="AB54" i="84" s="1"/>
  <c r="V54" i="84" s="1"/>
  <c r="Z120" i="84"/>
  <c r="AA120" i="84" s="1"/>
  <c r="AB120" i="84" s="1"/>
  <c r="V120" i="84" s="1"/>
  <c r="Z108" i="84"/>
  <c r="AA108" i="84" s="1"/>
  <c r="AB108" i="84" s="1"/>
  <c r="V108" i="84" s="1"/>
  <c r="Z94" i="84"/>
  <c r="AA94" i="84" s="1"/>
  <c r="AB94" i="84" s="1"/>
  <c r="V94" i="84" s="1"/>
  <c r="Z97" i="84"/>
  <c r="AA97" i="84" s="1"/>
  <c r="AB97" i="84" s="1"/>
  <c r="V97" i="84" s="1"/>
  <c r="Z43" i="84"/>
  <c r="AA43" i="84" s="1"/>
  <c r="AB43" i="84" s="1"/>
  <c r="V43" i="84" s="1"/>
  <c r="Z48" i="84"/>
  <c r="AA48" i="84" s="1"/>
  <c r="AB48" i="84" s="1"/>
  <c r="V48" i="84" s="1"/>
  <c r="Z64" i="84"/>
  <c r="AA64" i="84" s="1"/>
  <c r="AB64" i="84" s="1"/>
  <c r="V64" i="84" s="1"/>
  <c r="C22" i="84"/>
  <c r="E22" i="84" s="1"/>
  <c r="Z41" i="84"/>
  <c r="AA41" i="84" s="1"/>
  <c r="AB41" i="84" s="1"/>
  <c r="V41" i="84" s="1"/>
  <c r="C18" i="84"/>
  <c r="E18" i="84" s="1"/>
  <c r="Z23" i="84"/>
  <c r="AA23" i="84" s="1"/>
  <c r="AB23" i="84" s="1"/>
  <c r="V23" i="84" s="1"/>
  <c r="Z25" i="84"/>
  <c r="AA25" i="84" s="1"/>
  <c r="AB25" i="84" s="1"/>
  <c r="V25" i="84" s="1"/>
  <c r="Z8" i="84"/>
  <c r="AA8" i="84" s="1"/>
  <c r="AB8" i="84" s="1"/>
  <c r="V8" i="84" s="1"/>
  <c r="Z30" i="84"/>
  <c r="AA30" i="84" s="1"/>
  <c r="AB30" i="84" s="1"/>
  <c r="V30" i="84" s="1"/>
  <c r="Z19" i="84"/>
  <c r="AA19" i="84" s="1"/>
  <c r="AB19" i="84" s="1"/>
  <c r="V19" i="84" s="1"/>
  <c r="L76" i="84"/>
  <c r="R75" i="84"/>
  <c r="Z87" i="85"/>
  <c r="AA87" i="85" s="1"/>
  <c r="AB87" i="85" s="1"/>
  <c r="V87" i="85" s="1"/>
  <c r="C93" i="85"/>
  <c r="E93" i="85" s="1"/>
  <c r="Z124" i="85"/>
  <c r="AA124" i="85" s="1"/>
  <c r="AB124" i="85" s="1"/>
  <c r="V124" i="85" s="1"/>
  <c r="Z49" i="85"/>
  <c r="AA49" i="85" s="1"/>
  <c r="AB49" i="85" s="1"/>
  <c r="V49" i="85" s="1"/>
  <c r="Z46" i="85"/>
  <c r="AA46" i="85" s="1"/>
  <c r="AB46" i="85" s="1"/>
  <c r="V46" i="85" s="1"/>
  <c r="Z91" i="85"/>
  <c r="AA91" i="85" s="1"/>
  <c r="AB91" i="85" s="1"/>
  <c r="V91" i="85" s="1"/>
  <c r="Z121" i="85"/>
  <c r="AA121" i="85" s="1"/>
  <c r="AB121" i="85" s="1"/>
  <c r="V121" i="85" s="1"/>
  <c r="Z83" i="85"/>
  <c r="AA83" i="85" s="1"/>
  <c r="AB83" i="85" s="1"/>
  <c r="V83" i="85" s="1"/>
  <c r="Z126" i="85"/>
  <c r="AA126" i="85" s="1"/>
  <c r="AB126" i="85" s="1"/>
  <c r="V126" i="85" s="1"/>
  <c r="Z22" i="85"/>
  <c r="AA22" i="85" s="1"/>
  <c r="AB22" i="85" s="1"/>
  <c r="V22" i="85" s="1"/>
  <c r="C90" i="85"/>
  <c r="E90" i="85" s="1"/>
  <c r="Z14" i="85"/>
  <c r="AA14" i="85" s="1"/>
  <c r="AB14" i="85" s="1"/>
  <c r="V14" i="85" s="1"/>
  <c r="Z32" i="85"/>
  <c r="AA32" i="85" s="1"/>
  <c r="AB32" i="85" s="1"/>
  <c r="V32" i="85" s="1"/>
  <c r="Z36" i="85"/>
  <c r="AA36" i="85" s="1"/>
  <c r="AB36" i="85" s="1"/>
  <c r="V36" i="85" s="1"/>
  <c r="C19" i="85"/>
  <c r="E19" i="85" s="1"/>
  <c r="Z66" i="85"/>
  <c r="AA66" i="85" s="1"/>
  <c r="AB66" i="85" s="1"/>
  <c r="V66" i="85" s="1"/>
  <c r="Z94" i="85"/>
  <c r="AA94" i="85" s="1"/>
  <c r="AB94" i="85" s="1"/>
  <c r="V94" i="85" s="1"/>
  <c r="Z79" i="85"/>
  <c r="AA79" i="85" s="1"/>
  <c r="AB79" i="85" s="1"/>
  <c r="V79" i="85" s="1"/>
  <c r="Z85" i="85"/>
  <c r="AA85" i="85" s="1"/>
  <c r="AB85" i="85" s="1"/>
  <c r="V85" i="85" s="1"/>
  <c r="Z21" i="85"/>
  <c r="AA21" i="85" s="1"/>
  <c r="AB21" i="85" s="1"/>
  <c r="V21" i="85" s="1"/>
  <c r="Z25" i="85"/>
  <c r="AA25" i="85" s="1"/>
  <c r="AB25" i="85" s="1"/>
  <c r="V25" i="85" s="1"/>
  <c r="Z106" i="85"/>
  <c r="AA106" i="85" s="1"/>
  <c r="AB106" i="85" s="1"/>
  <c r="V106" i="85" s="1"/>
  <c r="Z19" i="85"/>
  <c r="AA19" i="85" s="1"/>
  <c r="AB19" i="85" s="1"/>
  <c r="V19" i="85" s="1"/>
  <c r="Z105" i="85"/>
  <c r="AA105" i="85" s="1"/>
  <c r="AB105" i="85" s="1"/>
  <c r="V105" i="85" s="1"/>
  <c r="Z18" i="85"/>
  <c r="AA18" i="85" s="1"/>
  <c r="AB18" i="85" s="1"/>
  <c r="V18" i="85" s="1"/>
  <c r="Z81" i="85"/>
  <c r="AA81" i="85" s="1"/>
  <c r="AB81" i="85" s="1"/>
  <c r="V81" i="85" s="1"/>
  <c r="Z12" i="85"/>
  <c r="AA12" i="85" s="1"/>
  <c r="AB12" i="85" s="1"/>
  <c r="V12" i="85" s="1"/>
  <c r="C92" i="85"/>
  <c r="E92" i="85" s="1"/>
  <c r="Z44" i="85"/>
  <c r="AA44" i="85" s="1"/>
  <c r="AB44" i="85" s="1"/>
  <c r="V44" i="85" s="1"/>
  <c r="F31" i="85"/>
  <c r="G31" i="85"/>
  <c r="S72" i="85"/>
  <c r="S68" i="85"/>
  <c r="S7" i="85" s="1"/>
  <c r="R80" i="85"/>
  <c r="R81" i="85" s="1"/>
  <c r="R82" i="85" s="1"/>
  <c r="R83" i="85" s="1"/>
  <c r="R84" i="85" s="1"/>
  <c r="R85" i="85" s="1"/>
  <c r="R86" i="85" s="1"/>
  <c r="R87" i="85" s="1"/>
  <c r="R88" i="85" s="1"/>
  <c r="R89" i="85" s="1"/>
  <c r="R90" i="85" s="1"/>
  <c r="R91" i="85" s="1"/>
  <c r="R92" i="85" s="1"/>
  <c r="R93" i="85" s="1"/>
  <c r="R94" i="85" s="1"/>
  <c r="R95" i="85" s="1"/>
  <c r="R96" i="85" s="1"/>
  <c r="R97" i="85" s="1"/>
  <c r="R98" i="85" s="1"/>
  <c r="R99" i="85" s="1"/>
  <c r="R100" i="85" s="1"/>
  <c r="R101" i="85" s="1"/>
  <c r="R102" i="85" s="1"/>
  <c r="R103" i="85" s="1"/>
  <c r="R104" i="85" s="1"/>
  <c r="R105" i="85" s="1"/>
  <c r="R106" i="85" s="1"/>
  <c r="R107" i="85" s="1"/>
  <c r="R108" i="85" s="1"/>
  <c r="R109" i="85" s="1"/>
  <c r="R110" i="85" s="1"/>
  <c r="R111" i="85" s="1"/>
  <c r="R112" i="85" s="1"/>
  <c r="R113" i="85" s="1"/>
  <c r="R114" i="85" s="1"/>
  <c r="R115" i="85" s="1"/>
  <c r="R116" i="85" s="1"/>
  <c r="R117" i="85" s="1"/>
  <c r="R118" i="85" s="1"/>
  <c r="R119" i="85" s="1"/>
  <c r="R120" i="85" s="1"/>
  <c r="R121" i="85" s="1"/>
  <c r="R122" i="85" s="1"/>
  <c r="R123" i="85" s="1"/>
  <c r="R124" i="85" s="1"/>
  <c r="R125" i="85" s="1"/>
  <c r="R126" i="85" s="1"/>
  <c r="AE7" i="80"/>
  <c r="AD8" i="80"/>
  <c r="L79" i="80"/>
  <c r="R78" i="80"/>
  <c r="T67" i="80"/>
  <c r="T69" i="80" s="1"/>
  <c r="T55" i="80" s="1"/>
  <c r="K78" i="80"/>
  <c r="M78" i="80" s="1"/>
  <c r="J79" i="80" s="1"/>
  <c r="S66" i="80"/>
  <c r="S65" i="80"/>
  <c r="J7" i="72"/>
  <c r="K7" i="72" s="1"/>
  <c r="L69" i="72"/>
  <c r="L7" i="72" s="1"/>
  <c r="R7" i="72" s="1"/>
  <c r="J67" i="72"/>
  <c r="F28" i="71"/>
  <c r="G28" i="71" s="1"/>
  <c r="K88" i="78"/>
  <c r="M88" i="78" s="1"/>
  <c r="J89" i="78" s="1"/>
  <c r="K89" i="78" s="1"/>
  <c r="M89" i="78" s="1"/>
  <c r="J90" i="78" s="1"/>
  <c r="K90" i="78" s="1"/>
  <c r="M90" i="78" s="1"/>
  <c r="J91" i="78" s="1"/>
  <c r="K91" i="78" s="1"/>
  <c r="M91" i="78" s="1"/>
  <c r="J92" i="78" s="1"/>
  <c r="K92" i="78" s="1"/>
  <c r="M92" i="78" s="1"/>
  <c r="J93" i="78" s="1"/>
  <c r="K93" i="78" s="1"/>
  <c r="M93" i="78" s="1"/>
  <c r="J94" i="78" s="1"/>
  <c r="K94" i="78" s="1"/>
  <c r="M94" i="78" s="1"/>
  <c r="J95" i="78" s="1"/>
  <c r="K95" i="78" s="1"/>
  <c r="M95" i="78" s="1"/>
  <c r="J96" i="78" s="1"/>
  <c r="K96" i="78" s="1"/>
  <c r="M96" i="78" s="1"/>
  <c r="J97" i="78" s="1"/>
  <c r="T54" i="67"/>
  <c r="T36" i="67"/>
  <c r="F28" i="72"/>
  <c r="G28" i="72" s="1"/>
  <c r="T67" i="78"/>
  <c r="T69" i="78" s="1"/>
  <c r="T55" i="78" s="1"/>
  <c r="T73" i="78" s="1"/>
  <c r="AD8" i="78"/>
  <c r="AE7" i="78"/>
  <c r="S63" i="78"/>
  <c r="S62" i="78"/>
  <c r="S64" i="78"/>
  <c r="G78" i="71"/>
  <c r="F78" i="71" s="1"/>
  <c r="F79" i="71" s="1"/>
  <c r="C75" i="71" s="1"/>
  <c r="D95" i="72"/>
  <c r="F95" i="72" s="1"/>
  <c r="G95" i="72" s="1"/>
  <c r="J123" i="72"/>
  <c r="L125" i="72"/>
  <c r="L75" i="72" s="1"/>
  <c r="J75" i="72"/>
  <c r="K75" i="72" s="1"/>
  <c r="D96" i="72"/>
  <c r="F96" i="72" s="1"/>
  <c r="G96" i="72" s="1"/>
  <c r="R78" i="67"/>
  <c r="L79" i="67"/>
  <c r="M9" i="80" l="1"/>
  <c r="L10" i="80" s="1"/>
  <c r="R10" i="80" s="1"/>
  <c r="L8" i="85"/>
  <c r="R8" i="85" s="1"/>
  <c r="S8" i="85" s="1"/>
  <c r="S9" i="85" s="1"/>
  <c r="S10" i="85" s="1"/>
  <c r="S11" i="85" s="1"/>
  <c r="S12" i="85" s="1"/>
  <c r="S13" i="85" s="1"/>
  <c r="S14" i="85" s="1"/>
  <c r="S15" i="85" s="1"/>
  <c r="S16" i="85" s="1"/>
  <c r="S17" i="85" s="1"/>
  <c r="S18" i="85" s="1"/>
  <c r="S19" i="85" s="1"/>
  <c r="S20" i="85" s="1"/>
  <c r="S21" i="85" s="1"/>
  <c r="S22" i="85" s="1"/>
  <c r="S23" i="85" s="1"/>
  <c r="S24" i="85" s="1"/>
  <c r="S25" i="85" s="1"/>
  <c r="S26" i="85" s="1"/>
  <c r="S27" i="85" s="1"/>
  <c r="S28" i="85" s="1"/>
  <c r="S29" i="85" s="1"/>
  <c r="S30" i="85" s="1"/>
  <c r="S31" i="85" s="1"/>
  <c r="S32" i="85" s="1"/>
  <c r="S33" i="85" s="1"/>
  <c r="S34" i="85" s="1"/>
  <c r="S35" i="85" s="1"/>
  <c r="S36" i="85" s="1"/>
  <c r="S37" i="85" s="1"/>
  <c r="S38" i="85" s="1"/>
  <c r="S39" i="85" s="1"/>
  <c r="S40" i="85" s="1"/>
  <c r="S41" i="85" s="1"/>
  <c r="S42" i="85" s="1"/>
  <c r="S43" i="85" s="1"/>
  <c r="S44" i="85" s="1"/>
  <c r="S45" i="85" s="1"/>
  <c r="S46" i="85" s="1"/>
  <c r="S47" i="85" s="1"/>
  <c r="S48" i="85" s="1"/>
  <c r="S49" i="85" s="1"/>
  <c r="S50" i="85" s="1"/>
  <c r="S51" i="85" s="1"/>
  <c r="S52" i="85" s="1"/>
  <c r="S53" i="85" s="1"/>
  <c r="S54" i="85" s="1"/>
  <c r="S55" i="85" s="1"/>
  <c r="L8" i="67"/>
  <c r="R8" i="67" s="1"/>
  <c r="S8" i="67" s="1"/>
  <c r="S9" i="67" s="1"/>
  <c r="S10" i="67" s="1"/>
  <c r="S11" i="67" s="1"/>
  <c r="S12" i="67" s="1"/>
  <c r="S13" i="67" s="1"/>
  <c r="S14" i="67" s="1"/>
  <c r="S15" i="67" s="1"/>
  <c r="S16" i="67" s="1"/>
  <c r="S17" i="67" s="1"/>
  <c r="S18" i="67" s="1"/>
  <c r="S19" i="67" s="1"/>
  <c r="S20" i="67" s="1"/>
  <c r="S21" i="67" s="1"/>
  <c r="S22" i="67" s="1"/>
  <c r="S23" i="67" s="1"/>
  <c r="S24" i="67" s="1"/>
  <c r="S25" i="67" s="1"/>
  <c r="S26" i="67" s="1"/>
  <c r="S27" i="67" s="1"/>
  <c r="S28" i="67" s="1"/>
  <c r="S29" i="67" s="1"/>
  <c r="S30" i="67" s="1"/>
  <c r="S31" i="67" s="1"/>
  <c r="S32" i="67" s="1"/>
  <c r="S33" i="67" s="1"/>
  <c r="S34" i="67" s="1"/>
  <c r="S35" i="67" s="1"/>
  <c r="S36" i="67" s="1"/>
  <c r="S37" i="67" s="1"/>
  <c r="S38" i="67" s="1"/>
  <c r="S39" i="67" s="1"/>
  <c r="S40" i="67" s="1"/>
  <c r="S41" i="67" s="1"/>
  <c r="S42" i="67" s="1"/>
  <c r="S43" i="67" s="1"/>
  <c r="S44" i="67" s="1"/>
  <c r="S45" i="67" s="1"/>
  <c r="S46" i="67" s="1"/>
  <c r="S47" i="67" s="1"/>
  <c r="S48" i="67" s="1"/>
  <c r="S49" i="67" s="1"/>
  <c r="S50" i="67" s="1"/>
  <c r="S51" i="67" s="1"/>
  <c r="S52" i="67" s="1"/>
  <c r="S53" i="67" s="1"/>
  <c r="S54" i="67" s="1"/>
  <c r="S55" i="67" s="1"/>
  <c r="S56" i="67" s="1"/>
  <c r="S57" i="67" s="1"/>
  <c r="S58" i="67" s="1"/>
  <c r="S59" i="67" s="1"/>
  <c r="S60" i="67" s="1"/>
  <c r="S61" i="67" s="1"/>
  <c r="D30" i="67"/>
  <c r="F30" i="67" s="1"/>
  <c r="G30" i="67" s="1"/>
  <c r="M9" i="78"/>
  <c r="J10" i="78" s="1"/>
  <c r="K10" i="78" s="1"/>
  <c r="M75" i="72"/>
  <c r="J76" i="72" s="1"/>
  <c r="K76" i="72" s="1"/>
  <c r="R127" i="85"/>
  <c r="J10" i="82"/>
  <c r="K10" i="82" s="1"/>
  <c r="L10" i="82"/>
  <c r="R10" i="82" s="1"/>
  <c r="K78" i="67"/>
  <c r="M78" i="67" s="1"/>
  <c r="J79" i="67" s="1"/>
  <c r="AE8" i="82"/>
  <c r="AD9" i="82"/>
  <c r="V67" i="84"/>
  <c r="S64" i="82"/>
  <c r="S63" i="82"/>
  <c r="S62" i="82"/>
  <c r="J8" i="84"/>
  <c r="L8" i="84"/>
  <c r="R8" i="84" s="1"/>
  <c r="R76" i="84"/>
  <c r="L77" i="84"/>
  <c r="T36" i="85"/>
  <c r="T54" i="85"/>
  <c r="V127" i="85"/>
  <c r="D102" i="85" s="1"/>
  <c r="F102" i="85" s="1"/>
  <c r="G102" i="85" s="1"/>
  <c r="K8" i="85"/>
  <c r="AD7" i="85"/>
  <c r="AE7" i="85" s="1"/>
  <c r="S68" i="84"/>
  <c r="S7" i="84" s="1"/>
  <c r="F31" i="84"/>
  <c r="G31" i="84"/>
  <c r="AA75" i="84"/>
  <c r="AB75" i="84" s="1"/>
  <c r="V75" i="84" s="1"/>
  <c r="V123" i="84" s="1"/>
  <c r="D98" i="84" s="1"/>
  <c r="M76" i="84"/>
  <c r="J77" i="84" s="1"/>
  <c r="K77" i="84" s="1"/>
  <c r="AA11" i="85"/>
  <c r="AB11" i="85" s="1"/>
  <c r="V11" i="85" s="1"/>
  <c r="K82" i="85"/>
  <c r="M82" i="85" s="1"/>
  <c r="J83" i="85" s="1"/>
  <c r="K83" i="85" s="1"/>
  <c r="M83" i="85" s="1"/>
  <c r="J84" i="85" s="1"/>
  <c r="K84" i="85" s="1"/>
  <c r="M84" i="85" s="1"/>
  <c r="J85" i="85" s="1"/>
  <c r="G33" i="84"/>
  <c r="F33" i="84"/>
  <c r="G32" i="84"/>
  <c r="T68" i="84"/>
  <c r="F32" i="84"/>
  <c r="AA30" i="85"/>
  <c r="AB30" i="85" s="1"/>
  <c r="V30" i="85" s="1"/>
  <c r="T67" i="67"/>
  <c r="T69" i="67" s="1"/>
  <c r="T55" i="67" s="1"/>
  <c r="K79" i="80"/>
  <c r="M79" i="80" s="1"/>
  <c r="J80" i="80" s="1"/>
  <c r="K80" i="80" s="1"/>
  <c r="L80" i="80"/>
  <c r="R79" i="80"/>
  <c r="AE8" i="80"/>
  <c r="AD9" i="80"/>
  <c r="J123" i="71"/>
  <c r="D96" i="71"/>
  <c r="F96" i="71" s="1"/>
  <c r="G96" i="71" s="1"/>
  <c r="J75" i="71"/>
  <c r="K75" i="71" s="1"/>
  <c r="L125" i="71"/>
  <c r="L75" i="71" s="1"/>
  <c r="D95" i="71"/>
  <c r="F95" i="71" s="1"/>
  <c r="G95" i="71" s="1"/>
  <c r="S65" i="78"/>
  <c r="S66" i="78"/>
  <c r="J67" i="71"/>
  <c r="J7" i="71"/>
  <c r="K7" i="71" s="1"/>
  <c r="L69" i="71"/>
  <c r="L7" i="71" s="1"/>
  <c r="R7" i="71" s="1"/>
  <c r="F27" i="72"/>
  <c r="G27" i="72" s="1"/>
  <c r="C90" i="72"/>
  <c r="E90" i="72" s="1"/>
  <c r="C89" i="72"/>
  <c r="E89" i="72" s="1"/>
  <c r="C22" i="72"/>
  <c r="E22" i="72" s="1"/>
  <c r="Z75" i="72"/>
  <c r="AA75" i="72" s="1"/>
  <c r="AB75" i="72" s="1"/>
  <c r="V75" i="72" s="1"/>
  <c r="Z86" i="72"/>
  <c r="AA86" i="72" s="1"/>
  <c r="AB86" i="72" s="1"/>
  <c r="V86" i="72" s="1"/>
  <c r="Z82" i="72"/>
  <c r="AA82" i="72" s="1"/>
  <c r="AB82" i="72" s="1"/>
  <c r="V82" i="72" s="1"/>
  <c r="Z76" i="72"/>
  <c r="AA76" i="72" s="1"/>
  <c r="AB76" i="72" s="1"/>
  <c r="V76" i="72" s="1"/>
  <c r="Z121" i="72"/>
  <c r="AA121" i="72" s="1"/>
  <c r="AB121" i="72" s="1"/>
  <c r="V121" i="72" s="1"/>
  <c r="Z84" i="72"/>
  <c r="AA84" i="72" s="1"/>
  <c r="AB84" i="72" s="1"/>
  <c r="V84" i="72" s="1"/>
  <c r="Z94" i="72"/>
  <c r="AA94" i="72" s="1"/>
  <c r="AB94" i="72" s="1"/>
  <c r="V94" i="72" s="1"/>
  <c r="Z103" i="72"/>
  <c r="AA103" i="72" s="1"/>
  <c r="AB103" i="72" s="1"/>
  <c r="V103" i="72" s="1"/>
  <c r="Z114" i="72"/>
  <c r="AA114" i="72" s="1"/>
  <c r="AB114" i="72" s="1"/>
  <c r="V114" i="72" s="1"/>
  <c r="Z99" i="72"/>
  <c r="AA99" i="72" s="1"/>
  <c r="AB99" i="72" s="1"/>
  <c r="V99" i="72" s="1"/>
  <c r="Z116" i="72"/>
  <c r="AA116" i="72" s="1"/>
  <c r="AB116" i="72" s="1"/>
  <c r="V116" i="72" s="1"/>
  <c r="Z108" i="72"/>
  <c r="AA108" i="72" s="1"/>
  <c r="AB108" i="72" s="1"/>
  <c r="V108" i="72" s="1"/>
  <c r="Z100" i="72"/>
  <c r="AA100" i="72" s="1"/>
  <c r="AB100" i="72" s="1"/>
  <c r="V100" i="72" s="1"/>
  <c r="Z85" i="72"/>
  <c r="AA85" i="72" s="1"/>
  <c r="AB85" i="72" s="1"/>
  <c r="V85" i="72" s="1"/>
  <c r="Z89" i="72"/>
  <c r="AA89" i="72" s="1"/>
  <c r="AB89" i="72" s="1"/>
  <c r="V89" i="72" s="1"/>
  <c r="Z119" i="72"/>
  <c r="AA119" i="72" s="1"/>
  <c r="AB119" i="72" s="1"/>
  <c r="V119" i="72" s="1"/>
  <c r="Z27" i="72"/>
  <c r="AA27" i="72" s="1"/>
  <c r="AB27" i="72" s="1"/>
  <c r="V27" i="72" s="1"/>
  <c r="Z31" i="72"/>
  <c r="AA31" i="72" s="1"/>
  <c r="AB31" i="72" s="1"/>
  <c r="V31" i="72" s="1"/>
  <c r="Z35" i="72"/>
  <c r="AA35" i="72" s="1"/>
  <c r="AB35" i="72" s="1"/>
  <c r="V35" i="72" s="1"/>
  <c r="Z39" i="72"/>
  <c r="AA39" i="72" s="1"/>
  <c r="AB39" i="72" s="1"/>
  <c r="V39" i="72" s="1"/>
  <c r="Z43" i="72"/>
  <c r="AA43" i="72" s="1"/>
  <c r="AB43" i="72" s="1"/>
  <c r="V43" i="72" s="1"/>
  <c r="Z47" i="72"/>
  <c r="AA47" i="72" s="1"/>
  <c r="AB47" i="72" s="1"/>
  <c r="V47" i="72" s="1"/>
  <c r="Z51" i="72"/>
  <c r="AA51" i="72" s="1"/>
  <c r="AB51" i="72" s="1"/>
  <c r="V51" i="72" s="1"/>
  <c r="Z55" i="72"/>
  <c r="AA55" i="72" s="1"/>
  <c r="AB55" i="72" s="1"/>
  <c r="V55" i="72" s="1"/>
  <c r="Z59" i="72"/>
  <c r="AA59" i="72" s="1"/>
  <c r="AB59" i="72" s="1"/>
  <c r="V59" i="72" s="1"/>
  <c r="Z63" i="72"/>
  <c r="AA63" i="72" s="1"/>
  <c r="AB63" i="72" s="1"/>
  <c r="V63" i="72" s="1"/>
  <c r="C87" i="72"/>
  <c r="E87" i="72" s="1"/>
  <c r="C19" i="72"/>
  <c r="E19" i="72" s="1"/>
  <c r="C88" i="72"/>
  <c r="E88" i="72" s="1"/>
  <c r="Z16" i="72"/>
  <c r="AA16" i="72" s="1"/>
  <c r="AB16" i="72" s="1"/>
  <c r="V16" i="72" s="1"/>
  <c r="Z111" i="72"/>
  <c r="AA111" i="72" s="1"/>
  <c r="AB111" i="72" s="1"/>
  <c r="V111" i="72" s="1"/>
  <c r="Z8" i="72"/>
  <c r="AA8" i="72" s="1"/>
  <c r="AB8" i="72" s="1"/>
  <c r="V8" i="72" s="1"/>
  <c r="Z93" i="72"/>
  <c r="AA93" i="72" s="1"/>
  <c r="AB93" i="72" s="1"/>
  <c r="V93" i="72" s="1"/>
  <c r="Z79" i="72"/>
  <c r="AA79" i="72" s="1"/>
  <c r="AB79" i="72" s="1"/>
  <c r="V79" i="72" s="1"/>
  <c r="Z20" i="72"/>
  <c r="AA20" i="72" s="1"/>
  <c r="AB20" i="72" s="1"/>
  <c r="V20" i="72" s="1"/>
  <c r="Z24" i="72"/>
  <c r="AA24" i="72" s="1"/>
  <c r="AB24" i="72" s="1"/>
  <c r="V24" i="72" s="1"/>
  <c r="Z96" i="72"/>
  <c r="AA96" i="72" s="1"/>
  <c r="AB96" i="72" s="1"/>
  <c r="V96" i="72" s="1"/>
  <c r="Z102" i="72"/>
  <c r="AA102" i="72" s="1"/>
  <c r="AB102" i="72" s="1"/>
  <c r="V102" i="72" s="1"/>
  <c r="Z113" i="72"/>
  <c r="AA113" i="72" s="1"/>
  <c r="AB113" i="72" s="1"/>
  <c r="V113" i="72" s="1"/>
  <c r="Z115" i="72"/>
  <c r="AA115" i="72" s="1"/>
  <c r="AB115" i="72" s="1"/>
  <c r="V115" i="72" s="1"/>
  <c r="Z91" i="72"/>
  <c r="AA91" i="72" s="1"/>
  <c r="AB91" i="72" s="1"/>
  <c r="V91" i="72" s="1"/>
  <c r="Z18" i="72"/>
  <c r="AA18" i="72" s="1"/>
  <c r="AB18" i="72" s="1"/>
  <c r="V18" i="72" s="1"/>
  <c r="Z80" i="72"/>
  <c r="AA80" i="72" s="1"/>
  <c r="AB80" i="72" s="1"/>
  <c r="V80" i="72" s="1"/>
  <c r="Z11" i="72"/>
  <c r="AA11" i="72" s="1"/>
  <c r="AB11" i="72" s="1"/>
  <c r="V11" i="72" s="1"/>
  <c r="Z77" i="72"/>
  <c r="AA77" i="72" s="1"/>
  <c r="AB77" i="72" s="1"/>
  <c r="V77" i="72" s="1"/>
  <c r="Z101" i="72"/>
  <c r="AA101" i="72" s="1"/>
  <c r="AB101" i="72" s="1"/>
  <c r="V101" i="72" s="1"/>
  <c r="Z28" i="72"/>
  <c r="AA28" i="72" s="1"/>
  <c r="AB28" i="72" s="1"/>
  <c r="V28" i="72" s="1"/>
  <c r="Z32" i="72"/>
  <c r="AA32" i="72" s="1"/>
  <c r="AB32" i="72" s="1"/>
  <c r="V32" i="72" s="1"/>
  <c r="Z36" i="72"/>
  <c r="AA36" i="72" s="1"/>
  <c r="AB36" i="72" s="1"/>
  <c r="V36" i="72" s="1"/>
  <c r="Z40" i="72"/>
  <c r="AA40" i="72" s="1"/>
  <c r="AB40" i="72" s="1"/>
  <c r="V40" i="72" s="1"/>
  <c r="Z44" i="72"/>
  <c r="AA44" i="72" s="1"/>
  <c r="AB44" i="72" s="1"/>
  <c r="V44" i="72" s="1"/>
  <c r="Z48" i="72"/>
  <c r="AA48" i="72" s="1"/>
  <c r="AB48" i="72" s="1"/>
  <c r="V48" i="72" s="1"/>
  <c r="Z52" i="72"/>
  <c r="AA52" i="72" s="1"/>
  <c r="AB52" i="72" s="1"/>
  <c r="V52" i="72" s="1"/>
  <c r="Z56" i="72"/>
  <c r="AA56" i="72" s="1"/>
  <c r="AB56" i="72" s="1"/>
  <c r="V56" i="72" s="1"/>
  <c r="Z60" i="72"/>
  <c r="AA60" i="72" s="1"/>
  <c r="AB60" i="72" s="1"/>
  <c r="V60" i="72" s="1"/>
  <c r="Z64" i="72"/>
  <c r="AA64" i="72" s="1"/>
  <c r="AB64" i="72" s="1"/>
  <c r="V64" i="72" s="1"/>
  <c r="C20" i="72"/>
  <c r="E20" i="72" s="1"/>
  <c r="C18" i="72"/>
  <c r="E18" i="72" s="1"/>
  <c r="C21" i="72"/>
  <c r="E21" i="72" s="1"/>
  <c r="Z97" i="72"/>
  <c r="AA97" i="72" s="1"/>
  <c r="AB97" i="72" s="1"/>
  <c r="V97" i="72" s="1"/>
  <c r="Z109" i="72"/>
  <c r="AA109" i="72" s="1"/>
  <c r="AB109" i="72" s="1"/>
  <c r="V109" i="72" s="1"/>
  <c r="Z78" i="72"/>
  <c r="AA78" i="72" s="1"/>
  <c r="AB78" i="72" s="1"/>
  <c r="V78" i="72" s="1"/>
  <c r="Z122" i="72"/>
  <c r="AA122" i="72" s="1"/>
  <c r="AB122" i="72" s="1"/>
  <c r="V122" i="72" s="1"/>
  <c r="Z117" i="72"/>
  <c r="AA117" i="72" s="1"/>
  <c r="AB117" i="72" s="1"/>
  <c r="V117" i="72" s="1"/>
  <c r="Z83" i="72"/>
  <c r="AA83" i="72" s="1"/>
  <c r="AB83" i="72" s="1"/>
  <c r="V83" i="72" s="1"/>
  <c r="Z7" i="72"/>
  <c r="AA7" i="72" s="1"/>
  <c r="AB7" i="72" s="1"/>
  <c r="V7" i="72" s="1"/>
  <c r="Z17" i="72"/>
  <c r="AA17" i="72" s="1"/>
  <c r="AB17" i="72" s="1"/>
  <c r="V17" i="72" s="1"/>
  <c r="Z9" i="72"/>
  <c r="AA9" i="72" s="1"/>
  <c r="AB9" i="72" s="1"/>
  <c r="V9" i="72" s="1"/>
  <c r="Z90" i="72"/>
  <c r="AA90" i="72" s="1"/>
  <c r="AB90" i="72" s="1"/>
  <c r="V90" i="72" s="1"/>
  <c r="Z107" i="72"/>
  <c r="AA107" i="72" s="1"/>
  <c r="AB107" i="72" s="1"/>
  <c r="V107" i="72" s="1"/>
  <c r="Z10" i="72"/>
  <c r="AA10" i="72" s="1"/>
  <c r="AB10" i="72" s="1"/>
  <c r="V10" i="72" s="1"/>
  <c r="Z106" i="72"/>
  <c r="AA106" i="72" s="1"/>
  <c r="AB106" i="72" s="1"/>
  <c r="V106" i="72" s="1"/>
  <c r="Z21" i="72"/>
  <c r="AA21" i="72" s="1"/>
  <c r="AB21" i="72" s="1"/>
  <c r="V21" i="72" s="1"/>
  <c r="Z22" i="72"/>
  <c r="AA22" i="72" s="1"/>
  <c r="AB22" i="72" s="1"/>
  <c r="V22" i="72" s="1"/>
  <c r="Z120" i="72"/>
  <c r="AA120" i="72" s="1"/>
  <c r="AB120" i="72" s="1"/>
  <c r="V120" i="72" s="1"/>
  <c r="Z25" i="72"/>
  <c r="AA25" i="72" s="1"/>
  <c r="AB25" i="72" s="1"/>
  <c r="V25" i="72" s="1"/>
  <c r="Z29" i="72"/>
  <c r="AA29" i="72" s="1"/>
  <c r="AB29" i="72" s="1"/>
  <c r="V29" i="72" s="1"/>
  <c r="Z33" i="72"/>
  <c r="AA33" i="72" s="1"/>
  <c r="AB33" i="72" s="1"/>
  <c r="V33" i="72" s="1"/>
  <c r="Z37" i="72"/>
  <c r="AA37" i="72" s="1"/>
  <c r="AB37" i="72" s="1"/>
  <c r="V37" i="72" s="1"/>
  <c r="Z41" i="72"/>
  <c r="AA41" i="72" s="1"/>
  <c r="AB41" i="72" s="1"/>
  <c r="V41" i="72" s="1"/>
  <c r="Z45" i="72"/>
  <c r="AA45" i="72" s="1"/>
  <c r="AB45" i="72" s="1"/>
  <c r="V45" i="72" s="1"/>
  <c r="Z49" i="72"/>
  <c r="AA49" i="72" s="1"/>
  <c r="AB49" i="72" s="1"/>
  <c r="V49" i="72" s="1"/>
  <c r="Z53" i="72"/>
  <c r="AA53" i="72" s="1"/>
  <c r="AB53" i="72" s="1"/>
  <c r="V53" i="72" s="1"/>
  <c r="Z57" i="72"/>
  <c r="AA57" i="72" s="1"/>
  <c r="AB57" i="72" s="1"/>
  <c r="V57" i="72" s="1"/>
  <c r="Z61" i="72"/>
  <c r="AA61" i="72" s="1"/>
  <c r="AB61" i="72" s="1"/>
  <c r="V61" i="72" s="1"/>
  <c r="Z65" i="72"/>
  <c r="AA65" i="72" s="1"/>
  <c r="AB65" i="72" s="1"/>
  <c r="V65" i="72" s="1"/>
  <c r="Z23" i="72"/>
  <c r="AA23" i="72" s="1"/>
  <c r="AB23" i="72" s="1"/>
  <c r="V23" i="72" s="1"/>
  <c r="Z88" i="72"/>
  <c r="AA88" i="72" s="1"/>
  <c r="AB88" i="72" s="1"/>
  <c r="V88" i="72" s="1"/>
  <c r="Z19" i="72"/>
  <c r="AA19" i="72" s="1"/>
  <c r="AB19" i="72" s="1"/>
  <c r="V19" i="72" s="1"/>
  <c r="Z15" i="72"/>
  <c r="AA15" i="72" s="1"/>
  <c r="AB15" i="72" s="1"/>
  <c r="V15" i="72" s="1"/>
  <c r="Z98" i="72"/>
  <c r="AA98" i="72" s="1"/>
  <c r="AB98" i="72" s="1"/>
  <c r="V98" i="72" s="1"/>
  <c r="Z26" i="72"/>
  <c r="AA26" i="72" s="1"/>
  <c r="AB26" i="72" s="1"/>
  <c r="V26" i="72" s="1"/>
  <c r="Z42" i="72"/>
  <c r="AA42" i="72" s="1"/>
  <c r="AB42" i="72" s="1"/>
  <c r="V42" i="72" s="1"/>
  <c r="Z58" i="72"/>
  <c r="AA58" i="72" s="1"/>
  <c r="AB58" i="72" s="1"/>
  <c r="V58" i="72" s="1"/>
  <c r="C86" i="72"/>
  <c r="E86" i="72" s="1"/>
  <c r="Z104" i="72"/>
  <c r="AA104" i="72" s="1"/>
  <c r="AB104" i="72" s="1"/>
  <c r="V104" i="72" s="1"/>
  <c r="Z118" i="72"/>
  <c r="AA118" i="72" s="1"/>
  <c r="AB118" i="72" s="1"/>
  <c r="V118" i="72" s="1"/>
  <c r="Z81" i="72"/>
  <c r="AA81" i="72" s="1"/>
  <c r="AB81" i="72" s="1"/>
  <c r="V81" i="72" s="1"/>
  <c r="Z34" i="72"/>
  <c r="AA34" i="72" s="1"/>
  <c r="AB34" i="72" s="1"/>
  <c r="V34" i="72" s="1"/>
  <c r="Z50" i="72"/>
  <c r="AA50" i="72" s="1"/>
  <c r="AB50" i="72" s="1"/>
  <c r="V50" i="72" s="1"/>
  <c r="Z13" i="72"/>
  <c r="AA13" i="72" s="1"/>
  <c r="AB13" i="72" s="1"/>
  <c r="V13" i="72" s="1"/>
  <c r="Z95" i="72"/>
  <c r="AA95" i="72" s="1"/>
  <c r="AB95" i="72" s="1"/>
  <c r="V95" i="72" s="1"/>
  <c r="Z54" i="72"/>
  <c r="AA54" i="72" s="1"/>
  <c r="AB54" i="72" s="1"/>
  <c r="V54" i="72" s="1"/>
  <c r="Z92" i="72"/>
  <c r="AA92" i="72" s="1"/>
  <c r="AB92" i="72" s="1"/>
  <c r="V92" i="72" s="1"/>
  <c r="Z112" i="72"/>
  <c r="AA112" i="72" s="1"/>
  <c r="AB112" i="72" s="1"/>
  <c r="V112" i="72" s="1"/>
  <c r="Z14" i="72"/>
  <c r="AA14" i="72" s="1"/>
  <c r="AB14" i="72" s="1"/>
  <c r="V14" i="72" s="1"/>
  <c r="Z110" i="72"/>
  <c r="AA110" i="72" s="1"/>
  <c r="AB110" i="72" s="1"/>
  <c r="V110" i="72" s="1"/>
  <c r="Z30" i="72"/>
  <c r="AA30" i="72" s="1"/>
  <c r="AB30" i="72" s="1"/>
  <c r="V30" i="72" s="1"/>
  <c r="Z46" i="72"/>
  <c r="AA46" i="72" s="1"/>
  <c r="AB46" i="72" s="1"/>
  <c r="V46" i="72" s="1"/>
  <c r="Z62" i="72"/>
  <c r="AA62" i="72" s="1"/>
  <c r="AB62" i="72" s="1"/>
  <c r="V62" i="72" s="1"/>
  <c r="Z105" i="72"/>
  <c r="AA105" i="72" s="1"/>
  <c r="AB105" i="72" s="1"/>
  <c r="V105" i="72" s="1"/>
  <c r="Z66" i="72"/>
  <c r="AA66" i="72" s="1"/>
  <c r="AB66" i="72" s="1"/>
  <c r="V66" i="72" s="1"/>
  <c r="Z87" i="72"/>
  <c r="AA87" i="72" s="1"/>
  <c r="AB87" i="72" s="1"/>
  <c r="V87" i="72" s="1"/>
  <c r="Z12" i="72"/>
  <c r="AA12" i="72" s="1"/>
  <c r="AB12" i="72" s="1"/>
  <c r="V12" i="72" s="1"/>
  <c r="Z38" i="72"/>
  <c r="AA38" i="72" s="1"/>
  <c r="AB38" i="72" s="1"/>
  <c r="V38" i="72" s="1"/>
  <c r="Z62" i="71"/>
  <c r="AA62" i="71" s="1"/>
  <c r="AB62" i="71" s="1"/>
  <c r="V62" i="71" s="1"/>
  <c r="Z30" i="71"/>
  <c r="AA30" i="71" s="1"/>
  <c r="AB30" i="71" s="1"/>
  <c r="V30" i="71" s="1"/>
  <c r="Z55" i="71"/>
  <c r="AA55" i="71" s="1"/>
  <c r="AB55" i="71" s="1"/>
  <c r="V55" i="71" s="1"/>
  <c r="Z78" i="71"/>
  <c r="AA78" i="71" s="1"/>
  <c r="AB78" i="71" s="1"/>
  <c r="V78" i="71" s="1"/>
  <c r="Z45" i="71"/>
  <c r="AA45" i="71" s="1"/>
  <c r="AB45" i="71" s="1"/>
  <c r="V45" i="71" s="1"/>
  <c r="Z66" i="71"/>
  <c r="AA66" i="71" s="1"/>
  <c r="AB66" i="71" s="1"/>
  <c r="V66" i="71" s="1"/>
  <c r="Z119" i="71"/>
  <c r="AA119" i="71" s="1"/>
  <c r="AB119" i="71" s="1"/>
  <c r="V119" i="71" s="1"/>
  <c r="Z108" i="71"/>
  <c r="AA108" i="71" s="1"/>
  <c r="AB108" i="71" s="1"/>
  <c r="V108" i="71" s="1"/>
  <c r="Z111" i="71"/>
  <c r="AA111" i="71" s="1"/>
  <c r="AB111" i="71" s="1"/>
  <c r="V111" i="71" s="1"/>
  <c r="Z98" i="71"/>
  <c r="AA98" i="71" s="1"/>
  <c r="AB98" i="71" s="1"/>
  <c r="V98" i="71" s="1"/>
  <c r="Z18" i="71"/>
  <c r="AA18" i="71" s="1"/>
  <c r="AB18" i="71" s="1"/>
  <c r="V18" i="71" s="1"/>
  <c r="Z87" i="71"/>
  <c r="AA87" i="71" s="1"/>
  <c r="AB87" i="71" s="1"/>
  <c r="V87" i="71" s="1"/>
  <c r="Z46" i="71"/>
  <c r="AA46" i="71" s="1"/>
  <c r="AB46" i="71" s="1"/>
  <c r="V46" i="71" s="1"/>
  <c r="Z38" i="71"/>
  <c r="AA38" i="71" s="1"/>
  <c r="AB38" i="71" s="1"/>
  <c r="V38" i="71" s="1"/>
  <c r="Z85" i="71"/>
  <c r="AA85" i="71" s="1"/>
  <c r="AB85" i="71" s="1"/>
  <c r="V85" i="71" s="1"/>
  <c r="Z23" i="71"/>
  <c r="AA23" i="71" s="1"/>
  <c r="AB23" i="71" s="1"/>
  <c r="V23" i="71" s="1"/>
  <c r="Z107" i="71"/>
  <c r="AA107" i="71" s="1"/>
  <c r="AB107" i="71" s="1"/>
  <c r="V107" i="71" s="1"/>
  <c r="Z81" i="71"/>
  <c r="AA81" i="71" s="1"/>
  <c r="AB81" i="71" s="1"/>
  <c r="V81" i="71" s="1"/>
  <c r="C88" i="71"/>
  <c r="E88" i="71" s="1"/>
  <c r="Z31" i="71"/>
  <c r="AA31" i="71" s="1"/>
  <c r="AB31" i="71" s="1"/>
  <c r="V31" i="71" s="1"/>
  <c r="Z50" i="71"/>
  <c r="AA50" i="71" s="1"/>
  <c r="AB50" i="71" s="1"/>
  <c r="V50" i="71" s="1"/>
  <c r="Z43" i="71"/>
  <c r="AA43" i="71" s="1"/>
  <c r="AB43" i="71" s="1"/>
  <c r="V43" i="71" s="1"/>
  <c r="Z92" i="71"/>
  <c r="AA92" i="71" s="1"/>
  <c r="AB92" i="71" s="1"/>
  <c r="V92" i="71" s="1"/>
  <c r="Z52" i="71"/>
  <c r="AA52" i="71" s="1"/>
  <c r="AB52" i="71" s="1"/>
  <c r="V52" i="71" s="1"/>
  <c r="Z75" i="71"/>
  <c r="AA75" i="71" s="1"/>
  <c r="AB75" i="71" s="1"/>
  <c r="V75" i="71" s="1"/>
  <c r="Z113" i="71"/>
  <c r="AA113" i="71" s="1"/>
  <c r="AB113" i="71" s="1"/>
  <c r="V113" i="71" s="1"/>
  <c r="Z25" i="71"/>
  <c r="AA25" i="71" s="1"/>
  <c r="AB25" i="71" s="1"/>
  <c r="V25" i="71" s="1"/>
  <c r="C21" i="71"/>
  <c r="E21" i="71" s="1"/>
  <c r="Z8" i="71"/>
  <c r="AA8" i="71" s="1"/>
  <c r="AB8" i="71" s="1"/>
  <c r="V8" i="71" s="1"/>
  <c r="C86" i="71"/>
  <c r="E86" i="71" s="1"/>
  <c r="Z89" i="71"/>
  <c r="AA89" i="71" s="1"/>
  <c r="AB89" i="71" s="1"/>
  <c r="V89" i="71" s="1"/>
  <c r="Z95" i="71"/>
  <c r="AA95" i="71" s="1"/>
  <c r="AB95" i="71" s="1"/>
  <c r="V95" i="71" s="1"/>
  <c r="C22" i="71"/>
  <c r="E22" i="71" s="1"/>
  <c r="F27" i="71"/>
  <c r="G27" i="71" s="1"/>
  <c r="Z96" i="71"/>
  <c r="AA96" i="71" s="1"/>
  <c r="AB96" i="71" s="1"/>
  <c r="V96" i="71" s="1"/>
  <c r="Z34" i="71"/>
  <c r="AA34" i="71" s="1"/>
  <c r="AB34" i="71" s="1"/>
  <c r="V34" i="71" s="1"/>
  <c r="Z77" i="71"/>
  <c r="AA77" i="71" s="1"/>
  <c r="AB77" i="71" s="1"/>
  <c r="V77" i="71" s="1"/>
  <c r="Z63" i="71"/>
  <c r="AA63" i="71" s="1"/>
  <c r="AB63" i="71" s="1"/>
  <c r="V63" i="71" s="1"/>
  <c r="Z29" i="71"/>
  <c r="AA29" i="71" s="1"/>
  <c r="AB29" i="71" s="1"/>
  <c r="V29" i="71" s="1"/>
  <c r="Z39" i="71"/>
  <c r="AA39" i="71" s="1"/>
  <c r="AB39" i="71" s="1"/>
  <c r="V39" i="71" s="1"/>
  <c r="Z76" i="71"/>
  <c r="AA76" i="71" s="1"/>
  <c r="AB76" i="71" s="1"/>
  <c r="V76" i="71" s="1"/>
  <c r="Z41" i="71"/>
  <c r="AA41" i="71" s="1"/>
  <c r="AB41" i="71" s="1"/>
  <c r="V41" i="71" s="1"/>
  <c r="Z64" i="71"/>
  <c r="AA64" i="71" s="1"/>
  <c r="AB64" i="71" s="1"/>
  <c r="V64" i="71" s="1"/>
  <c r="Z65" i="71"/>
  <c r="AA65" i="71" s="1"/>
  <c r="AB65" i="71" s="1"/>
  <c r="V65" i="71" s="1"/>
  <c r="Z116" i="71"/>
  <c r="AA116" i="71" s="1"/>
  <c r="AB116" i="71" s="1"/>
  <c r="V116" i="71" s="1"/>
  <c r="Z33" i="71"/>
  <c r="AA33" i="71" s="1"/>
  <c r="AB33" i="71" s="1"/>
  <c r="V33" i="71" s="1"/>
  <c r="Z9" i="71"/>
  <c r="AA9" i="71" s="1"/>
  <c r="AB9" i="71" s="1"/>
  <c r="V9" i="71" s="1"/>
  <c r="Z97" i="71"/>
  <c r="AA97" i="71" s="1"/>
  <c r="AB97" i="71" s="1"/>
  <c r="V97" i="71" s="1"/>
  <c r="Z100" i="71"/>
  <c r="AA100" i="71" s="1"/>
  <c r="AB100" i="71" s="1"/>
  <c r="V100" i="71" s="1"/>
  <c r="Z102" i="71"/>
  <c r="AA102" i="71" s="1"/>
  <c r="AB102" i="71" s="1"/>
  <c r="V102" i="71" s="1"/>
  <c r="Z104" i="71"/>
  <c r="AA104" i="71" s="1"/>
  <c r="AB104" i="71" s="1"/>
  <c r="V104" i="71" s="1"/>
  <c r="Z120" i="71"/>
  <c r="AA120" i="71" s="1"/>
  <c r="AB120" i="71" s="1"/>
  <c r="V120" i="71" s="1"/>
  <c r="Z48" i="71"/>
  <c r="AA48" i="71" s="1"/>
  <c r="AB48" i="71" s="1"/>
  <c r="V48" i="71" s="1"/>
  <c r="Z80" i="71"/>
  <c r="AA80" i="71" s="1"/>
  <c r="AB80" i="71" s="1"/>
  <c r="V80" i="71" s="1"/>
  <c r="Z11" i="71"/>
  <c r="AA11" i="71" s="1"/>
  <c r="AB11" i="71" s="1"/>
  <c r="V11" i="71" s="1"/>
  <c r="Z121" i="71"/>
  <c r="AA121" i="71" s="1"/>
  <c r="AB121" i="71" s="1"/>
  <c r="V121" i="71" s="1"/>
  <c r="C20" i="71"/>
  <c r="E20" i="71" s="1"/>
  <c r="Z13" i="71"/>
  <c r="AA13" i="71" s="1"/>
  <c r="AB13" i="71" s="1"/>
  <c r="V13" i="71" s="1"/>
  <c r="Z88" i="71"/>
  <c r="AA88" i="71" s="1"/>
  <c r="AB88" i="71" s="1"/>
  <c r="V88" i="71" s="1"/>
  <c r="Z90" i="71"/>
  <c r="AA90" i="71" s="1"/>
  <c r="AB90" i="71" s="1"/>
  <c r="V90" i="71" s="1"/>
  <c r="Z101" i="71"/>
  <c r="AA101" i="71" s="1"/>
  <c r="AB101" i="71" s="1"/>
  <c r="V101" i="71" s="1"/>
  <c r="Z20" i="71"/>
  <c r="AA20" i="71" s="1"/>
  <c r="AB20" i="71" s="1"/>
  <c r="V20" i="71" s="1"/>
  <c r="Z36" i="71"/>
  <c r="AA36" i="71" s="1"/>
  <c r="AB36" i="71" s="1"/>
  <c r="V36" i="71" s="1"/>
  <c r="Z82" i="71"/>
  <c r="AA82" i="71" s="1"/>
  <c r="AB82" i="71" s="1"/>
  <c r="V82" i="71" s="1"/>
  <c r="Z15" i="71"/>
  <c r="AA15" i="71" s="1"/>
  <c r="AB15" i="71" s="1"/>
  <c r="V15" i="71" s="1"/>
  <c r="Z12" i="71"/>
  <c r="AA12" i="71" s="1"/>
  <c r="AB12" i="71" s="1"/>
  <c r="V12" i="71" s="1"/>
  <c r="Z24" i="71"/>
  <c r="AA24" i="71" s="1"/>
  <c r="AB24" i="71" s="1"/>
  <c r="V24" i="71" s="1"/>
  <c r="Z115" i="71"/>
  <c r="AA115" i="71" s="1"/>
  <c r="AB115" i="71" s="1"/>
  <c r="V115" i="71" s="1"/>
  <c r="Z51" i="71"/>
  <c r="AA51" i="71" s="1"/>
  <c r="AB51" i="71" s="1"/>
  <c r="V51" i="71" s="1"/>
  <c r="C87" i="71"/>
  <c r="E87" i="71" s="1"/>
  <c r="Z59" i="71"/>
  <c r="AA59" i="71" s="1"/>
  <c r="AB59" i="71" s="1"/>
  <c r="V59" i="71" s="1"/>
  <c r="Z26" i="71"/>
  <c r="AA26" i="71" s="1"/>
  <c r="AB26" i="71" s="1"/>
  <c r="V26" i="71" s="1"/>
  <c r="Z58" i="71"/>
  <c r="AA58" i="71" s="1"/>
  <c r="AB58" i="71" s="1"/>
  <c r="V58" i="71" s="1"/>
  <c r="Z44" i="71"/>
  <c r="AA44" i="71" s="1"/>
  <c r="AB44" i="71" s="1"/>
  <c r="V44" i="71" s="1"/>
  <c r="Z105" i="71"/>
  <c r="AA105" i="71" s="1"/>
  <c r="AB105" i="71" s="1"/>
  <c r="V105" i="71" s="1"/>
  <c r="Z112" i="71"/>
  <c r="AA112" i="71" s="1"/>
  <c r="AB112" i="71" s="1"/>
  <c r="V112" i="71" s="1"/>
  <c r="Z114" i="71"/>
  <c r="AA114" i="71" s="1"/>
  <c r="AB114" i="71" s="1"/>
  <c r="V114" i="71" s="1"/>
  <c r="Z106" i="71"/>
  <c r="AA106" i="71" s="1"/>
  <c r="AB106" i="71" s="1"/>
  <c r="V106" i="71" s="1"/>
  <c r="Z16" i="71"/>
  <c r="AA16" i="71" s="1"/>
  <c r="AB16" i="71" s="1"/>
  <c r="V16" i="71" s="1"/>
  <c r="Z42" i="71"/>
  <c r="AA42" i="71" s="1"/>
  <c r="AB42" i="71" s="1"/>
  <c r="V42" i="71" s="1"/>
  <c r="Z86" i="71"/>
  <c r="AA86" i="71" s="1"/>
  <c r="AB86" i="71" s="1"/>
  <c r="V86" i="71" s="1"/>
  <c r="Z35" i="71"/>
  <c r="AA35" i="71" s="1"/>
  <c r="AB35" i="71" s="1"/>
  <c r="V35" i="71" s="1"/>
  <c r="Z60" i="71"/>
  <c r="AA60" i="71" s="1"/>
  <c r="AB60" i="71" s="1"/>
  <c r="V60" i="71" s="1"/>
  <c r="Z21" i="71"/>
  <c r="AA21" i="71" s="1"/>
  <c r="AB21" i="71" s="1"/>
  <c r="V21" i="71" s="1"/>
  <c r="Z17" i="71"/>
  <c r="AA17" i="71" s="1"/>
  <c r="AB17" i="71" s="1"/>
  <c r="V17" i="71" s="1"/>
  <c r="Z57" i="71"/>
  <c r="AA57" i="71" s="1"/>
  <c r="AB57" i="71" s="1"/>
  <c r="V57" i="71" s="1"/>
  <c r="Z7" i="71"/>
  <c r="AA7" i="71" s="1"/>
  <c r="AB7" i="71" s="1"/>
  <c r="V7" i="71" s="1"/>
  <c r="Z84" i="71"/>
  <c r="AA84" i="71" s="1"/>
  <c r="AB84" i="71" s="1"/>
  <c r="V84" i="71" s="1"/>
  <c r="Z56" i="71"/>
  <c r="AA56" i="71" s="1"/>
  <c r="AB56" i="71" s="1"/>
  <c r="V56" i="71" s="1"/>
  <c r="Z37" i="71"/>
  <c r="AA37" i="71" s="1"/>
  <c r="AB37" i="71" s="1"/>
  <c r="V37" i="71" s="1"/>
  <c r="Z99" i="71"/>
  <c r="AA99" i="71" s="1"/>
  <c r="AB99" i="71" s="1"/>
  <c r="V99" i="71" s="1"/>
  <c r="Z110" i="71"/>
  <c r="AA110" i="71" s="1"/>
  <c r="AB110" i="71" s="1"/>
  <c r="V110" i="71" s="1"/>
  <c r="Z122" i="71"/>
  <c r="AA122" i="71" s="1"/>
  <c r="AB122" i="71" s="1"/>
  <c r="V122" i="71" s="1"/>
  <c r="C90" i="71"/>
  <c r="E90" i="71" s="1"/>
  <c r="Z83" i="71"/>
  <c r="AA83" i="71" s="1"/>
  <c r="AB83" i="71" s="1"/>
  <c r="V83" i="71" s="1"/>
  <c r="C18" i="71"/>
  <c r="E18" i="71" s="1"/>
  <c r="Z47" i="71"/>
  <c r="AA47" i="71" s="1"/>
  <c r="AB47" i="71" s="1"/>
  <c r="V47" i="71" s="1"/>
  <c r="Z54" i="71"/>
  <c r="AA54" i="71" s="1"/>
  <c r="AB54" i="71" s="1"/>
  <c r="V54" i="71" s="1"/>
  <c r="Z49" i="71"/>
  <c r="AA49" i="71" s="1"/>
  <c r="AB49" i="71" s="1"/>
  <c r="V49" i="71" s="1"/>
  <c r="Z93" i="71"/>
  <c r="AA93" i="71" s="1"/>
  <c r="AB93" i="71" s="1"/>
  <c r="V93" i="71" s="1"/>
  <c r="Z27" i="71"/>
  <c r="AA27" i="71" s="1"/>
  <c r="AB27" i="71" s="1"/>
  <c r="V27" i="71" s="1"/>
  <c r="Z53" i="71"/>
  <c r="AA53" i="71" s="1"/>
  <c r="AB53" i="71" s="1"/>
  <c r="V53" i="71" s="1"/>
  <c r="Z10" i="71"/>
  <c r="AA10" i="71" s="1"/>
  <c r="AB10" i="71" s="1"/>
  <c r="V10" i="71" s="1"/>
  <c r="Z118" i="71"/>
  <c r="AA118" i="71" s="1"/>
  <c r="AB118" i="71" s="1"/>
  <c r="V118" i="71" s="1"/>
  <c r="Z32" i="71"/>
  <c r="AA32" i="71" s="1"/>
  <c r="AB32" i="71" s="1"/>
  <c r="V32" i="71" s="1"/>
  <c r="Z61" i="71"/>
  <c r="AA61" i="71" s="1"/>
  <c r="AB61" i="71" s="1"/>
  <c r="V61" i="71" s="1"/>
  <c r="Z22" i="71"/>
  <c r="AA22" i="71" s="1"/>
  <c r="AB22" i="71" s="1"/>
  <c r="V22" i="71" s="1"/>
  <c r="Z40" i="71"/>
  <c r="AA40" i="71" s="1"/>
  <c r="AB40" i="71" s="1"/>
  <c r="V40" i="71" s="1"/>
  <c r="Z117" i="71"/>
  <c r="AA117" i="71" s="1"/>
  <c r="AB117" i="71" s="1"/>
  <c r="V117" i="71" s="1"/>
  <c r="Z28" i="71"/>
  <c r="AA28" i="71" s="1"/>
  <c r="AB28" i="71" s="1"/>
  <c r="V28" i="71" s="1"/>
  <c r="Z94" i="71"/>
  <c r="AA94" i="71" s="1"/>
  <c r="AB94" i="71" s="1"/>
  <c r="V94" i="71" s="1"/>
  <c r="Z14" i="71"/>
  <c r="AA14" i="71" s="1"/>
  <c r="AB14" i="71" s="1"/>
  <c r="V14" i="71" s="1"/>
  <c r="Z79" i="71"/>
  <c r="AA79" i="71" s="1"/>
  <c r="AB79" i="71" s="1"/>
  <c r="V79" i="71" s="1"/>
  <c r="Z103" i="71"/>
  <c r="AA103" i="71" s="1"/>
  <c r="AB103" i="71" s="1"/>
  <c r="V103" i="71" s="1"/>
  <c r="C19" i="71"/>
  <c r="E19" i="71" s="1"/>
  <c r="Z19" i="71"/>
  <c r="AA19" i="71" s="1"/>
  <c r="AB19" i="71" s="1"/>
  <c r="V19" i="71" s="1"/>
  <c r="Z109" i="71"/>
  <c r="AA109" i="71" s="1"/>
  <c r="AB109" i="71" s="1"/>
  <c r="V109" i="71" s="1"/>
  <c r="Z91" i="71"/>
  <c r="AA91" i="71" s="1"/>
  <c r="AB91" i="71" s="1"/>
  <c r="V91" i="71" s="1"/>
  <c r="C89" i="71"/>
  <c r="E89" i="71" s="1"/>
  <c r="K97" i="78"/>
  <c r="M97" i="78" s="1"/>
  <c r="J98" i="78" s="1"/>
  <c r="K98" i="78" s="1"/>
  <c r="M98" i="78" s="1"/>
  <c r="J99" i="78" s="1"/>
  <c r="K99" i="78" s="1"/>
  <c r="M99" i="78" s="1"/>
  <c r="J100" i="78" s="1"/>
  <c r="K100" i="78" s="1"/>
  <c r="M100" i="78" s="1"/>
  <c r="J101" i="78" s="1"/>
  <c r="K101" i="78" s="1"/>
  <c r="M101" i="78" s="1"/>
  <c r="J102" i="78" s="1"/>
  <c r="K102" i="78" s="1"/>
  <c r="M102" i="78" s="1"/>
  <c r="J103" i="78" s="1"/>
  <c r="K103" i="78" s="1"/>
  <c r="M103" i="78" s="1"/>
  <c r="J104" i="78" s="1"/>
  <c r="K104" i="78" s="1"/>
  <c r="M104" i="78" s="1"/>
  <c r="J105" i="78" s="1"/>
  <c r="K105" i="78" s="1"/>
  <c r="M105" i="78" s="1"/>
  <c r="J106" i="78" s="1"/>
  <c r="K106" i="78" s="1"/>
  <c r="M106" i="78" s="1"/>
  <c r="J107" i="78" s="1"/>
  <c r="K107" i="78" s="1"/>
  <c r="M107" i="78" s="1"/>
  <c r="J108" i="78" s="1"/>
  <c r="K108" i="78" s="1"/>
  <c r="M108" i="78" s="1"/>
  <c r="J109" i="78" s="1"/>
  <c r="K109" i="78" s="1"/>
  <c r="M109" i="78" s="1"/>
  <c r="J110" i="78" s="1"/>
  <c r="K110" i="78" s="1"/>
  <c r="M110" i="78" s="1"/>
  <c r="J111" i="78" s="1"/>
  <c r="K111" i="78" s="1"/>
  <c r="M111" i="78" s="1"/>
  <c r="J112" i="78" s="1"/>
  <c r="K112" i="78" s="1"/>
  <c r="M112" i="78" s="1"/>
  <c r="J113" i="78" s="1"/>
  <c r="K113" i="78" s="1"/>
  <c r="M113" i="78" s="1"/>
  <c r="J114" i="78" s="1"/>
  <c r="K114" i="78" s="1"/>
  <c r="M114" i="78" s="1"/>
  <c r="J115" i="78" s="1"/>
  <c r="K115" i="78" s="1"/>
  <c r="M115" i="78" s="1"/>
  <c r="J116" i="78" s="1"/>
  <c r="K116" i="78" s="1"/>
  <c r="M116" i="78" s="1"/>
  <c r="J117" i="78" s="1"/>
  <c r="R75" i="72"/>
  <c r="L76" i="72"/>
  <c r="AE8" i="78"/>
  <c r="AD9" i="78"/>
  <c r="M7" i="72"/>
  <c r="R79" i="67"/>
  <c r="L80" i="67"/>
  <c r="J10" i="80" l="1"/>
  <c r="K10" i="80" s="1"/>
  <c r="M8" i="85"/>
  <c r="L9" i="85" s="1"/>
  <c r="R9" i="85" s="1"/>
  <c r="L10" i="78"/>
  <c r="R10" i="78" s="1"/>
  <c r="M76" i="72"/>
  <c r="J77" i="72" s="1"/>
  <c r="K77" i="72" s="1"/>
  <c r="AD8" i="67"/>
  <c r="AE8" i="67" s="1"/>
  <c r="M8" i="67"/>
  <c r="L9" i="67" s="1"/>
  <c r="R9" i="67" s="1"/>
  <c r="D30" i="84"/>
  <c r="F30" i="84" s="1"/>
  <c r="G30" i="84" s="1"/>
  <c r="S67" i="85"/>
  <c r="S69" i="85" s="1"/>
  <c r="M77" i="84"/>
  <c r="J78" i="84" s="1"/>
  <c r="K78" i="84" s="1"/>
  <c r="AD8" i="85"/>
  <c r="AE8" i="85" s="1"/>
  <c r="M10" i="82"/>
  <c r="J11" i="82" s="1"/>
  <c r="K11" i="82" s="1"/>
  <c r="K79" i="67"/>
  <c r="M79" i="67" s="1"/>
  <c r="J80" i="67" s="1"/>
  <c r="K80" i="67" s="1"/>
  <c r="AD10" i="82"/>
  <c r="AE9" i="82"/>
  <c r="S65" i="82"/>
  <c r="S66" i="82"/>
  <c r="K8" i="84"/>
  <c r="M8" i="84" s="1"/>
  <c r="F98" i="84"/>
  <c r="G98" i="84" s="1"/>
  <c r="K85" i="85"/>
  <c r="M85" i="85" s="1"/>
  <c r="J86" i="85" s="1"/>
  <c r="K86" i="85" s="1"/>
  <c r="M86" i="85" s="1"/>
  <c r="J87" i="85" s="1"/>
  <c r="K87" i="85" s="1"/>
  <c r="M87" i="85" s="1"/>
  <c r="J88" i="85" s="1"/>
  <c r="K88" i="85" s="1"/>
  <c r="M88" i="85" s="1"/>
  <c r="J89" i="85" s="1"/>
  <c r="S8" i="84"/>
  <c r="S9" i="84" s="1"/>
  <c r="S10" i="84" s="1"/>
  <c r="S11" i="84" s="1"/>
  <c r="S12" i="84" s="1"/>
  <c r="S13" i="84" s="1"/>
  <c r="S14" i="84" s="1"/>
  <c r="S15" i="84" s="1"/>
  <c r="S16" i="84" s="1"/>
  <c r="S17" i="84" s="1"/>
  <c r="S18" i="84" s="1"/>
  <c r="S19" i="84" s="1"/>
  <c r="S20" i="84" s="1"/>
  <c r="S21" i="84" s="1"/>
  <c r="S22" i="84" s="1"/>
  <c r="S23" i="84" s="1"/>
  <c r="S24" i="84" s="1"/>
  <c r="S25" i="84" s="1"/>
  <c r="S26" i="84" s="1"/>
  <c r="S27" i="84" s="1"/>
  <c r="S28" i="84" s="1"/>
  <c r="S29" i="84" s="1"/>
  <c r="S30" i="84" s="1"/>
  <c r="S31" i="84" s="1"/>
  <c r="S32" i="84" s="1"/>
  <c r="S33" i="84" s="1"/>
  <c r="S34" i="84" s="1"/>
  <c r="S35" i="84" s="1"/>
  <c r="S36" i="84" s="1"/>
  <c r="S37" i="84" s="1"/>
  <c r="S38" i="84" s="1"/>
  <c r="S39" i="84" s="1"/>
  <c r="S40" i="84" s="1"/>
  <c r="S41" i="84" s="1"/>
  <c r="S42" i="84" s="1"/>
  <c r="S43" i="84" s="1"/>
  <c r="S44" i="84" s="1"/>
  <c r="S45" i="84" s="1"/>
  <c r="S46" i="84" s="1"/>
  <c r="S47" i="84" s="1"/>
  <c r="S48" i="84" s="1"/>
  <c r="S49" i="84" s="1"/>
  <c r="S50" i="84" s="1"/>
  <c r="S51" i="84" s="1"/>
  <c r="S52" i="84" s="1"/>
  <c r="S53" i="84" s="1"/>
  <c r="S54" i="84" s="1"/>
  <c r="S55" i="84" s="1"/>
  <c r="S56" i="84" s="1"/>
  <c r="S57" i="84" s="1"/>
  <c r="S58" i="84" s="1"/>
  <c r="S59" i="84" s="1"/>
  <c r="S60" i="84" s="1"/>
  <c r="S61" i="84" s="1"/>
  <c r="AD7" i="84"/>
  <c r="V67" i="85"/>
  <c r="D30" i="85" s="1"/>
  <c r="F30" i="85" s="1"/>
  <c r="G30" i="85" s="1"/>
  <c r="T67" i="85"/>
  <c r="T69" i="85" s="1"/>
  <c r="T55" i="85" s="1"/>
  <c r="T73" i="85" s="1"/>
  <c r="R77" i="84"/>
  <c r="L78" i="84"/>
  <c r="T36" i="84"/>
  <c r="T54" i="84"/>
  <c r="S73" i="85"/>
  <c r="S56" i="85"/>
  <c r="S57" i="85" s="1"/>
  <c r="S58" i="85" s="1"/>
  <c r="S59" i="85" s="1"/>
  <c r="S60" i="85" s="1"/>
  <c r="S61" i="85" s="1"/>
  <c r="V67" i="72"/>
  <c r="R80" i="80"/>
  <c r="L81" i="80"/>
  <c r="V123" i="71"/>
  <c r="D98" i="71" s="1"/>
  <c r="F98" i="71" s="1"/>
  <c r="G98" i="71" s="1"/>
  <c r="V123" i="72"/>
  <c r="D98" i="72" s="1"/>
  <c r="F98" i="72" s="1"/>
  <c r="G98" i="72" s="1"/>
  <c r="M10" i="78"/>
  <c r="J11" i="78" s="1"/>
  <c r="K11" i="78" s="1"/>
  <c r="AE9" i="80"/>
  <c r="AD10" i="80"/>
  <c r="M80" i="80"/>
  <c r="J81" i="80" s="1"/>
  <c r="K81" i="80" s="1"/>
  <c r="R75" i="71"/>
  <c r="L76" i="71"/>
  <c r="F28" i="63"/>
  <c r="G28" i="63" s="1"/>
  <c r="F31" i="71"/>
  <c r="G31" i="71"/>
  <c r="S68" i="71"/>
  <c r="S7" i="71" s="1"/>
  <c r="AD7" i="71" s="1"/>
  <c r="AE7" i="71" s="1"/>
  <c r="M7" i="71"/>
  <c r="M75" i="71"/>
  <c r="J76" i="71" s="1"/>
  <c r="K76" i="71" s="1"/>
  <c r="K117" i="78"/>
  <c r="M117" i="78" s="1"/>
  <c r="J118" i="78" s="1"/>
  <c r="K118" i="78" s="1"/>
  <c r="M118" i="78" s="1"/>
  <c r="J119" i="78" s="1"/>
  <c r="K119" i="78" s="1"/>
  <c r="M119" i="78" s="1"/>
  <c r="J120" i="78" s="1"/>
  <c r="K120" i="78" s="1"/>
  <c r="M120" i="78" s="1"/>
  <c r="J121" i="78" s="1"/>
  <c r="K121" i="78" s="1"/>
  <c r="M121" i="78" s="1"/>
  <c r="J122" i="78" s="1"/>
  <c r="K122" i="78" s="1"/>
  <c r="M122" i="78" s="1"/>
  <c r="J123" i="78" s="1"/>
  <c r="K123" i="78" s="1"/>
  <c r="M123" i="78" s="1"/>
  <c r="J124" i="78" s="1"/>
  <c r="K124" i="78" s="1"/>
  <c r="M124" i="78" s="1"/>
  <c r="J125" i="78" s="1"/>
  <c r="K125" i="78" s="1"/>
  <c r="M125" i="78" s="1"/>
  <c r="J126" i="78" s="1"/>
  <c r="J8" i="72"/>
  <c r="K8" i="72" s="1"/>
  <c r="L8" i="72"/>
  <c r="R8" i="72" s="1"/>
  <c r="F33" i="71"/>
  <c r="G33" i="71"/>
  <c r="F32" i="72"/>
  <c r="G32" i="72"/>
  <c r="T68" i="72"/>
  <c r="S64" i="67"/>
  <c r="S63" i="67"/>
  <c r="S62" i="67"/>
  <c r="T68" i="71"/>
  <c r="G32" i="71"/>
  <c r="F32" i="71"/>
  <c r="AD10" i="78"/>
  <c r="AE9" i="78"/>
  <c r="R76" i="72"/>
  <c r="L77" i="72"/>
  <c r="S67" i="67"/>
  <c r="S69" i="67" s="1"/>
  <c r="G78" i="63"/>
  <c r="F78" i="63" s="1"/>
  <c r="F79" i="63" s="1"/>
  <c r="C75" i="63" s="1"/>
  <c r="V67" i="71"/>
  <c r="D30" i="71" s="1"/>
  <c r="F33" i="72"/>
  <c r="G33" i="72"/>
  <c r="S68" i="72"/>
  <c r="S7" i="72" s="1"/>
  <c r="AD7" i="72" s="1"/>
  <c r="AE7" i="72" s="1"/>
  <c r="G31" i="72"/>
  <c r="F31" i="72"/>
  <c r="R80" i="67"/>
  <c r="L81" i="67"/>
  <c r="M10" i="80" l="1"/>
  <c r="L11" i="80" s="1"/>
  <c r="R11" i="80" s="1"/>
  <c r="J9" i="85"/>
  <c r="K9" i="85" s="1"/>
  <c r="M9" i="85" s="1"/>
  <c r="AD9" i="67"/>
  <c r="AD10" i="67" s="1"/>
  <c r="J9" i="67"/>
  <c r="K9" i="67" s="1"/>
  <c r="M9" i="67" s="1"/>
  <c r="F30" i="71"/>
  <c r="G30" i="71" s="1"/>
  <c r="D30" i="72"/>
  <c r="F30" i="72" s="1"/>
  <c r="G30" i="72" s="1"/>
  <c r="S67" i="84"/>
  <c r="S69" i="84" s="1"/>
  <c r="L11" i="78"/>
  <c r="R11" i="78" s="1"/>
  <c r="AD9" i="85"/>
  <c r="AD10" i="85" s="1"/>
  <c r="L11" i="82"/>
  <c r="R11" i="82" s="1"/>
  <c r="M80" i="67"/>
  <c r="J81" i="67" s="1"/>
  <c r="K81" i="67" s="1"/>
  <c r="J9" i="84"/>
  <c r="L9" i="84"/>
  <c r="R9" i="84" s="1"/>
  <c r="AD11" i="82"/>
  <c r="AE10" i="82"/>
  <c r="S63" i="85"/>
  <c r="S62" i="85"/>
  <c r="S64" i="85"/>
  <c r="K89" i="85"/>
  <c r="M89" i="85" s="1"/>
  <c r="J90" i="85" s="1"/>
  <c r="K90" i="85" s="1"/>
  <c r="M90" i="85" s="1"/>
  <c r="J91" i="85" s="1"/>
  <c r="AD8" i="84"/>
  <c r="AE7" i="84"/>
  <c r="R78" i="84"/>
  <c r="L79" i="84"/>
  <c r="S64" i="84"/>
  <c r="S62" i="84"/>
  <c r="S63" i="84"/>
  <c r="T67" i="84"/>
  <c r="T69" i="84" s="1"/>
  <c r="T55" i="84" s="1"/>
  <c r="M78" i="84"/>
  <c r="J79" i="84" s="1"/>
  <c r="K79" i="84" s="1"/>
  <c r="M8" i="72"/>
  <c r="J9" i="72" s="1"/>
  <c r="K9" i="72" s="1"/>
  <c r="M81" i="80"/>
  <c r="J82" i="80" s="1"/>
  <c r="K82" i="80" s="1"/>
  <c r="AD11" i="80"/>
  <c r="AE10" i="80"/>
  <c r="L82" i="80"/>
  <c r="R81" i="80"/>
  <c r="J123" i="63"/>
  <c r="D95" i="63"/>
  <c r="F95" i="63" s="1"/>
  <c r="G95" i="63" s="1"/>
  <c r="J75" i="63"/>
  <c r="K75" i="63" s="1"/>
  <c r="L125" i="63"/>
  <c r="L75" i="63" s="1"/>
  <c r="D96" i="63"/>
  <c r="F96" i="63" s="1"/>
  <c r="G96" i="63" s="1"/>
  <c r="K126" i="78"/>
  <c r="K127" i="78" s="1"/>
  <c r="D101" i="78" s="1"/>
  <c r="J8" i="71"/>
  <c r="L8" i="71"/>
  <c r="R8" i="71" s="1"/>
  <c r="S8" i="71" s="1"/>
  <c r="Z31" i="63"/>
  <c r="AA31" i="63" s="1"/>
  <c r="AB31" i="63" s="1"/>
  <c r="V31" i="63" s="1"/>
  <c r="Z104" i="63"/>
  <c r="AA104" i="63" s="1"/>
  <c r="AB104" i="63" s="1"/>
  <c r="V104" i="63" s="1"/>
  <c r="Z23" i="63"/>
  <c r="AA23" i="63" s="1"/>
  <c r="AB23" i="63" s="1"/>
  <c r="V23" i="63" s="1"/>
  <c r="C89" i="63"/>
  <c r="E89" i="63" s="1"/>
  <c r="Z19" i="63"/>
  <c r="AA19" i="63" s="1"/>
  <c r="AB19" i="63" s="1"/>
  <c r="V19" i="63" s="1"/>
  <c r="Z30" i="63"/>
  <c r="AA30" i="63" s="1"/>
  <c r="AB30" i="63" s="1"/>
  <c r="V30" i="63" s="1"/>
  <c r="Z121" i="63"/>
  <c r="AA121" i="63" s="1"/>
  <c r="AB121" i="63" s="1"/>
  <c r="V121" i="63" s="1"/>
  <c r="C21" i="63"/>
  <c r="E21" i="63" s="1"/>
  <c r="Z35" i="63"/>
  <c r="AA35" i="63" s="1"/>
  <c r="AB35" i="63" s="1"/>
  <c r="V35" i="63" s="1"/>
  <c r="Z102" i="63"/>
  <c r="AA102" i="63" s="1"/>
  <c r="AB102" i="63" s="1"/>
  <c r="V102" i="63" s="1"/>
  <c r="Z37" i="63"/>
  <c r="AA37" i="63" s="1"/>
  <c r="AB37" i="63" s="1"/>
  <c r="V37" i="63" s="1"/>
  <c r="Z109" i="63"/>
  <c r="AA109" i="63" s="1"/>
  <c r="AB109" i="63" s="1"/>
  <c r="V109" i="63" s="1"/>
  <c r="C87" i="63"/>
  <c r="E87" i="63" s="1"/>
  <c r="Z28" i="63"/>
  <c r="AA28" i="63" s="1"/>
  <c r="AB28" i="63" s="1"/>
  <c r="V28" i="63" s="1"/>
  <c r="Z11" i="63"/>
  <c r="AA11" i="63" s="1"/>
  <c r="AB11" i="63" s="1"/>
  <c r="V11" i="63" s="1"/>
  <c r="Z65" i="63"/>
  <c r="AA65" i="63" s="1"/>
  <c r="AB65" i="63" s="1"/>
  <c r="V65" i="63" s="1"/>
  <c r="Z39" i="63"/>
  <c r="AA39" i="63" s="1"/>
  <c r="AB39" i="63" s="1"/>
  <c r="V39" i="63" s="1"/>
  <c r="Z103" i="63"/>
  <c r="AA103" i="63" s="1"/>
  <c r="AB103" i="63" s="1"/>
  <c r="V103" i="63" s="1"/>
  <c r="Z63" i="63"/>
  <c r="AA63" i="63" s="1"/>
  <c r="AB63" i="63" s="1"/>
  <c r="V63" i="63" s="1"/>
  <c r="Z21" i="63"/>
  <c r="AA21" i="63" s="1"/>
  <c r="AB21" i="63" s="1"/>
  <c r="V21" i="63" s="1"/>
  <c r="Z108" i="63"/>
  <c r="AA108" i="63" s="1"/>
  <c r="AB108" i="63" s="1"/>
  <c r="V108" i="63" s="1"/>
  <c r="Z56" i="63"/>
  <c r="AA56" i="63" s="1"/>
  <c r="AB56" i="63" s="1"/>
  <c r="V56" i="63" s="1"/>
  <c r="C20" i="63"/>
  <c r="E20" i="63" s="1"/>
  <c r="Z51" i="63"/>
  <c r="AA51" i="63" s="1"/>
  <c r="AB51" i="63" s="1"/>
  <c r="V51" i="63" s="1"/>
  <c r="Z101" i="63"/>
  <c r="AA101" i="63" s="1"/>
  <c r="AB101" i="63" s="1"/>
  <c r="V101" i="63" s="1"/>
  <c r="Z59" i="63"/>
  <c r="AA59" i="63" s="1"/>
  <c r="AB59" i="63" s="1"/>
  <c r="V59" i="63" s="1"/>
  <c r="Z41" i="63"/>
  <c r="AA41" i="63" s="1"/>
  <c r="AB41" i="63" s="1"/>
  <c r="V41" i="63" s="1"/>
  <c r="Z106" i="63"/>
  <c r="AA106" i="63" s="1"/>
  <c r="AB106" i="63" s="1"/>
  <c r="V106" i="63" s="1"/>
  <c r="Z34" i="63"/>
  <c r="AA34" i="63" s="1"/>
  <c r="AB34" i="63" s="1"/>
  <c r="V34" i="63" s="1"/>
  <c r="Z54" i="63"/>
  <c r="AA54" i="63" s="1"/>
  <c r="AB54" i="63" s="1"/>
  <c r="V54" i="63" s="1"/>
  <c r="Z78" i="63"/>
  <c r="AA78" i="63" s="1"/>
  <c r="AB78" i="63" s="1"/>
  <c r="V78" i="63" s="1"/>
  <c r="Z120" i="63"/>
  <c r="AA120" i="63" s="1"/>
  <c r="AB120" i="63" s="1"/>
  <c r="V120" i="63" s="1"/>
  <c r="Z36" i="63"/>
  <c r="AA36" i="63" s="1"/>
  <c r="AB36" i="63" s="1"/>
  <c r="V36" i="63" s="1"/>
  <c r="Z86" i="63"/>
  <c r="AA86" i="63" s="1"/>
  <c r="AB86" i="63" s="1"/>
  <c r="V86" i="63" s="1"/>
  <c r="Z12" i="63"/>
  <c r="AA12" i="63" s="1"/>
  <c r="AB12" i="63" s="1"/>
  <c r="V12" i="63" s="1"/>
  <c r="Z64" i="63"/>
  <c r="AA64" i="63" s="1"/>
  <c r="AB64" i="63" s="1"/>
  <c r="V64" i="63" s="1"/>
  <c r="Z22" i="63"/>
  <c r="AA22" i="63" s="1"/>
  <c r="AB22" i="63" s="1"/>
  <c r="V22" i="63" s="1"/>
  <c r="Z89" i="63"/>
  <c r="AA89" i="63" s="1"/>
  <c r="AB89" i="63" s="1"/>
  <c r="V89" i="63" s="1"/>
  <c r="Z26" i="63"/>
  <c r="AA26" i="63" s="1"/>
  <c r="AB26" i="63" s="1"/>
  <c r="V26" i="63" s="1"/>
  <c r="Z88" i="63"/>
  <c r="AA88" i="63" s="1"/>
  <c r="AB88" i="63" s="1"/>
  <c r="V88" i="63" s="1"/>
  <c r="Z66" i="63"/>
  <c r="AA66" i="63" s="1"/>
  <c r="AB66" i="63" s="1"/>
  <c r="V66" i="63" s="1"/>
  <c r="Z33" i="63"/>
  <c r="AA33" i="63" s="1"/>
  <c r="AB33" i="63" s="1"/>
  <c r="V33" i="63" s="1"/>
  <c r="C86" i="63"/>
  <c r="E86" i="63" s="1"/>
  <c r="Z118" i="63"/>
  <c r="AA118" i="63" s="1"/>
  <c r="AB118" i="63" s="1"/>
  <c r="V118" i="63" s="1"/>
  <c r="Z25" i="63"/>
  <c r="AA25" i="63" s="1"/>
  <c r="AB25" i="63" s="1"/>
  <c r="V25" i="63" s="1"/>
  <c r="C88" i="63"/>
  <c r="E88" i="63" s="1"/>
  <c r="Z53" i="63"/>
  <c r="AA53" i="63" s="1"/>
  <c r="AB53" i="63" s="1"/>
  <c r="V53" i="63" s="1"/>
  <c r="Z116" i="63"/>
  <c r="AA116" i="63" s="1"/>
  <c r="AB116" i="63" s="1"/>
  <c r="V116" i="63" s="1"/>
  <c r="Z76" i="63"/>
  <c r="AA76" i="63" s="1"/>
  <c r="AB76" i="63" s="1"/>
  <c r="V76" i="63" s="1"/>
  <c r="Z9" i="63"/>
  <c r="AA9" i="63" s="1"/>
  <c r="AB9" i="63" s="1"/>
  <c r="V9" i="63" s="1"/>
  <c r="Z62" i="63"/>
  <c r="AA62" i="63" s="1"/>
  <c r="AB62" i="63" s="1"/>
  <c r="V62" i="63" s="1"/>
  <c r="Z100" i="63"/>
  <c r="AA100" i="63" s="1"/>
  <c r="AB100" i="63" s="1"/>
  <c r="V100" i="63" s="1"/>
  <c r="Z7" i="63"/>
  <c r="AA7" i="63" s="1"/>
  <c r="AB7" i="63" s="1"/>
  <c r="V7" i="63" s="1"/>
  <c r="Z49" i="63"/>
  <c r="AA49" i="63" s="1"/>
  <c r="AB49" i="63" s="1"/>
  <c r="V49" i="63" s="1"/>
  <c r="Z114" i="63"/>
  <c r="AA114" i="63" s="1"/>
  <c r="AB114" i="63" s="1"/>
  <c r="V114" i="63" s="1"/>
  <c r="Z84" i="63"/>
  <c r="AA84" i="63" s="1"/>
  <c r="AB84" i="63" s="1"/>
  <c r="V84" i="63" s="1"/>
  <c r="Z80" i="63"/>
  <c r="AA80" i="63" s="1"/>
  <c r="AB80" i="63" s="1"/>
  <c r="V80" i="63" s="1"/>
  <c r="Z85" i="63"/>
  <c r="AA85" i="63" s="1"/>
  <c r="AB85" i="63" s="1"/>
  <c r="V85" i="63" s="1"/>
  <c r="Z81" i="63"/>
  <c r="AA81" i="63" s="1"/>
  <c r="AB81" i="63" s="1"/>
  <c r="V81" i="63" s="1"/>
  <c r="Z91" i="63"/>
  <c r="AA91" i="63" s="1"/>
  <c r="AB91" i="63" s="1"/>
  <c r="V91" i="63" s="1"/>
  <c r="Z57" i="63"/>
  <c r="AA57" i="63" s="1"/>
  <c r="AB57" i="63" s="1"/>
  <c r="V57" i="63" s="1"/>
  <c r="Z20" i="63"/>
  <c r="AA20" i="63" s="1"/>
  <c r="AB20" i="63" s="1"/>
  <c r="V20" i="63" s="1"/>
  <c r="Z50" i="63"/>
  <c r="AA50" i="63" s="1"/>
  <c r="AB50" i="63" s="1"/>
  <c r="V50" i="63" s="1"/>
  <c r="Z113" i="63"/>
  <c r="AA113" i="63" s="1"/>
  <c r="AB113" i="63" s="1"/>
  <c r="V113" i="63" s="1"/>
  <c r="C22" i="63"/>
  <c r="E22" i="63" s="1"/>
  <c r="Z77" i="63"/>
  <c r="AA77" i="63" s="1"/>
  <c r="AB77" i="63" s="1"/>
  <c r="V77" i="63" s="1"/>
  <c r="Z18" i="63"/>
  <c r="AA18" i="63" s="1"/>
  <c r="AB18" i="63" s="1"/>
  <c r="V18" i="63" s="1"/>
  <c r="C18" i="63"/>
  <c r="E18" i="63" s="1"/>
  <c r="Z40" i="63"/>
  <c r="AA40" i="63" s="1"/>
  <c r="AB40" i="63" s="1"/>
  <c r="V40" i="63" s="1"/>
  <c r="Z115" i="63"/>
  <c r="AA115" i="63" s="1"/>
  <c r="AB115" i="63" s="1"/>
  <c r="V115" i="63" s="1"/>
  <c r="Z82" i="63"/>
  <c r="AA82" i="63" s="1"/>
  <c r="AB82" i="63" s="1"/>
  <c r="V82" i="63" s="1"/>
  <c r="Z46" i="63"/>
  <c r="AA46" i="63" s="1"/>
  <c r="AB46" i="63" s="1"/>
  <c r="V46" i="63" s="1"/>
  <c r="Z111" i="63"/>
  <c r="AA111" i="63" s="1"/>
  <c r="AB111" i="63" s="1"/>
  <c r="V111" i="63" s="1"/>
  <c r="Z47" i="63"/>
  <c r="AA47" i="63" s="1"/>
  <c r="AB47" i="63" s="1"/>
  <c r="V47" i="63" s="1"/>
  <c r="Z15" i="63"/>
  <c r="AA15" i="63" s="1"/>
  <c r="AB15" i="63" s="1"/>
  <c r="V15" i="63" s="1"/>
  <c r="Z92" i="63"/>
  <c r="AA92" i="63" s="1"/>
  <c r="AB92" i="63" s="1"/>
  <c r="V92" i="63" s="1"/>
  <c r="Z55" i="63"/>
  <c r="AA55" i="63" s="1"/>
  <c r="AB55" i="63" s="1"/>
  <c r="V55" i="63" s="1"/>
  <c r="Z44" i="63"/>
  <c r="AA44" i="63" s="1"/>
  <c r="AB44" i="63" s="1"/>
  <c r="V44" i="63" s="1"/>
  <c r="Z99" i="63"/>
  <c r="AA99" i="63" s="1"/>
  <c r="AB99" i="63" s="1"/>
  <c r="V99" i="63" s="1"/>
  <c r="Z10" i="63"/>
  <c r="AA10" i="63" s="1"/>
  <c r="AB10" i="63" s="1"/>
  <c r="V10" i="63" s="1"/>
  <c r="Z93" i="63"/>
  <c r="AA93" i="63" s="1"/>
  <c r="AB93" i="63" s="1"/>
  <c r="V93" i="63" s="1"/>
  <c r="Z45" i="63"/>
  <c r="AA45" i="63" s="1"/>
  <c r="AB45" i="63" s="1"/>
  <c r="V45" i="63" s="1"/>
  <c r="Z14" i="63"/>
  <c r="AA14" i="63" s="1"/>
  <c r="AB14" i="63" s="1"/>
  <c r="V14" i="63" s="1"/>
  <c r="Z98" i="63"/>
  <c r="AA98" i="63" s="1"/>
  <c r="AB98" i="63" s="1"/>
  <c r="V98" i="63" s="1"/>
  <c r="Z38" i="63"/>
  <c r="AA38" i="63" s="1"/>
  <c r="AB38" i="63" s="1"/>
  <c r="V38" i="63" s="1"/>
  <c r="Z110" i="63"/>
  <c r="AA110" i="63" s="1"/>
  <c r="AB110" i="63" s="1"/>
  <c r="V110" i="63" s="1"/>
  <c r="Z87" i="63"/>
  <c r="AA87" i="63" s="1"/>
  <c r="AB87" i="63" s="1"/>
  <c r="V87" i="63" s="1"/>
  <c r="C19" i="63"/>
  <c r="E19" i="63" s="1"/>
  <c r="Z75" i="63"/>
  <c r="AA75" i="63" s="1"/>
  <c r="AB75" i="63" s="1"/>
  <c r="V75" i="63" s="1"/>
  <c r="F27" i="63"/>
  <c r="G27" i="63" s="1"/>
  <c r="Z96" i="63"/>
  <c r="AA96" i="63" s="1"/>
  <c r="AB96" i="63" s="1"/>
  <c r="V96" i="63" s="1"/>
  <c r="Z16" i="63"/>
  <c r="AA16" i="63" s="1"/>
  <c r="AB16" i="63" s="1"/>
  <c r="V16" i="63" s="1"/>
  <c r="Z60" i="63"/>
  <c r="AA60" i="63" s="1"/>
  <c r="AB60" i="63" s="1"/>
  <c r="V60" i="63" s="1"/>
  <c r="Z24" i="63"/>
  <c r="AA24" i="63" s="1"/>
  <c r="AB24" i="63" s="1"/>
  <c r="V24" i="63" s="1"/>
  <c r="Z48" i="63"/>
  <c r="AA48" i="63" s="1"/>
  <c r="AB48" i="63" s="1"/>
  <c r="V48" i="63" s="1"/>
  <c r="Z122" i="63"/>
  <c r="AA122" i="63" s="1"/>
  <c r="AB122" i="63" s="1"/>
  <c r="V122" i="63" s="1"/>
  <c r="Z8" i="63"/>
  <c r="AA8" i="63" s="1"/>
  <c r="AB8" i="63" s="1"/>
  <c r="V8" i="63" s="1"/>
  <c r="Z17" i="63"/>
  <c r="AA17" i="63" s="1"/>
  <c r="AB17" i="63" s="1"/>
  <c r="V17" i="63" s="1"/>
  <c r="Z61" i="63"/>
  <c r="AA61" i="63" s="1"/>
  <c r="AB61" i="63" s="1"/>
  <c r="V61" i="63" s="1"/>
  <c r="Z42" i="63"/>
  <c r="AA42" i="63" s="1"/>
  <c r="AB42" i="63" s="1"/>
  <c r="V42" i="63" s="1"/>
  <c r="Z90" i="63"/>
  <c r="AA90" i="63" s="1"/>
  <c r="AB90" i="63" s="1"/>
  <c r="V90" i="63" s="1"/>
  <c r="Z107" i="63"/>
  <c r="AA107" i="63" s="1"/>
  <c r="AB107" i="63" s="1"/>
  <c r="V107" i="63" s="1"/>
  <c r="Z58" i="63"/>
  <c r="AA58" i="63" s="1"/>
  <c r="AB58" i="63" s="1"/>
  <c r="V58" i="63" s="1"/>
  <c r="Z95" i="63"/>
  <c r="AA95" i="63" s="1"/>
  <c r="AB95" i="63" s="1"/>
  <c r="V95" i="63" s="1"/>
  <c r="Z52" i="63"/>
  <c r="AA52" i="63" s="1"/>
  <c r="AB52" i="63" s="1"/>
  <c r="V52" i="63" s="1"/>
  <c r="Z105" i="63"/>
  <c r="AA105" i="63" s="1"/>
  <c r="AB105" i="63" s="1"/>
  <c r="V105" i="63" s="1"/>
  <c r="C90" i="63"/>
  <c r="E90" i="63" s="1"/>
  <c r="Z29" i="63"/>
  <c r="AA29" i="63" s="1"/>
  <c r="AB29" i="63" s="1"/>
  <c r="V29" i="63" s="1"/>
  <c r="Z119" i="63"/>
  <c r="AA119" i="63" s="1"/>
  <c r="AB119" i="63" s="1"/>
  <c r="V119" i="63" s="1"/>
  <c r="Z79" i="63"/>
  <c r="AA79" i="63" s="1"/>
  <c r="AB79" i="63" s="1"/>
  <c r="V79" i="63" s="1"/>
  <c r="Z27" i="63"/>
  <c r="AA27" i="63" s="1"/>
  <c r="AB27" i="63" s="1"/>
  <c r="V27" i="63" s="1"/>
  <c r="Z112" i="63"/>
  <c r="AA112" i="63" s="1"/>
  <c r="AB112" i="63" s="1"/>
  <c r="V112" i="63" s="1"/>
  <c r="Z13" i="63"/>
  <c r="AA13" i="63" s="1"/>
  <c r="AB13" i="63" s="1"/>
  <c r="V13" i="63" s="1"/>
  <c r="Z97" i="63"/>
  <c r="AA97" i="63" s="1"/>
  <c r="AB97" i="63" s="1"/>
  <c r="V97" i="63" s="1"/>
  <c r="Z83" i="63"/>
  <c r="AA83" i="63" s="1"/>
  <c r="AB83" i="63" s="1"/>
  <c r="V83" i="63" s="1"/>
  <c r="Z43" i="63"/>
  <c r="AA43" i="63" s="1"/>
  <c r="AB43" i="63" s="1"/>
  <c r="V43" i="63" s="1"/>
  <c r="Z94" i="63"/>
  <c r="AA94" i="63" s="1"/>
  <c r="AB94" i="63" s="1"/>
  <c r="V94" i="63" s="1"/>
  <c r="Z32" i="63"/>
  <c r="AA32" i="63" s="1"/>
  <c r="AB32" i="63" s="1"/>
  <c r="V32" i="63" s="1"/>
  <c r="Z117" i="63"/>
  <c r="AA117" i="63" s="1"/>
  <c r="AB117" i="63" s="1"/>
  <c r="V117" i="63" s="1"/>
  <c r="L77" i="71"/>
  <c r="R76" i="71"/>
  <c r="R77" i="72"/>
  <c r="L78" i="72"/>
  <c r="T54" i="71"/>
  <c r="T36" i="71"/>
  <c r="T36" i="72"/>
  <c r="T54" i="72"/>
  <c r="M77" i="72"/>
  <c r="J78" i="72" s="1"/>
  <c r="AD11" i="78"/>
  <c r="AE10" i="78"/>
  <c r="J7" i="63"/>
  <c r="L69" i="63"/>
  <c r="L7" i="63" s="1"/>
  <c r="R7" i="63" s="1"/>
  <c r="J67" i="63"/>
  <c r="S66" i="67"/>
  <c r="S65" i="67"/>
  <c r="S8" i="72"/>
  <c r="M76" i="71"/>
  <c r="J77" i="71" s="1"/>
  <c r="K77" i="71" s="1"/>
  <c r="L82" i="67"/>
  <c r="R81" i="67"/>
  <c r="J11" i="80" l="1"/>
  <c r="K11" i="80" s="1"/>
  <c r="AE9" i="67"/>
  <c r="L9" i="72"/>
  <c r="R9" i="72" s="1"/>
  <c r="M11" i="78"/>
  <c r="J12" i="78" s="1"/>
  <c r="K12" i="78" s="1"/>
  <c r="M81" i="67"/>
  <c r="J82" i="67" s="1"/>
  <c r="K82" i="67" s="1"/>
  <c r="AE9" i="85"/>
  <c r="M11" i="82"/>
  <c r="L12" i="82" s="1"/>
  <c r="R12" i="82" s="1"/>
  <c r="M126" i="78"/>
  <c r="AE11" i="82"/>
  <c r="AD12" i="82"/>
  <c r="K9" i="84"/>
  <c r="M9" i="84" s="1"/>
  <c r="J10" i="85"/>
  <c r="K10" i="85" s="1"/>
  <c r="L10" i="85"/>
  <c r="R10" i="85" s="1"/>
  <c r="AD11" i="85"/>
  <c r="AE10" i="85"/>
  <c r="L80" i="84"/>
  <c r="R79" i="84"/>
  <c r="K91" i="85"/>
  <c r="M91" i="85" s="1"/>
  <c r="J92" i="85" s="1"/>
  <c r="K92" i="85" s="1"/>
  <c r="M92" i="85" s="1"/>
  <c r="J93" i="85" s="1"/>
  <c r="K93" i="85" s="1"/>
  <c r="M93" i="85" s="1"/>
  <c r="J94" i="85" s="1"/>
  <c r="K94" i="85" s="1"/>
  <c r="M94" i="85" s="1"/>
  <c r="J95" i="85" s="1"/>
  <c r="K95" i="85" s="1"/>
  <c r="M95" i="85" s="1"/>
  <c r="J96" i="85" s="1"/>
  <c r="K96" i="85" s="1"/>
  <c r="M96" i="85" s="1"/>
  <c r="J97" i="85" s="1"/>
  <c r="K97" i="85" s="1"/>
  <c r="M97" i="85" s="1"/>
  <c r="J98" i="85" s="1"/>
  <c r="K98" i="85" s="1"/>
  <c r="M98" i="85" s="1"/>
  <c r="J99" i="85" s="1"/>
  <c r="K99" i="85" s="1"/>
  <c r="M99" i="85" s="1"/>
  <c r="J100" i="85" s="1"/>
  <c r="K100" i="85" s="1"/>
  <c r="M100" i="85" s="1"/>
  <c r="J101" i="85" s="1"/>
  <c r="K101" i="85" s="1"/>
  <c r="M101" i="85" s="1"/>
  <c r="J102" i="85" s="1"/>
  <c r="K102" i="85" s="1"/>
  <c r="M102" i="85" s="1"/>
  <c r="J103" i="85" s="1"/>
  <c r="K103" i="85" s="1"/>
  <c r="M103" i="85" s="1"/>
  <c r="J104" i="85" s="1"/>
  <c r="K104" i="85" s="1"/>
  <c r="M104" i="85" s="1"/>
  <c r="J105" i="85" s="1"/>
  <c r="K105" i="85" s="1"/>
  <c r="M105" i="85" s="1"/>
  <c r="J106" i="85" s="1"/>
  <c r="K106" i="85" s="1"/>
  <c r="M106" i="85" s="1"/>
  <c r="J107" i="85" s="1"/>
  <c r="K107" i="85" s="1"/>
  <c r="M107" i="85" s="1"/>
  <c r="J108" i="85" s="1"/>
  <c r="K108" i="85" s="1"/>
  <c r="M108" i="85" s="1"/>
  <c r="J109" i="85" s="1"/>
  <c r="K109" i="85" s="1"/>
  <c r="M109" i="85" s="1"/>
  <c r="J110" i="85" s="1"/>
  <c r="K110" i="85" s="1"/>
  <c r="M110" i="85" s="1"/>
  <c r="J111" i="85" s="1"/>
  <c r="K111" i="85" s="1"/>
  <c r="M111" i="85" s="1"/>
  <c r="J112" i="85" s="1"/>
  <c r="K112" i="85" s="1"/>
  <c r="M112" i="85" s="1"/>
  <c r="J113" i="85" s="1"/>
  <c r="M79" i="84"/>
  <c r="J80" i="84" s="1"/>
  <c r="K80" i="84" s="1"/>
  <c r="S66" i="85"/>
  <c r="S65" i="85"/>
  <c r="AD9" i="84"/>
  <c r="AE8" i="84"/>
  <c r="S66" i="84"/>
  <c r="S65" i="84"/>
  <c r="M82" i="80"/>
  <c r="J83" i="80" s="1"/>
  <c r="K83" i="80" s="1"/>
  <c r="T67" i="71"/>
  <c r="T69" i="71" s="1"/>
  <c r="T55" i="71" s="1"/>
  <c r="V123" i="63"/>
  <c r="D98" i="63" s="1"/>
  <c r="F98" i="63" s="1"/>
  <c r="G98" i="63" s="1"/>
  <c r="M75" i="63"/>
  <c r="J76" i="63" s="1"/>
  <c r="K76" i="63" s="1"/>
  <c r="L10" i="67"/>
  <c r="R10" i="67" s="1"/>
  <c r="J10" i="67"/>
  <c r="T67" i="72"/>
  <c r="T69" i="72" s="1"/>
  <c r="T55" i="72" s="1"/>
  <c r="AE11" i="80"/>
  <c r="AD12" i="80"/>
  <c r="R82" i="80"/>
  <c r="L83" i="80"/>
  <c r="V67" i="63"/>
  <c r="G33" i="63"/>
  <c r="F33" i="63"/>
  <c r="K8" i="71"/>
  <c r="M8" i="71" s="1"/>
  <c r="K78" i="72"/>
  <c r="M78" i="72" s="1"/>
  <c r="J79" i="72" s="1"/>
  <c r="R78" i="72"/>
  <c r="L79" i="72"/>
  <c r="M77" i="71"/>
  <c r="J78" i="71" s="1"/>
  <c r="K78" i="71" s="1"/>
  <c r="K7" i="63"/>
  <c r="M7" i="63" s="1"/>
  <c r="AD11" i="67"/>
  <c r="AE10" i="67"/>
  <c r="S68" i="63"/>
  <c r="S7" i="63" s="1"/>
  <c r="AD7" i="63" s="1"/>
  <c r="AE7" i="63" s="1"/>
  <c r="F31" i="63"/>
  <c r="G31" i="63"/>
  <c r="F101" i="78"/>
  <c r="F106" i="78" s="1"/>
  <c r="F108" i="78" s="1"/>
  <c r="AD12" i="78"/>
  <c r="AE11" i="78"/>
  <c r="L78" i="71"/>
  <c r="R77" i="71"/>
  <c r="S9" i="72"/>
  <c r="S10" i="72" s="1"/>
  <c r="S11" i="72" s="1"/>
  <c r="S12" i="72" s="1"/>
  <c r="S13" i="72" s="1"/>
  <c r="S14" i="72" s="1"/>
  <c r="S15" i="72" s="1"/>
  <c r="S16" i="72" s="1"/>
  <c r="S17" i="72" s="1"/>
  <c r="S18" i="72" s="1"/>
  <c r="S19" i="72" s="1"/>
  <c r="S20" i="72" s="1"/>
  <c r="S21" i="72" s="1"/>
  <c r="S22" i="72" s="1"/>
  <c r="S23" i="72" s="1"/>
  <c r="S24" i="72" s="1"/>
  <c r="S25" i="72" s="1"/>
  <c r="S26" i="72" s="1"/>
  <c r="S27" i="72" s="1"/>
  <c r="S28" i="72" s="1"/>
  <c r="S29" i="72" s="1"/>
  <c r="S30" i="72" s="1"/>
  <c r="S31" i="72" s="1"/>
  <c r="S32" i="72" s="1"/>
  <c r="S33" i="72" s="1"/>
  <c r="S34" i="72" s="1"/>
  <c r="S35" i="72" s="1"/>
  <c r="S36" i="72" s="1"/>
  <c r="S37" i="72" s="1"/>
  <c r="S38" i="72" s="1"/>
  <c r="S39" i="72" s="1"/>
  <c r="S40" i="72" s="1"/>
  <c r="S41" i="72" s="1"/>
  <c r="S42" i="72" s="1"/>
  <c r="S43" i="72" s="1"/>
  <c r="S44" i="72" s="1"/>
  <c r="S45" i="72" s="1"/>
  <c r="S46" i="72" s="1"/>
  <c r="S47" i="72" s="1"/>
  <c r="S48" i="72" s="1"/>
  <c r="S49" i="72" s="1"/>
  <c r="S50" i="72" s="1"/>
  <c r="S51" i="72" s="1"/>
  <c r="S52" i="72" s="1"/>
  <c r="S53" i="72" s="1"/>
  <c r="S54" i="72" s="1"/>
  <c r="S55" i="72" s="1"/>
  <c r="S56" i="72" s="1"/>
  <c r="S57" i="72" s="1"/>
  <c r="S58" i="72" s="1"/>
  <c r="S59" i="72" s="1"/>
  <c r="S60" i="72" s="1"/>
  <c r="S61" i="72" s="1"/>
  <c r="AD8" i="72"/>
  <c r="F32" i="63"/>
  <c r="T68" i="63"/>
  <c r="G32" i="63"/>
  <c r="S9" i="71"/>
  <c r="S10" i="71" s="1"/>
  <c r="S11" i="71" s="1"/>
  <c r="S12" i="71" s="1"/>
  <c r="S13" i="71" s="1"/>
  <c r="S14" i="71" s="1"/>
  <c r="S15" i="71" s="1"/>
  <c r="S16" i="71" s="1"/>
  <c r="S17" i="71" s="1"/>
  <c r="S18" i="71" s="1"/>
  <c r="S19" i="71" s="1"/>
  <c r="S20" i="71" s="1"/>
  <c r="S21" i="71" s="1"/>
  <c r="S22" i="71" s="1"/>
  <c r="S23" i="71" s="1"/>
  <c r="S24" i="71" s="1"/>
  <c r="S25" i="71" s="1"/>
  <c r="S26" i="71" s="1"/>
  <c r="S27" i="71" s="1"/>
  <c r="S28" i="71" s="1"/>
  <c r="S29" i="71" s="1"/>
  <c r="S30" i="71" s="1"/>
  <c r="S31" i="71" s="1"/>
  <c r="S32" i="71" s="1"/>
  <c r="S33" i="71" s="1"/>
  <c r="S34" i="71" s="1"/>
  <c r="S35" i="71" s="1"/>
  <c r="S36" i="71" s="1"/>
  <c r="S37" i="71" s="1"/>
  <c r="S38" i="71" s="1"/>
  <c r="S39" i="71" s="1"/>
  <c r="S40" i="71" s="1"/>
  <c r="S41" i="71" s="1"/>
  <c r="S42" i="71" s="1"/>
  <c r="S43" i="71" s="1"/>
  <c r="S44" i="71" s="1"/>
  <c r="S45" i="71" s="1"/>
  <c r="S46" i="71" s="1"/>
  <c r="S47" i="71" s="1"/>
  <c r="S48" i="71" s="1"/>
  <c r="S49" i="71" s="1"/>
  <c r="S50" i="71" s="1"/>
  <c r="S51" i="71" s="1"/>
  <c r="S52" i="71" s="1"/>
  <c r="S53" i="71" s="1"/>
  <c r="S54" i="71" s="1"/>
  <c r="S55" i="71" s="1"/>
  <c r="S56" i="71" s="1"/>
  <c r="S57" i="71" s="1"/>
  <c r="S58" i="71" s="1"/>
  <c r="S59" i="71" s="1"/>
  <c r="S60" i="71" s="1"/>
  <c r="S61" i="71" s="1"/>
  <c r="AD8" i="71"/>
  <c r="L76" i="63"/>
  <c r="R75" i="63"/>
  <c r="R82" i="67"/>
  <c r="L83" i="67"/>
  <c r="M11" i="80" l="1"/>
  <c r="J12" i="80" s="1"/>
  <c r="K12" i="80" s="1"/>
  <c r="D30" i="63"/>
  <c r="F30" i="63" s="1"/>
  <c r="G30" i="63" s="1"/>
  <c r="M9" i="72"/>
  <c r="M82" i="67"/>
  <c r="J83" i="67" s="1"/>
  <c r="K83" i="67" s="1"/>
  <c r="L12" i="78"/>
  <c r="R12" i="78" s="1"/>
  <c r="M80" i="84"/>
  <c r="J81" i="84" s="1"/>
  <c r="K81" i="84" s="1"/>
  <c r="J12" i="82"/>
  <c r="K12" i="82" s="1"/>
  <c r="M10" i="85"/>
  <c r="L11" i="85" s="1"/>
  <c r="R11" i="85" s="1"/>
  <c r="AD13" i="82"/>
  <c r="AE12" i="82"/>
  <c r="L10" i="84"/>
  <c r="R10" i="84" s="1"/>
  <c r="J10" i="84"/>
  <c r="K10" i="84" s="1"/>
  <c r="AD10" i="84"/>
  <c r="AE9" i="84"/>
  <c r="K113" i="85"/>
  <c r="M113" i="85" s="1"/>
  <c r="J114" i="85" s="1"/>
  <c r="K114" i="85" s="1"/>
  <c r="M114" i="85" s="1"/>
  <c r="J115" i="85" s="1"/>
  <c r="K115" i="85" s="1"/>
  <c r="M115" i="85" s="1"/>
  <c r="J116" i="85" s="1"/>
  <c r="AE11" i="85"/>
  <c r="AD12" i="85"/>
  <c r="R80" i="84"/>
  <c r="L81" i="84"/>
  <c r="S67" i="72"/>
  <c r="S69" i="72" s="1"/>
  <c r="M78" i="71"/>
  <c r="J79" i="71" s="1"/>
  <c r="K79" i="71" s="1"/>
  <c r="M83" i="80"/>
  <c r="J84" i="80" s="1"/>
  <c r="K84" i="80" s="1"/>
  <c r="G101" i="78"/>
  <c r="G106" i="78" s="1"/>
  <c r="G108" i="78" s="1"/>
  <c r="G107" i="78" s="1"/>
  <c r="S67" i="71"/>
  <c r="S69" i="71" s="1"/>
  <c r="K10" i="67"/>
  <c r="M10" i="67" s="1"/>
  <c r="R83" i="80"/>
  <c r="L84" i="80"/>
  <c r="AD13" i="80"/>
  <c r="AE12" i="80"/>
  <c r="J8" i="63"/>
  <c r="L8" i="63"/>
  <c r="R8" i="63" s="1"/>
  <c r="S8" i="63" s="1"/>
  <c r="K79" i="72"/>
  <c r="M79" i="72" s="1"/>
  <c r="J80" i="72" s="1"/>
  <c r="L9" i="71"/>
  <c r="R9" i="71" s="1"/>
  <c r="J9" i="71"/>
  <c r="S62" i="71"/>
  <c r="S64" i="71"/>
  <c r="S63" i="71"/>
  <c r="AE12" i="78"/>
  <c r="AD13" i="78"/>
  <c r="L77" i="63"/>
  <c r="R76" i="63"/>
  <c r="AE8" i="72"/>
  <c r="AD9" i="72"/>
  <c r="AD9" i="71"/>
  <c r="AE8" i="71"/>
  <c r="T36" i="63"/>
  <c r="T54" i="63"/>
  <c r="S64" i="72"/>
  <c r="S62" i="72"/>
  <c r="S63" i="72"/>
  <c r="R78" i="71"/>
  <c r="L79" i="71"/>
  <c r="F107" i="78"/>
  <c r="F114" i="78"/>
  <c r="AD12" i="67"/>
  <c r="AE11" i="67"/>
  <c r="L80" i="72"/>
  <c r="R79" i="72"/>
  <c r="M76" i="63"/>
  <c r="J77" i="63" s="1"/>
  <c r="L84" i="67"/>
  <c r="R83" i="67"/>
  <c r="L12" i="80" l="1"/>
  <c r="R12" i="80" s="1"/>
  <c r="M12" i="78"/>
  <c r="L13" i="78" s="1"/>
  <c r="R13" i="78" s="1"/>
  <c r="L10" i="72"/>
  <c r="R10" i="72" s="1"/>
  <c r="J10" i="72"/>
  <c r="K10" i="72" s="1"/>
  <c r="J11" i="85"/>
  <c r="K11" i="85" s="1"/>
  <c r="M83" i="67"/>
  <c r="J84" i="67" s="1"/>
  <c r="K84" i="67" s="1"/>
  <c r="M12" i="82"/>
  <c r="L13" i="82" s="1"/>
  <c r="R13" i="82" s="1"/>
  <c r="G114" i="78"/>
  <c r="M10" i="84"/>
  <c r="J11" i="84" s="1"/>
  <c r="K11" i="84" s="1"/>
  <c r="AE13" i="82"/>
  <c r="AD14" i="82"/>
  <c r="R81" i="84"/>
  <c r="M81" i="84"/>
  <c r="J82" i="84" s="1"/>
  <c r="L82" i="84"/>
  <c r="K116" i="85"/>
  <c r="M116" i="85" s="1"/>
  <c r="J117" i="85" s="1"/>
  <c r="K117" i="85" s="1"/>
  <c r="M117" i="85" s="1"/>
  <c r="J118" i="85" s="1"/>
  <c r="K118" i="85" s="1"/>
  <c r="M118" i="85" s="1"/>
  <c r="J119" i="85" s="1"/>
  <c r="K119" i="85" s="1"/>
  <c r="M119" i="85" s="1"/>
  <c r="J120" i="85" s="1"/>
  <c r="K120" i="85" s="1"/>
  <c r="M120" i="85" s="1"/>
  <c r="J121" i="85" s="1"/>
  <c r="K121" i="85" s="1"/>
  <c r="M121" i="85" s="1"/>
  <c r="J122" i="85" s="1"/>
  <c r="K122" i="85" s="1"/>
  <c r="M122" i="85" s="1"/>
  <c r="J123" i="85" s="1"/>
  <c r="K123" i="85" s="1"/>
  <c r="M123" i="85" s="1"/>
  <c r="J124" i="85" s="1"/>
  <c r="K124" i="85" s="1"/>
  <c r="M124" i="85" s="1"/>
  <c r="J125" i="85" s="1"/>
  <c r="K125" i="85" s="1"/>
  <c r="M125" i="85" s="1"/>
  <c r="J126" i="85" s="1"/>
  <c r="AD13" i="85"/>
  <c r="AE12" i="85"/>
  <c r="AE10" i="84"/>
  <c r="AD11" i="84"/>
  <c r="G115" i="78"/>
  <c r="AD14" i="80"/>
  <c r="AE13" i="80"/>
  <c r="L11" i="67"/>
  <c r="R11" i="67" s="1"/>
  <c r="J11" i="67"/>
  <c r="L85" i="80"/>
  <c r="R84" i="80"/>
  <c r="M84" i="80"/>
  <c r="J85" i="80" s="1"/>
  <c r="K85" i="80" s="1"/>
  <c r="AE9" i="72"/>
  <c r="AD10" i="72"/>
  <c r="AD13" i="67"/>
  <c r="AE12" i="67"/>
  <c r="K9" i="71"/>
  <c r="M9" i="71" s="1"/>
  <c r="K77" i="63"/>
  <c r="M77" i="63" s="1"/>
  <c r="J78" i="63" s="1"/>
  <c r="S65" i="72"/>
  <c r="S66" i="72"/>
  <c r="S65" i="71"/>
  <c r="S66" i="71"/>
  <c r="S9" i="63"/>
  <c r="S10" i="63" s="1"/>
  <c r="S11" i="63" s="1"/>
  <c r="S12" i="63" s="1"/>
  <c r="S13" i="63" s="1"/>
  <c r="S14" i="63" s="1"/>
  <c r="S15" i="63" s="1"/>
  <c r="S16" i="63" s="1"/>
  <c r="S17" i="63" s="1"/>
  <c r="S18" i="63" s="1"/>
  <c r="S19" i="63" s="1"/>
  <c r="S20" i="63" s="1"/>
  <c r="S21" i="63" s="1"/>
  <c r="S22" i="63" s="1"/>
  <c r="S23" i="63" s="1"/>
  <c r="S24" i="63" s="1"/>
  <c r="S25" i="63" s="1"/>
  <c r="S26" i="63" s="1"/>
  <c r="S27" i="63" s="1"/>
  <c r="S28" i="63" s="1"/>
  <c r="S29" i="63" s="1"/>
  <c r="S30" i="63" s="1"/>
  <c r="S31" i="63" s="1"/>
  <c r="S32" i="63" s="1"/>
  <c r="S33" i="63" s="1"/>
  <c r="S34" i="63" s="1"/>
  <c r="S35" i="63" s="1"/>
  <c r="S36" i="63" s="1"/>
  <c r="S37" i="63" s="1"/>
  <c r="S38" i="63" s="1"/>
  <c r="S39" i="63" s="1"/>
  <c r="S40" i="63" s="1"/>
  <c r="S41" i="63" s="1"/>
  <c r="S42" i="63" s="1"/>
  <c r="S43" i="63" s="1"/>
  <c r="S44" i="63" s="1"/>
  <c r="S45" i="63" s="1"/>
  <c r="S46" i="63" s="1"/>
  <c r="S47" i="63" s="1"/>
  <c r="S48" i="63" s="1"/>
  <c r="S49" i="63" s="1"/>
  <c r="S50" i="63" s="1"/>
  <c r="S51" i="63" s="1"/>
  <c r="S52" i="63" s="1"/>
  <c r="S53" i="63" s="1"/>
  <c r="S54" i="63" s="1"/>
  <c r="S55" i="63" s="1"/>
  <c r="S56" i="63" s="1"/>
  <c r="S57" i="63" s="1"/>
  <c r="S58" i="63" s="1"/>
  <c r="S59" i="63" s="1"/>
  <c r="S60" i="63" s="1"/>
  <c r="S61" i="63" s="1"/>
  <c r="AD8" i="63"/>
  <c r="AE13" i="78"/>
  <c r="AD14" i="78"/>
  <c r="K80" i="72"/>
  <c r="M80" i="72" s="1"/>
  <c r="J81" i="72" s="1"/>
  <c r="K81" i="72" s="1"/>
  <c r="T67" i="63"/>
  <c r="T69" i="63" s="1"/>
  <c r="T55" i="63" s="1"/>
  <c r="R80" i="72"/>
  <c r="L81" i="72"/>
  <c r="R79" i="71"/>
  <c r="L80" i="71"/>
  <c r="M79" i="71"/>
  <c r="J80" i="71" s="1"/>
  <c r="K80" i="71" s="1"/>
  <c r="AD10" i="71"/>
  <c r="AE9" i="71"/>
  <c r="R77" i="63"/>
  <c r="L78" i="63"/>
  <c r="K8" i="63"/>
  <c r="M8" i="63" s="1"/>
  <c r="L85" i="67"/>
  <c r="R84" i="67"/>
  <c r="M12" i="80" l="1"/>
  <c r="J13" i="78"/>
  <c r="K13" i="78" s="1"/>
  <c r="M85" i="80"/>
  <c r="J86" i="80" s="1"/>
  <c r="K86" i="80" s="1"/>
  <c r="J13" i="82"/>
  <c r="K13" i="82" s="1"/>
  <c r="M10" i="72"/>
  <c r="L11" i="84"/>
  <c r="R11" i="84" s="1"/>
  <c r="M84" i="67"/>
  <c r="J85" i="67" s="1"/>
  <c r="K85" i="67" s="1"/>
  <c r="M11" i="85"/>
  <c r="L12" i="85" s="1"/>
  <c r="R12" i="85" s="1"/>
  <c r="AE14" i="82"/>
  <c r="AD15" i="82"/>
  <c r="K126" i="85"/>
  <c r="K127" i="85" s="1"/>
  <c r="D101" i="85" s="1"/>
  <c r="AE11" i="84"/>
  <c r="AD12" i="84"/>
  <c r="L83" i="84"/>
  <c r="R82" i="84"/>
  <c r="AE13" i="85"/>
  <c r="AD14" i="85"/>
  <c r="K82" i="84"/>
  <c r="M82" i="84" s="1"/>
  <c r="J83" i="84" s="1"/>
  <c r="K83" i="84" s="1"/>
  <c r="M81" i="72"/>
  <c r="J82" i="72" s="1"/>
  <c r="K82" i="72" s="1"/>
  <c r="R85" i="80"/>
  <c r="L86" i="80"/>
  <c r="K11" i="67"/>
  <c r="M11" i="67" s="1"/>
  <c r="AD15" i="80"/>
  <c r="AE14" i="80"/>
  <c r="K78" i="63"/>
  <c r="M78" i="63" s="1"/>
  <c r="J79" i="63" s="1"/>
  <c r="J10" i="71"/>
  <c r="L10" i="71"/>
  <c r="R10" i="71" s="1"/>
  <c r="J9" i="63"/>
  <c r="L9" i="63"/>
  <c r="R9" i="63" s="1"/>
  <c r="AD14" i="67"/>
  <c r="AE13" i="67"/>
  <c r="L79" i="63"/>
  <c r="R78" i="63"/>
  <c r="AE10" i="71"/>
  <c r="AD11" i="71"/>
  <c r="AE8" i="63"/>
  <c r="AD9" i="63"/>
  <c r="M80" i="71"/>
  <c r="J81" i="71" s="1"/>
  <c r="K81" i="71" s="1"/>
  <c r="S67" i="63"/>
  <c r="S69" i="63" s="1"/>
  <c r="L81" i="71"/>
  <c r="R80" i="71"/>
  <c r="R81" i="72"/>
  <c r="L82" i="72"/>
  <c r="AE14" i="78"/>
  <c r="AD15" i="78"/>
  <c r="S63" i="63"/>
  <c r="S64" i="63"/>
  <c r="S62" i="63"/>
  <c r="AE10" i="72"/>
  <c r="AD11" i="72"/>
  <c r="L86" i="67"/>
  <c r="R85" i="67"/>
  <c r="L13" i="80" l="1"/>
  <c r="R13" i="80" s="1"/>
  <c r="J13" i="80"/>
  <c r="K13" i="80" s="1"/>
  <c r="M13" i="82"/>
  <c r="L14" i="82" s="1"/>
  <c r="R14" i="82" s="1"/>
  <c r="M13" i="78"/>
  <c r="J14" i="78" s="1"/>
  <c r="K14" i="78" s="1"/>
  <c r="M83" i="84"/>
  <c r="J84" i="84" s="1"/>
  <c r="K84" i="84" s="1"/>
  <c r="M11" i="84"/>
  <c r="J12" i="84" s="1"/>
  <c r="M85" i="67"/>
  <c r="J86" i="67" s="1"/>
  <c r="K86" i="67" s="1"/>
  <c r="J12" i="85"/>
  <c r="K12" i="85" s="1"/>
  <c r="M12" i="85" s="1"/>
  <c r="J13" i="85" s="1"/>
  <c r="K13" i="85" s="1"/>
  <c r="J11" i="72"/>
  <c r="L11" i="72"/>
  <c r="R11" i="72" s="1"/>
  <c r="AD16" i="82"/>
  <c r="AE15" i="82"/>
  <c r="AE14" i="85"/>
  <c r="AD15" i="85"/>
  <c r="AE12" i="84"/>
  <c r="AD13" i="84"/>
  <c r="M126" i="85"/>
  <c r="R83" i="84"/>
  <c r="L84" i="84"/>
  <c r="F101" i="85"/>
  <c r="F106" i="85" s="1"/>
  <c r="F108" i="85" s="1"/>
  <c r="J12" i="67"/>
  <c r="L12" i="67"/>
  <c r="R12" i="67" s="1"/>
  <c r="AE15" i="80"/>
  <c r="AD16" i="80"/>
  <c r="L87" i="80"/>
  <c r="R86" i="80"/>
  <c r="M86" i="80"/>
  <c r="J87" i="80" s="1"/>
  <c r="S65" i="63"/>
  <c r="S66" i="63"/>
  <c r="M81" i="71"/>
  <c r="J82" i="71" s="1"/>
  <c r="K82" i="71" s="1"/>
  <c r="L82" i="71"/>
  <c r="R81" i="71"/>
  <c r="AD12" i="72"/>
  <c r="AE11" i="72"/>
  <c r="L83" i="72"/>
  <c r="R82" i="72"/>
  <c r="M82" i="72"/>
  <c r="J83" i="72" s="1"/>
  <c r="AE9" i="63"/>
  <c r="AD10" i="63"/>
  <c r="AD15" i="67"/>
  <c r="AE14" i="67"/>
  <c r="K9" i="63"/>
  <c r="M9" i="63" s="1"/>
  <c r="K10" i="71"/>
  <c r="M10" i="71" s="1"/>
  <c r="AD12" i="71"/>
  <c r="AE11" i="71"/>
  <c r="R79" i="63"/>
  <c r="L80" i="63"/>
  <c r="K79" i="63"/>
  <c r="M79" i="63" s="1"/>
  <c r="J80" i="63" s="1"/>
  <c r="AD16" i="78"/>
  <c r="AE15" i="78"/>
  <c r="L87" i="67"/>
  <c r="R86" i="67"/>
  <c r="M13" i="80" l="1"/>
  <c r="L14" i="78"/>
  <c r="R14" i="78" s="1"/>
  <c r="J14" i="82"/>
  <c r="K14" i="82" s="1"/>
  <c r="M86" i="67"/>
  <c r="J87" i="67" s="1"/>
  <c r="L12" i="84"/>
  <c r="R12" i="84" s="1"/>
  <c r="L13" i="85"/>
  <c r="R13" i="85" s="1"/>
  <c r="K11" i="72"/>
  <c r="M11" i="72" s="1"/>
  <c r="G101" i="85"/>
  <c r="G106" i="85" s="1"/>
  <c r="G108" i="85" s="1"/>
  <c r="G114" i="85" s="1"/>
  <c r="AD17" i="82"/>
  <c r="AE16" i="82"/>
  <c r="K12" i="84"/>
  <c r="F114" i="85"/>
  <c r="F107" i="85"/>
  <c r="AD14" i="84"/>
  <c r="AE13" i="84"/>
  <c r="R84" i="84"/>
  <c r="L85" i="84"/>
  <c r="AE15" i="85"/>
  <c r="AD16" i="85"/>
  <c r="M84" i="84"/>
  <c r="J85" i="84" s="1"/>
  <c r="K85" i="84" s="1"/>
  <c r="K12" i="67"/>
  <c r="M12" i="67" s="1"/>
  <c r="AE16" i="80"/>
  <c r="AD17" i="80"/>
  <c r="K87" i="80"/>
  <c r="M87" i="80" s="1"/>
  <c r="J88" i="80" s="1"/>
  <c r="K88" i="80" s="1"/>
  <c r="L88" i="80"/>
  <c r="R87" i="80"/>
  <c r="K80" i="63"/>
  <c r="M80" i="63" s="1"/>
  <c r="J81" i="63" s="1"/>
  <c r="L11" i="71"/>
  <c r="R11" i="71" s="1"/>
  <c r="J11" i="71"/>
  <c r="AE10" i="63"/>
  <c r="AD11" i="63"/>
  <c r="K83" i="72"/>
  <c r="M83" i="72" s="1"/>
  <c r="J84" i="72" s="1"/>
  <c r="M82" i="71"/>
  <c r="J83" i="71" s="1"/>
  <c r="K83" i="71" s="1"/>
  <c r="L83" i="71"/>
  <c r="R82" i="71"/>
  <c r="AE16" i="78"/>
  <c r="AD17" i="78"/>
  <c r="AE15" i="67"/>
  <c r="AD16" i="67"/>
  <c r="AD13" i="72"/>
  <c r="AE12" i="72"/>
  <c r="AD13" i="71"/>
  <c r="AE12" i="71"/>
  <c r="L10" i="63"/>
  <c r="R10" i="63" s="1"/>
  <c r="J10" i="63"/>
  <c r="R83" i="72"/>
  <c r="L84" i="72"/>
  <c r="R80" i="63"/>
  <c r="L81" i="63"/>
  <c r="R87" i="67"/>
  <c r="L88" i="67"/>
  <c r="K87" i="67"/>
  <c r="M87" i="67" s="1"/>
  <c r="J88" i="67" s="1"/>
  <c r="K88" i="67" s="1"/>
  <c r="J14" i="80" l="1"/>
  <c r="K14" i="80" s="1"/>
  <c r="L14" i="80"/>
  <c r="R14" i="80" s="1"/>
  <c r="M12" i="84"/>
  <c r="J13" i="84" s="1"/>
  <c r="M14" i="82"/>
  <c r="L15" i="82" s="1"/>
  <c r="R15" i="82" s="1"/>
  <c r="M14" i="78"/>
  <c r="J15" i="78" s="1"/>
  <c r="K15" i="78" s="1"/>
  <c r="M13" i="85"/>
  <c r="L14" i="85" s="1"/>
  <c r="R14" i="85" s="1"/>
  <c r="J12" i="72"/>
  <c r="L12" i="72"/>
  <c r="R12" i="72" s="1"/>
  <c r="G115" i="85"/>
  <c r="G107" i="85"/>
  <c r="AD18" i="82"/>
  <c r="AE17" i="82"/>
  <c r="AD15" i="84"/>
  <c r="AE14" i="84"/>
  <c r="M85" i="84"/>
  <c r="J86" i="84" s="1"/>
  <c r="L86" i="84"/>
  <c r="R85" i="84"/>
  <c r="AE16" i="85"/>
  <c r="AD17" i="85"/>
  <c r="M88" i="80"/>
  <c r="J89" i="80" s="1"/>
  <c r="K89" i="80" s="1"/>
  <c r="AD18" i="80"/>
  <c r="AE17" i="80"/>
  <c r="L13" i="67"/>
  <c r="R13" i="67" s="1"/>
  <c r="J13" i="67"/>
  <c r="R88" i="80"/>
  <c r="L89" i="80"/>
  <c r="K84" i="72"/>
  <c r="M84" i="72" s="1"/>
  <c r="J85" i="72" s="1"/>
  <c r="K81" i="63"/>
  <c r="M81" i="63" s="1"/>
  <c r="J82" i="63" s="1"/>
  <c r="AD18" i="78"/>
  <c r="AE17" i="78"/>
  <c r="AD12" i="63"/>
  <c r="AE11" i="63"/>
  <c r="R81" i="63"/>
  <c r="L82" i="63"/>
  <c r="R84" i="72"/>
  <c r="L85" i="72"/>
  <c r="AE13" i="72"/>
  <c r="AD14" i="72"/>
  <c r="AE13" i="71"/>
  <c r="AD14" i="71"/>
  <c r="M83" i="71"/>
  <c r="J84" i="71" s="1"/>
  <c r="R83" i="71"/>
  <c r="L84" i="71"/>
  <c r="K11" i="71"/>
  <c r="M11" i="71" s="1"/>
  <c r="K10" i="63"/>
  <c r="M10" i="63" s="1"/>
  <c r="AD17" i="67"/>
  <c r="AE16" i="67"/>
  <c r="M88" i="67"/>
  <c r="J89" i="67" s="1"/>
  <c r="K89" i="67" s="1"/>
  <c r="R88" i="67"/>
  <c r="L89" i="67"/>
  <c r="M14" i="80" l="1"/>
  <c r="L13" i="84"/>
  <c r="R13" i="84" s="1"/>
  <c r="J15" i="82"/>
  <c r="K15" i="82" s="1"/>
  <c r="L15" i="78"/>
  <c r="R15" i="78" s="1"/>
  <c r="J14" i="85"/>
  <c r="K14" i="85" s="1"/>
  <c r="K12" i="72"/>
  <c r="M12" i="72" s="1"/>
  <c r="M15" i="78"/>
  <c r="L16" i="78" s="1"/>
  <c r="R16" i="78" s="1"/>
  <c r="AD19" i="82"/>
  <c r="AE18" i="82"/>
  <c r="K13" i="84"/>
  <c r="AE15" i="84"/>
  <c r="AD16" i="84"/>
  <c r="R86" i="84"/>
  <c r="L87" i="84"/>
  <c r="AE17" i="85"/>
  <c r="AD18" i="85"/>
  <c r="K86" i="84"/>
  <c r="M86" i="84" s="1"/>
  <c r="J87" i="84" s="1"/>
  <c r="K13" i="67"/>
  <c r="M13" i="67" s="1"/>
  <c r="AE18" i="80"/>
  <c r="AD19" i="80"/>
  <c r="L90" i="80"/>
  <c r="R89" i="80"/>
  <c r="M89" i="80"/>
  <c r="J90" i="80" s="1"/>
  <c r="K90" i="80" s="1"/>
  <c r="K85" i="72"/>
  <c r="M85" i="72" s="1"/>
  <c r="J86" i="72" s="1"/>
  <c r="K82" i="63"/>
  <c r="M82" i="63" s="1"/>
  <c r="J83" i="63" s="1"/>
  <c r="K84" i="71"/>
  <c r="M84" i="71" s="1"/>
  <c r="J85" i="71" s="1"/>
  <c r="K85" i="71" s="1"/>
  <c r="L11" i="63"/>
  <c r="R11" i="63" s="1"/>
  <c r="J11" i="63"/>
  <c r="J12" i="71"/>
  <c r="L12" i="71"/>
  <c r="R12" i="71" s="1"/>
  <c r="L85" i="71"/>
  <c r="R84" i="71"/>
  <c r="R82" i="63"/>
  <c r="L83" i="63"/>
  <c r="AD13" i="63"/>
  <c r="AE12" i="63"/>
  <c r="R85" i="72"/>
  <c r="L86" i="72"/>
  <c r="AD19" i="78"/>
  <c r="AE18" i="78"/>
  <c r="AD18" i="67"/>
  <c r="AE17" i="67"/>
  <c r="AD15" i="71"/>
  <c r="AE14" i="71"/>
  <c r="AE14" i="72"/>
  <c r="AD15" i="72"/>
  <c r="R89" i="67"/>
  <c r="L90" i="67"/>
  <c r="M89" i="67"/>
  <c r="J90" i="67" s="1"/>
  <c r="K90" i="67" s="1"/>
  <c r="L15" i="80" l="1"/>
  <c r="R15" i="80" s="1"/>
  <c r="J15" i="80"/>
  <c r="M15" i="82"/>
  <c r="L16" i="82" s="1"/>
  <c r="R16" i="82" s="1"/>
  <c r="M13" i="84"/>
  <c r="L14" i="84" s="1"/>
  <c r="R14" i="84" s="1"/>
  <c r="M14" i="85"/>
  <c r="L15" i="85" s="1"/>
  <c r="R15" i="85" s="1"/>
  <c r="J13" i="72"/>
  <c r="L13" i="72"/>
  <c r="R13" i="72" s="1"/>
  <c r="J16" i="78"/>
  <c r="K16" i="78" s="1"/>
  <c r="AD20" i="82"/>
  <c r="AE19" i="82"/>
  <c r="R87" i="84"/>
  <c r="L88" i="84"/>
  <c r="AE18" i="85"/>
  <c r="AD19" i="85"/>
  <c r="AD17" i="84"/>
  <c r="AE16" i="84"/>
  <c r="K87" i="84"/>
  <c r="M87" i="84" s="1"/>
  <c r="J88" i="84" s="1"/>
  <c r="M90" i="80"/>
  <c r="J91" i="80" s="1"/>
  <c r="K91" i="80" s="1"/>
  <c r="J14" i="67"/>
  <c r="L14" i="67"/>
  <c r="R14" i="67" s="1"/>
  <c r="AE19" i="80"/>
  <c r="AD20" i="80"/>
  <c r="L91" i="80"/>
  <c r="R90" i="80"/>
  <c r="M85" i="71"/>
  <c r="J86" i="71" s="1"/>
  <c r="K86" i="71" s="1"/>
  <c r="K83" i="63"/>
  <c r="M83" i="63" s="1"/>
  <c r="J84" i="63" s="1"/>
  <c r="K84" i="63" s="1"/>
  <c r="K86" i="72"/>
  <c r="M86" i="72" s="1"/>
  <c r="J87" i="72" s="1"/>
  <c r="K12" i="71"/>
  <c r="M12" i="71" s="1"/>
  <c r="AE15" i="71"/>
  <c r="AD16" i="71"/>
  <c r="AE18" i="67"/>
  <c r="AD19" i="67"/>
  <c r="AE19" i="78"/>
  <c r="AD20" i="78"/>
  <c r="AD16" i="72"/>
  <c r="AE15" i="72"/>
  <c r="L87" i="72"/>
  <c r="R86" i="72"/>
  <c r="AE13" i="63"/>
  <c r="AD14" i="63"/>
  <c r="R85" i="71"/>
  <c r="L86" i="71"/>
  <c r="L84" i="63"/>
  <c r="R83" i="63"/>
  <c r="K11" i="63"/>
  <c r="M11" i="63" s="1"/>
  <c r="M90" i="67"/>
  <c r="J91" i="67" s="1"/>
  <c r="K91" i="67" s="1"/>
  <c r="L91" i="67"/>
  <c r="R90" i="67"/>
  <c r="K15" i="80" l="1"/>
  <c r="M15" i="80"/>
  <c r="J16" i="82"/>
  <c r="K16" i="82" s="1"/>
  <c r="J15" i="85"/>
  <c r="K15" i="85" s="1"/>
  <c r="J14" i="84"/>
  <c r="K14" i="84" s="1"/>
  <c r="M14" i="84" s="1"/>
  <c r="M16" i="78"/>
  <c r="J17" i="78" s="1"/>
  <c r="K17" i="78" s="1"/>
  <c r="K13" i="72"/>
  <c r="M13" i="72" s="1"/>
  <c r="AE20" i="82"/>
  <c r="AD21" i="82"/>
  <c r="K88" i="84"/>
  <c r="M88" i="84" s="1"/>
  <c r="J89" i="84" s="1"/>
  <c r="AE19" i="85"/>
  <c r="AD20" i="85"/>
  <c r="L89" i="84"/>
  <c r="R88" i="84"/>
  <c r="M91" i="80"/>
  <c r="J92" i="80" s="1"/>
  <c r="K92" i="80" s="1"/>
  <c r="AD18" i="84"/>
  <c r="AE17" i="84"/>
  <c r="M84" i="63"/>
  <c r="J85" i="63" s="1"/>
  <c r="K85" i="63" s="1"/>
  <c r="M86" i="71"/>
  <c r="J87" i="71" s="1"/>
  <c r="K87" i="71" s="1"/>
  <c r="L92" i="80"/>
  <c r="R91" i="80"/>
  <c r="AD21" i="80"/>
  <c r="AE20" i="80"/>
  <c r="K14" i="67"/>
  <c r="M14" i="67" s="1"/>
  <c r="K87" i="72"/>
  <c r="M87" i="72" s="1"/>
  <c r="J88" i="72" s="1"/>
  <c r="R86" i="71"/>
  <c r="L87" i="71"/>
  <c r="J13" i="71"/>
  <c r="L13" i="71"/>
  <c r="R13" i="71" s="1"/>
  <c r="AD17" i="72"/>
  <c r="AE16" i="72"/>
  <c r="L12" i="63"/>
  <c r="R12" i="63" s="1"/>
  <c r="J12" i="63"/>
  <c r="L85" i="63"/>
  <c r="R84" i="63"/>
  <c r="AD15" i="63"/>
  <c r="AE14" i="63"/>
  <c r="L88" i="72"/>
  <c r="R87" i="72"/>
  <c r="AD21" i="78"/>
  <c r="AE20" i="78"/>
  <c r="AD20" i="67"/>
  <c r="AE19" i="67"/>
  <c r="AE16" i="71"/>
  <c r="AD17" i="71"/>
  <c r="M91" i="67"/>
  <c r="J92" i="67" s="1"/>
  <c r="K92" i="67" s="1"/>
  <c r="L92" i="67"/>
  <c r="R91" i="67"/>
  <c r="J16" i="80" l="1"/>
  <c r="K16" i="80" s="1"/>
  <c r="L16" i="80"/>
  <c r="R16" i="80" s="1"/>
  <c r="M16" i="82"/>
  <c r="L17" i="82" s="1"/>
  <c r="R17" i="82" s="1"/>
  <c r="M15" i="85"/>
  <c r="J16" i="85" s="1"/>
  <c r="K16" i="85" s="1"/>
  <c r="L17" i="78"/>
  <c r="R17" i="78" s="1"/>
  <c r="J14" i="72"/>
  <c r="L14" i="72"/>
  <c r="R14" i="72" s="1"/>
  <c r="M85" i="63"/>
  <c r="J86" i="63" s="1"/>
  <c r="K86" i="63" s="1"/>
  <c r="M92" i="80"/>
  <c r="J93" i="80" s="1"/>
  <c r="K93" i="80" s="1"/>
  <c r="L15" i="84"/>
  <c r="R15" i="84" s="1"/>
  <c r="J15" i="84"/>
  <c r="K15" i="84" s="1"/>
  <c r="AD22" i="82"/>
  <c r="AE21" i="82"/>
  <c r="AE20" i="85"/>
  <c r="AD21" i="85"/>
  <c r="K89" i="84"/>
  <c r="M89" i="84" s="1"/>
  <c r="J90" i="84" s="1"/>
  <c r="AD19" i="84"/>
  <c r="AE18" i="84"/>
  <c r="R89" i="84"/>
  <c r="L90" i="84"/>
  <c r="M87" i="71"/>
  <c r="J88" i="71" s="1"/>
  <c r="K88" i="71" s="1"/>
  <c r="AE21" i="80"/>
  <c r="AD22" i="80"/>
  <c r="J15" i="67"/>
  <c r="L15" i="67"/>
  <c r="R15" i="67" s="1"/>
  <c r="R92" i="80"/>
  <c r="L93" i="80"/>
  <c r="AD22" i="78"/>
  <c r="AE21" i="78"/>
  <c r="K12" i="63"/>
  <c r="M12" i="63" s="1"/>
  <c r="R88" i="72"/>
  <c r="L89" i="72"/>
  <c r="AD16" i="63"/>
  <c r="AE15" i="63"/>
  <c r="L88" i="71"/>
  <c r="R87" i="71"/>
  <c r="K88" i="72"/>
  <c r="M88" i="72" s="1"/>
  <c r="J89" i="72" s="1"/>
  <c r="K89" i="72" s="1"/>
  <c r="AE17" i="71"/>
  <c r="AD18" i="71"/>
  <c r="AD21" i="67"/>
  <c r="AE20" i="67"/>
  <c r="L86" i="63"/>
  <c r="R85" i="63"/>
  <c r="K13" i="71"/>
  <c r="M13" i="71" s="1"/>
  <c r="AE17" i="72"/>
  <c r="AD18" i="72"/>
  <c r="L93" i="67"/>
  <c r="R92" i="67"/>
  <c r="M92" i="67"/>
  <c r="J93" i="67" s="1"/>
  <c r="M16" i="80" l="1"/>
  <c r="J17" i="82"/>
  <c r="K17" i="82" s="1"/>
  <c r="M17" i="82" s="1"/>
  <c r="L18" i="82" s="1"/>
  <c r="R18" i="82" s="1"/>
  <c r="L16" i="85"/>
  <c r="R16" i="85" s="1"/>
  <c r="M17" i="78"/>
  <c r="J18" i="78" s="1"/>
  <c r="K18" i="78" s="1"/>
  <c r="M89" i="72"/>
  <c r="J90" i="72" s="1"/>
  <c r="K90" i="72" s="1"/>
  <c r="J18" i="82"/>
  <c r="K18" i="82" s="1"/>
  <c r="K14" i="72"/>
  <c r="M14" i="72" s="1"/>
  <c r="M15" i="84"/>
  <c r="AD23" i="82"/>
  <c r="AE22" i="82"/>
  <c r="K90" i="84"/>
  <c r="M90" i="84" s="1"/>
  <c r="J91" i="84" s="1"/>
  <c r="AD22" i="85"/>
  <c r="AE21" i="85"/>
  <c r="AD20" i="84"/>
  <c r="AE19" i="84"/>
  <c r="R90" i="84"/>
  <c r="L91" i="84"/>
  <c r="M93" i="80"/>
  <c r="J94" i="80" s="1"/>
  <c r="K94" i="80" s="1"/>
  <c r="K15" i="67"/>
  <c r="M15" i="67" s="1"/>
  <c r="AD23" i="80"/>
  <c r="AE22" i="80"/>
  <c r="M88" i="71"/>
  <c r="J89" i="71" s="1"/>
  <c r="K89" i="71" s="1"/>
  <c r="R93" i="80"/>
  <c r="L94" i="80"/>
  <c r="J13" i="63"/>
  <c r="L13" i="63"/>
  <c r="R13" i="63" s="1"/>
  <c r="AD23" i="78"/>
  <c r="AE22" i="78"/>
  <c r="R86" i="63"/>
  <c r="L87" i="63"/>
  <c r="AD17" i="63"/>
  <c r="AE16" i="63"/>
  <c r="L89" i="71"/>
  <c r="R88" i="71"/>
  <c r="R89" i="72"/>
  <c r="L90" i="72"/>
  <c r="AE18" i="72"/>
  <c r="AD19" i="72"/>
  <c r="AD22" i="67"/>
  <c r="AE21" i="67"/>
  <c r="AE18" i="71"/>
  <c r="AD19" i="71"/>
  <c r="L14" i="71"/>
  <c r="R14" i="71" s="1"/>
  <c r="J14" i="71"/>
  <c r="M86" i="63"/>
  <c r="J87" i="63" s="1"/>
  <c r="K93" i="67"/>
  <c r="M93" i="67" s="1"/>
  <c r="J94" i="67" s="1"/>
  <c r="K94" i="67" s="1"/>
  <c r="R93" i="67"/>
  <c r="L94" i="67"/>
  <c r="L17" i="80" l="1"/>
  <c r="R17" i="80" s="1"/>
  <c r="J17" i="80"/>
  <c r="K17" i="80" s="1"/>
  <c r="M16" i="85"/>
  <c r="J17" i="85" s="1"/>
  <c r="L18" i="78"/>
  <c r="R18" i="78" s="1"/>
  <c r="M18" i="82"/>
  <c r="J19" i="82" s="1"/>
  <c r="K19" i="82" s="1"/>
  <c r="L15" i="72"/>
  <c r="R15" i="72" s="1"/>
  <c r="J15" i="72"/>
  <c r="L16" i="84"/>
  <c r="R16" i="84" s="1"/>
  <c r="J16" i="84"/>
  <c r="AE23" i="82"/>
  <c r="AD24" i="82"/>
  <c r="L92" i="84"/>
  <c r="R91" i="84"/>
  <c r="AE22" i="85"/>
  <c r="AD23" i="85"/>
  <c r="K91" i="84"/>
  <c r="M91" i="84" s="1"/>
  <c r="J92" i="84" s="1"/>
  <c r="AD21" i="84"/>
  <c r="AE20" i="84"/>
  <c r="M90" i="72"/>
  <c r="J91" i="72" s="1"/>
  <c r="K91" i="72" s="1"/>
  <c r="R94" i="80"/>
  <c r="L95" i="80"/>
  <c r="J16" i="67"/>
  <c r="L16" i="67"/>
  <c r="R16" i="67" s="1"/>
  <c r="AD24" i="80"/>
  <c r="AE23" i="80"/>
  <c r="M94" i="80"/>
  <c r="J95" i="80" s="1"/>
  <c r="K95" i="80" s="1"/>
  <c r="K14" i="71"/>
  <c r="M14" i="71" s="1"/>
  <c r="K13" i="63"/>
  <c r="M13" i="63" s="1"/>
  <c r="AD20" i="72"/>
  <c r="AE19" i="72"/>
  <c r="L88" i="63"/>
  <c r="R87" i="63"/>
  <c r="K87" i="63"/>
  <c r="M87" i="63" s="1"/>
  <c r="J88" i="63" s="1"/>
  <c r="M89" i="71"/>
  <c r="J90" i="71" s="1"/>
  <c r="R89" i="71"/>
  <c r="L90" i="71"/>
  <c r="AD24" i="78"/>
  <c r="AE23" i="78"/>
  <c r="AE19" i="71"/>
  <c r="AD20" i="71"/>
  <c r="AD23" i="67"/>
  <c r="AE22" i="67"/>
  <c r="L91" i="72"/>
  <c r="R90" i="72"/>
  <c r="AD18" i="63"/>
  <c r="AE17" i="63"/>
  <c r="L95" i="67"/>
  <c r="R94" i="67"/>
  <c r="M94" i="67"/>
  <c r="J95" i="67" s="1"/>
  <c r="K95" i="67" s="1"/>
  <c r="M17" i="80" l="1"/>
  <c r="L18" i="80" s="1"/>
  <c r="R18" i="80" s="1"/>
  <c r="L17" i="85"/>
  <c r="R17" i="85" s="1"/>
  <c r="J18" i="80"/>
  <c r="L19" i="82"/>
  <c r="R19" i="82" s="1"/>
  <c r="M18" i="78"/>
  <c r="L19" i="78" s="1"/>
  <c r="R19" i="78" s="1"/>
  <c r="K17" i="85"/>
  <c r="M17" i="85" s="1"/>
  <c r="K15" i="72"/>
  <c r="M15" i="72" s="1"/>
  <c r="K18" i="80"/>
  <c r="M18" i="80" s="1"/>
  <c r="K16" i="84"/>
  <c r="M16" i="84" s="1"/>
  <c r="AE24" i="82"/>
  <c r="AD25" i="82"/>
  <c r="AE23" i="85"/>
  <c r="AD24" i="85"/>
  <c r="K92" i="84"/>
  <c r="M92" i="84" s="1"/>
  <c r="J93" i="84" s="1"/>
  <c r="AD22" i="84"/>
  <c r="AE21" i="84"/>
  <c r="R92" i="84"/>
  <c r="L93" i="84"/>
  <c r="M95" i="80"/>
  <c r="J96" i="80" s="1"/>
  <c r="K96" i="80" s="1"/>
  <c r="AE24" i="80"/>
  <c r="AD25" i="80"/>
  <c r="L96" i="80"/>
  <c r="R95" i="80"/>
  <c r="M91" i="72"/>
  <c r="J92" i="72" s="1"/>
  <c r="K92" i="72" s="1"/>
  <c r="K16" i="67"/>
  <c r="M16" i="67" s="1"/>
  <c r="L15" i="71"/>
  <c r="R15" i="71" s="1"/>
  <c r="J15" i="71"/>
  <c r="L14" i="63"/>
  <c r="R14" i="63" s="1"/>
  <c r="J14" i="63"/>
  <c r="K90" i="71"/>
  <c r="M90" i="71" s="1"/>
  <c r="J91" i="71" s="1"/>
  <c r="K91" i="71" s="1"/>
  <c r="K88" i="63"/>
  <c r="M88" i="63" s="1"/>
  <c r="J89" i="63" s="1"/>
  <c r="AD19" i="63"/>
  <c r="AE18" i="63"/>
  <c r="AE23" i="67"/>
  <c r="AD24" i="67"/>
  <c r="R90" i="71"/>
  <c r="L91" i="71"/>
  <c r="AD21" i="72"/>
  <c r="AE20" i="72"/>
  <c r="R88" i="63"/>
  <c r="L89" i="63"/>
  <c r="AD21" i="71"/>
  <c r="AE20" i="71"/>
  <c r="AE24" i="78"/>
  <c r="AD25" i="78"/>
  <c r="R91" i="72"/>
  <c r="L92" i="72"/>
  <c r="R95" i="67"/>
  <c r="L96" i="67"/>
  <c r="M95" i="67"/>
  <c r="J96" i="67" s="1"/>
  <c r="K96" i="67" s="1"/>
  <c r="M19" i="82" l="1"/>
  <c r="L20" i="82" s="1"/>
  <c r="R20" i="82" s="1"/>
  <c r="J19" i="78"/>
  <c r="K19" i="78" s="1"/>
  <c r="L18" i="85"/>
  <c r="R18" i="85" s="1"/>
  <c r="J18" i="85"/>
  <c r="J16" i="72"/>
  <c r="L16" i="72"/>
  <c r="R16" i="72" s="1"/>
  <c r="L19" i="80"/>
  <c r="R19" i="80" s="1"/>
  <c r="J19" i="80"/>
  <c r="K19" i="80" s="1"/>
  <c r="J17" i="84"/>
  <c r="L17" i="84"/>
  <c r="R17" i="84" s="1"/>
  <c r="AE25" i="82"/>
  <c r="AD26" i="82"/>
  <c r="K93" i="84"/>
  <c r="M93" i="84" s="1"/>
  <c r="J94" i="84" s="1"/>
  <c r="AE22" i="84"/>
  <c r="AD23" i="84"/>
  <c r="L94" i="84"/>
  <c r="R93" i="84"/>
  <c r="AD25" i="85"/>
  <c r="AE24" i="85"/>
  <c r="L17" i="67"/>
  <c r="R17" i="67" s="1"/>
  <c r="J17" i="67"/>
  <c r="L97" i="80"/>
  <c r="R96" i="80"/>
  <c r="M96" i="80"/>
  <c r="J97" i="80" s="1"/>
  <c r="K97" i="80" s="1"/>
  <c r="AE25" i="80"/>
  <c r="AD26" i="80"/>
  <c r="M92" i="72"/>
  <c r="J93" i="72" s="1"/>
  <c r="K93" i="72" s="1"/>
  <c r="M91" i="71"/>
  <c r="J92" i="71" s="1"/>
  <c r="K92" i="71" s="1"/>
  <c r="K89" i="63"/>
  <c r="M89" i="63" s="1"/>
  <c r="J90" i="63" s="1"/>
  <c r="AE19" i="63"/>
  <c r="AD20" i="63"/>
  <c r="R89" i="63"/>
  <c r="L90" i="63"/>
  <c r="AE24" i="67"/>
  <c r="AD25" i="67"/>
  <c r="K15" i="71"/>
  <c r="M15" i="71" s="1"/>
  <c r="AE25" i="78"/>
  <c r="AD26" i="78"/>
  <c r="AD22" i="71"/>
  <c r="AE21" i="71"/>
  <c r="AE21" i="72"/>
  <c r="AD22" i="72"/>
  <c r="L93" i="72"/>
  <c r="R92" i="72"/>
  <c r="L92" i="71"/>
  <c r="R91" i="71"/>
  <c r="K14" i="63"/>
  <c r="M14" i="63" s="1"/>
  <c r="M96" i="67"/>
  <c r="J97" i="67" s="1"/>
  <c r="K97" i="67" s="1"/>
  <c r="L97" i="67"/>
  <c r="R96" i="67"/>
  <c r="J20" i="82" l="1"/>
  <c r="K20" i="82" s="1"/>
  <c r="M19" i="78"/>
  <c r="J20" i="78" s="1"/>
  <c r="K20" i="78" s="1"/>
  <c r="K18" i="85"/>
  <c r="M18" i="85" s="1"/>
  <c r="K16" i="72"/>
  <c r="M16" i="72" s="1"/>
  <c r="M19" i="80"/>
  <c r="J20" i="80" s="1"/>
  <c r="K17" i="84"/>
  <c r="M17" i="84" s="1"/>
  <c r="AD27" i="82"/>
  <c r="AE26" i="82"/>
  <c r="M93" i="72"/>
  <c r="J94" i="72" s="1"/>
  <c r="K94" i="72" s="1"/>
  <c r="AD26" i="85"/>
  <c r="AE25" i="85"/>
  <c r="AD24" i="84"/>
  <c r="AE23" i="84"/>
  <c r="K94" i="84"/>
  <c r="M94" i="84" s="1"/>
  <c r="J95" i="84" s="1"/>
  <c r="R94" i="84"/>
  <c r="L95" i="84"/>
  <c r="AE26" i="80"/>
  <c r="AD27" i="80"/>
  <c r="K17" i="67"/>
  <c r="M17" i="67" s="1"/>
  <c r="R97" i="80"/>
  <c r="L98" i="80"/>
  <c r="M97" i="80"/>
  <c r="J98" i="80" s="1"/>
  <c r="AD23" i="71"/>
  <c r="AE22" i="71"/>
  <c r="J16" i="71"/>
  <c r="L16" i="71"/>
  <c r="R16" i="71" s="1"/>
  <c r="M92" i="71"/>
  <c r="J93" i="71" s="1"/>
  <c r="R92" i="71"/>
  <c r="L93" i="71"/>
  <c r="AD27" i="78"/>
  <c r="AE26" i="78"/>
  <c r="R90" i="63"/>
  <c r="L91" i="63"/>
  <c r="J15" i="63"/>
  <c r="L15" i="63"/>
  <c r="R15" i="63" s="1"/>
  <c r="AD26" i="67"/>
  <c r="AE25" i="67"/>
  <c r="AD21" i="63"/>
  <c r="AE20" i="63"/>
  <c r="K90" i="63"/>
  <c r="M90" i="63" s="1"/>
  <c r="J91" i="63" s="1"/>
  <c r="M97" i="67"/>
  <c r="J98" i="67" s="1"/>
  <c r="K98" i="67" s="1"/>
  <c r="R93" i="72"/>
  <c r="L94" i="72"/>
  <c r="AE22" i="72"/>
  <c r="AD23" i="72"/>
  <c r="R97" i="67"/>
  <c r="L98" i="67"/>
  <c r="L20" i="78" l="1"/>
  <c r="R20" i="78" s="1"/>
  <c r="M20" i="82"/>
  <c r="L21" i="82" s="1"/>
  <c r="R21" i="82" s="1"/>
  <c r="J19" i="85"/>
  <c r="L19" i="85"/>
  <c r="R19" i="85" s="1"/>
  <c r="J17" i="72"/>
  <c r="L17" i="72"/>
  <c r="R17" i="72" s="1"/>
  <c r="L20" i="80"/>
  <c r="R20" i="80" s="1"/>
  <c r="K20" i="80"/>
  <c r="L18" i="84"/>
  <c r="R18" i="84" s="1"/>
  <c r="J18" i="84"/>
  <c r="K18" i="84" s="1"/>
  <c r="AD28" i="82"/>
  <c r="AE27" i="82"/>
  <c r="K95" i="84"/>
  <c r="M95" i="84" s="1"/>
  <c r="J96" i="84" s="1"/>
  <c r="K96" i="84" s="1"/>
  <c r="R95" i="84"/>
  <c r="L96" i="84"/>
  <c r="AD25" i="84"/>
  <c r="AE24" i="84"/>
  <c r="AD27" i="85"/>
  <c r="AE26" i="85"/>
  <c r="M98" i="67"/>
  <c r="J99" i="67" s="1"/>
  <c r="K99" i="67" s="1"/>
  <c r="J18" i="67"/>
  <c r="L18" i="67"/>
  <c r="R18" i="67" s="1"/>
  <c r="AD28" i="80"/>
  <c r="AE27" i="80"/>
  <c r="K98" i="80"/>
  <c r="M98" i="80" s="1"/>
  <c r="J99" i="80" s="1"/>
  <c r="K99" i="80" s="1"/>
  <c r="L99" i="80"/>
  <c r="R98" i="80"/>
  <c r="K91" i="63"/>
  <c r="M91" i="63" s="1"/>
  <c r="J92" i="63" s="1"/>
  <c r="K15" i="63"/>
  <c r="M15" i="63" s="1"/>
  <c r="AD28" i="78"/>
  <c r="AE27" i="78"/>
  <c r="K93" i="71"/>
  <c r="M93" i="71" s="1"/>
  <c r="J94" i="71" s="1"/>
  <c r="AE23" i="71"/>
  <c r="AD24" i="71"/>
  <c r="L95" i="72"/>
  <c r="R94" i="72"/>
  <c r="AE21" i="63"/>
  <c r="AD22" i="63"/>
  <c r="AE26" i="67"/>
  <c r="AD27" i="67"/>
  <c r="L92" i="63"/>
  <c r="R91" i="63"/>
  <c r="K16" i="71"/>
  <c r="M16" i="71" s="1"/>
  <c r="M94" i="72"/>
  <c r="J95" i="72" s="1"/>
  <c r="K95" i="72" s="1"/>
  <c r="AE23" i="72"/>
  <c r="AD24" i="72"/>
  <c r="L94" i="71"/>
  <c r="R93" i="71"/>
  <c r="R98" i="67"/>
  <c r="L99" i="67"/>
  <c r="M20" i="78" l="1"/>
  <c r="J21" i="82"/>
  <c r="K21" i="82" s="1"/>
  <c r="K19" i="85"/>
  <c r="M19" i="85" s="1"/>
  <c r="K17" i="72"/>
  <c r="M17" i="72" s="1"/>
  <c r="M20" i="80"/>
  <c r="J21" i="80" s="1"/>
  <c r="M18" i="84"/>
  <c r="AE28" i="82"/>
  <c r="AD29" i="82"/>
  <c r="AD28" i="85"/>
  <c r="AE27" i="85"/>
  <c r="M96" i="84"/>
  <c r="J97" i="84" s="1"/>
  <c r="L97" i="84"/>
  <c r="R96" i="84"/>
  <c r="AE25" i="84"/>
  <c r="AD26" i="84"/>
  <c r="M99" i="80"/>
  <c r="J100" i="80" s="1"/>
  <c r="K100" i="80" s="1"/>
  <c r="AE28" i="80"/>
  <c r="AD29" i="80"/>
  <c r="L100" i="80"/>
  <c r="R99" i="80"/>
  <c r="K18" i="67"/>
  <c r="M18" i="67" s="1"/>
  <c r="J17" i="71"/>
  <c r="L17" i="71"/>
  <c r="R17" i="71" s="1"/>
  <c r="J16" i="63"/>
  <c r="L16" i="63"/>
  <c r="R16" i="63" s="1"/>
  <c r="K94" i="71"/>
  <c r="M94" i="71" s="1"/>
  <c r="J95" i="71" s="1"/>
  <c r="K92" i="63"/>
  <c r="M92" i="63" s="1"/>
  <c r="J93" i="63" s="1"/>
  <c r="AD28" i="67"/>
  <c r="AE27" i="67"/>
  <c r="AE24" i="72"/>
  <c r="AD25" i="72"/>
  <c r="L95" i="71"/>
  <c r="R94" i="71"/>
  <c r="R92" i="63"/>
  <c r="L93" i="63"/>
  <c r="M95" i="72"/>
  <c r="J96" i="72" s="1"/>
  <c r="R95" i="72"/>
  <c r="L96" i="72"/>
  <c r="AD29" i="78"/>
  <c r="AE28" i="78"/>
  <c r="AE22" i="63"/>
  <c r="AD23" i="63"/>
  <c r="AE24" i="71"/>
  <c r="AD25" i="71"/>
  <c r="L100" i="67"/>
  <c r="R99" i="67"/>
  <c r="M99" i="67"/>
  <c r="J100" i="67" s="1"/>
  <c r="K100" i="67" s="1"/>
  <c r="M21" i="82" l="1"/>
  <c r="L22" i="82" s="1"/>
  <c r="R22" i="82" s="1"/>
  <c r="L21" i="78"/>
  <c r="R21" i="78" s="1"/>
  <c r="J21" i="78"/>
  <c r="L20" i="85"/>
  <c r="R20" i="85" s="1"/>
  <c r="J20" i="85"/>
  <c r="J18" i="72"/>
  <c r="K18" i="72" s="1"/>
  <c r="L18" i="72"/>
  <c r="R18" i="72" s="1"/>
  <c r="L21" i="80"/>
  <c r="R21" i="80" s="1"/>
  <c r="J22" i="82"/>
  <c r="K22" i="82" s="1"/>
  <c r="K21" i="80"/>
  <c r="J19" i="84"/>
  <c r="L19" i="84"/>
  <c r="R19" i="84" s="1"/>
  <c r="AE29" i="82"/>
  <c r="AD30" i="82"/>
  <c r="AE28" i="85"/>
  <c r="AD29" i="85"/>
  <c r="R97" i="84"/>
  <c r="L98" i="84"/>
  <c r="AD27" i="84"/>
  <c r="AE26" i="84"/>
  <c r="K97" i="84"/>
  <c r="M97" i="84" s="1"/>
  <c r="J98" i="84" s="1"/>
  <c r="L19" i="67"/>
  <c r="R19" i="67" s="1"/>
  <c r="J19" i="67"/>
  <c r="AD30" i="80"/>
  <c r="AE29" i="80"/>
  <c r="R100" i="80"/>
  <c r="L101" i="80"/>
  <c r="M100" i="80"/>
  <c r="J101" i="80" s="1"/>
  <c r="R93" i="63"/>
  <c r="L94" i="63"/>
  <c r="K95" i="71"/>
  <c r="M95" i="71" s="1"/>
  <c r="J96" i="71" s="1"/>
  <c r="AE23" i="63"/>
  <c r="AD24" i="63"/>
  <c r="R96" i="72"/>
  <c r="L97" i="72"/>
  <c r="K16" i="63"/>
  <c r="M16" i="63" s="1"/>
  <c r="AD26" i="72"/>
  <c r="AE25" i="72"/>
  <c r="K93" i="63"/>
  <c r="M93" i="63" s="1"/>
  <c r="J94" i="63" s="1"/>
  <c r="AE25" i="71"/>
  <c r="AD26" i="71"/>
  <c r="AE29" i="78"/>
  <c r="AD30" i="78"/>
  <c r="K96" i="72"/>
  <c r="M96" i="72" s="1"/>
  <c r="J97" i="72" s="1"/>
  <c r="L96" i="71"/>
  <c r="R95" i="71"/>
  <c r="AD29" i="67"/>
  <c r="AE28" i="67"/>
  <c r="K17" i="71"/>
  <c r="M17" i="71" s="1"/>
  <c r="M100" i="67"/>
  <c r="J101" i="67" s="1"/>
  <c r="K101" i="67" s="1"/>
  <c r="L101" i="67"/>
  <c r="R100" i="67"/>
  <c r="K21" i="78" l="1"/>
  <c r="M21" i="78" s="1"/>
  <c r="K20" i="85"/>
  <c r="M20" i="85" s="1"/>
  <c r="M18" i="72"/>
  <c r="L19" i="72" s="1"/>
  <c r="R19" i="72" s="1"/>
  <c r="M22" i="82"/>
  <c r="J23" i="82" s="1"/>
  <c r="K23" i="82" s="1"/>
  <c r="M21" i="80"/>
  <c r="J22" i="80" s="1"/>
  <c r="K19" i="84"/>
  <c r="M19" i="84" s="1"/>
  <c r="AD31" i="82"/>
  <c r="AE30" i="82"/>
  <c r="R98" i="84"/>
  <c r="L99" i="84"/>
  <c r="AE27" i="84"/>
  <c r="AD28" i="84"/>
  <c r="K98" i="84"/>
  <c r="M98" i="84" s="1"/>
  <c r="J99" i="84" s="1"/>
  <c r="AE29" i="85"/>
  <c r="AD30" i="85"/>
  <c r="AD31" i="80"/>
  <c r="AE30" i="80"/>
  <c r="R101" i="80"/>
  <c r="L102" i="80"/>
  <c r="K19" i="67"/>
  <c r="M19" i="67" s="1"/>
  <c r="K101" i="80"/>
  <c r="M101" i="80" s="1"/>
  <c r="J102" i="80" s="1"/>
  <c r="K97" i="72"/>
  <c r="M97" i="72" s="1"/>
  <c r="J98" i="72" s="1"/>
  <c r="L17" i="63"/>
  <c r="R17" i="63" s="1"/>
  <c r="J17" i="63"/>
  <c r="L98" i="72"/>
  <c r="R97" i="72"/>
  <c r="K96" i="71"/>
  <c r="M96" i="71" s="1"/>
  <c r="J97" i="71" s="1"/>
  <c r="R96" i="71"/>
  <c r="L97" i="71"/>
  <c r="AE30" i="78"/>
  <c r="AD31" i="78"/>
  <c r="K94" i="63"/>
  <c r="M94" i="63" s="1"/>
  <c r="J95" i="63" s="1"/>
  <c r="AE26" i="71"/>
  <c r="AD27" i="71"/>
  <c r="AD25" i="63"/>
  <c r="AE24" i="63"/>
  <c r="L95" i="63"/>
  <c r="R94" i="63"/>
  <c r="J18" i="71"/>
  <c r="L18" i="71"/>
  <c r="R18" i="71" s="1"/>
  <c r="AE29" i="67"/>
  <c r="AD30" i="67"/>
  <c r="AE26" i="72"/>
  <c r="AD27" i="72"/>
  <c r="L102" i="67"/>
  <c r="R101" i="67"/>
  <c r="M101" i="67"/>
  <c r="J102" i="67" s="1"/>
  <c r="K102" i="67" s="1"/>
  <c r="J22" i="78" l="1"/>
  <c r="L22" i="78"/>
  <c r="R22" i="78" s="1"/>
  <c r="L21" i="85"/>
  <c r="R21" i="85" s="1"/>
  <c r="J21" i="85"/>
  <c r="L23" i="82"/>
  <c r="R23" i="82" s="1"/>
  <c r="J19" i="72"/>
  <c r="K19" i="72" s="1"/>
  <c r="L22" i="80"/>
  <c r="R22" i="80" s="1"/>
  <c r="K22" i="80"/>
  <c r="J20" i="84"/>
  <c r="L20" i="84"/>
  <c r="R20" i="84" s="1"/>
  <c r="AE31" i="82"/>
  <c r="AD32" i="82"/>
  <c r="AD29" i="84"/>
  <c r="AE28" i="84"/>
  <c r="AE30" i="85"/>
  <c r="AD31" i="85"/>
  <c r="K99" i="84"/>
  <c r="M99" i="84" s="1"/>
  <c r="J100" i="84" s="1"/>
  <c r="R99" i="84"/>
  <c r="L100" i="84"/>
  <c r="K102" i="80"/>
  <c r="M102" i="80" s="1"/>
  <c r="J103" i="80" s="1"/>
  <c r="K103" i="80" s="1"/>
  <c r="J20" i="67"/>
  <c r="K20" i="67" s="1"/>
  <c r="L20" i="67"/>
  <c r="R20" i="67" s="1"/>
  <c r="R102" i="80"/>
  <c r="L103" i="80"/>
  <c r="AD32" i="80"/>
  <c r="AE31" i="80"/>
  <c r="K95" i="63"/>
  <c r="M95" i="63" s="1"/>
  <c r="J96" i="63" s="1"/>
  <c r="K18" i="71"/>
  <c r="M18" i="71" s="1"/>
  <c r="AE25" i="63"/>
  <c r="AD26" i="63"/>
  <c r="L98" i="71"/>
  <c r="R97" i="71"/>
  <c r="K97" i="71"/>
  <c r="M97" i="71" s="1"/>
  <c r="J98" i="71" s="1"/>
  <c r="K17" i="63"/>
  <c r="M17" i="63" s="1"/>
  <c r="K98" i="72"/>
  <c r="M98" i="72" s="1"/>
  <c r="J99" i="72" s="1"/>
  <c r="K99" i="72" s="1"/>
  <c r="AE27" i="72"/>
  <c r="AD28" i="72"/>
  <c r="AD31" i="67"/>
  <c r="AE30" i="67"/>
  <c r="AD28" i="71"/>
  <c r="AE27" i="71"/>
  <c r="R95" i="63"/>
  <c r="L96" i="63"/>
  <c r="AD32" i="78"/>
  <c r="AE31" i="78"/>
  <c r="L99" i="72"/>
  <c r="R98" i="72"/>
  <c r="M102" i="67"/>
  <c r="J103" i="67" s="1"/>
  <c r="K103" i="67" s="1"/>
  <c r="R102" i="67"/>
  <c r="L103" i="67"/>
  <c r="K22" i="78" l="1"/>
  <c r="M22" i="78" s="1"/>
  <c r="M23" i="82"/>
  <c r="J24" i="82" s="1"/>
  <c r="K24" i="82" s="1"/>
  <c r="K21" i="85"/>
  <c r="M21" i="85" s="1"/>
  <c r="M22" i="80"/>
  <c r="J23" i="80" s="1"/>
  <c r="M19" i="72"/>
  <c r="L20" i="72" s="1"/>
  <c r="R20" i="72" s="1"/>
  <c r="K20" i="84"/>
  <c r="M20" i="84" s="1"/>
  <c r="AD33" i="82"/>
  <c r="AE32" i="82"/>
  <c r="AD30" i="84"/>
  <c r="AE29" i="84"/>
  <c r="R100" i="84"/>
  <c r="L101" i="84"/>
  <c r="AD32" i="85"/>
  <c r="AE31" i="85"/>
  <c r="K100" i="84"/>
  <c r="M100" i="84" s="1"/>
  <c r="J101" i="84" s="1"/>
  <c r="K101" i="84" s="1"/>
  <c r="M103" i="80"/>
  <c r="J104" i="80" s="1"/>
  <c r="K104" i="80" s="1"/>
  <c r="M99" i="72"/>
  <c r="J100" i="72" s="1"/>
  <c r="K100" i="72" s="1"/>
  <c r="M20" i="67"/>
  <c r="AE32" i="80"/>
  <c r="AD33" i="80"/>
  <c r="R103" i="80"/>
  <c r="L104" i="80"/>
  <c r="J18" i="63"/>
  <c r="L18" i="63"/>
  <c r="R18" i="63" s="1"/>
  <c r="K98" i="71"/>
  <c r="M98" i="71" s="1"/>
  <c r="J99" i="71" s="1"/>
  <c r="K96" i="63"/>
  <c r="M96" i="63" s="1"/>
  <c r="J97" i="63" s="1"/>
  <c r="AD27" i="63"/>
  <c r="AE26" i="63"/>
  <c r="L100" i="72"/>
  <c r="R99" i="72"/>
  <c r="AD33" i="78"/>
  <c r="AE32" i="78"/>
  <c r="AD29" i="71"/>
  <c r="AE28" i="71"/>
  <c r="AE31" i="67"/>
  <c r="AD32" i="67"/>
  <c r="R98" i="71"/>
  <c r="L99" i="71"/>
  <c r="L19" i="71"/>
  <c r="R19" i="71" s="1"/>
  <c r="J19" i="71"/>
  <c r="R96" i="63"/>
  <c r="L97" i="63"/>
  <c r="AD29" i="72"/>
  <c r="AE28" i="72"/>
  <c r="R103" i="67"/>
  <c r="L104" i="67"/>
  <c r="M103" i="67"/>
  <c r="J104" i="67" s="1"/>
  <c r="K104" i="67" s="1"/>
  <c r="L23" i="78" l="1"/>
  <c r="R23" i="78" s="1"/>
  <c r="J23" i="78"/>
  <c r="L24" i="82"/>
  <c r="R24" i="82" s="1"/>
  <c r="J22" i="85"/>
  <c r="L22" i="85"/>
  <c r="R22" i="85" s="1"/>
  <c r="L23" i="80"/>
  <c r="R23" i="80" s="1"/>
  <c r="J20" i="72"/>
  <c r="K20" i="72" s="1"/>
  <c r="K23" i="80"/>
  <c r="L21" i="84"/>
  <c r="R21" i="84" s="1"/>
  <c r="J21" i="84"/>
  <c r="M101" i="84"/>
  <c r="J102" i="84" s="1"/>
  <c r="K102" i="84" s="1"/>
  <c r="AE33" i="82"/>
  <c r="AD34" i="82"/>
  <c r="AE32" i="85"/>
  <c r="AD33" i="85"/>
  <c r="L102" i="84"/>
  <c r="R101" i="84"/>
  <c r="AD31" i="84"/>
  <c r="AE30" i="84"/>
  <c r="AD34" i="80"/>
  <c r="AE33" i="80"/>
  <c r="L105" i="80"/>
  <c r="R104" i="80"/>
  <c r="J21" i="67"/>
  <c r="K21" i="67" s="1"/>
  <c r="L21" i="67"/>
  <c r="R21" i="67" s="1"/>
  <c r="M104" i="80"/>
  <c r="J105" i="80" s="1"/>
  <c r="K105" i="80" s="1"/>
  <c r="K99" i="71"/>
  <c r="M99" i="71" s="1"/>
  <c r="J100" i="71" s="1"/>
  <c r="K100" i="71" s="1"/>
  <c r="R97" i="63"/>
  <c r="L98" i="63"/>
  <c r="AE29" i="71"/>
  <c r="AD30" i="71"/>
  <c r="L101" i="72"/>
  <c r="R100" i="72"/>
  <c r="M100" i="72"/>
  <c r="J101" i="72" s="1"/>
  <c r="K19" i="71"/>
  <c r="M19" i="71" s="1"/>
  <c r="AD33" i="67"/>
  <c r="AE32" i="67"/>
  <c r="K97" i="63"/>
  <c r="M97" i="63" s="1"/>
  <c r="J98" i="63" s="1"/>
  <c r="K18" i="63"/>
  <c r="M18" i="63" s="1"/>
  <c r="R99" i="71"/>
  <c r="L100" i="71"/>
  <c r="AE29" i="72"/>
  <c r="AD30" i="72"/>
  <c r="AE33" i="78"/>
  <c r="AD34" i="78"/>
  <c r="AD28" i="63"/>
  <c r="AE27" i="63"/>
  <c r="M104" i="67"/>
  <c r="J105" i="67" s="1"/>
  <c r="K105" i="67" s="1"/>
  <c r="L105" i="67"/>
  <c r="R104" i="67"/>
  <c r="M23" i="80" l="1"/>
  <c r="J24" i="80" s="1"/>
  <c r="M24" i="82"/>
  <c r="J25" i="82" s="1"/>
  <c r="K23" i="78"/>
  <c r="M23" i="78" s="1"/>
  <c r="K22" i="85"/>
  <c r="M22" i="85" s="1"/>
  <c r="M20" i="72"/>
  <c r="L21" i="72" s="1"/>
  <c r="R21" i="72" s="1"/>
  <c r="K21" i="84"/>
  <c r="M21" i="84" s="1"/>
  <c r="AE34" i="82"/>
  <c r="AD35" i="82"/>
  <c r="AE33" i="85"/>
  <c r="AD34" i="85"/>
  <c r="AD32" i="84"/>
  <c r="AE31" i="84"/>
  <c r="M102" i="84"/>
  <c r="J103" i="84" s="1"/>
  <c r="R102" i="84"/>
  <c r="L103" i="84"/>
  <c r="M105" i="80"/>
  <c r="J106" i="80" s="1"/>
  <c r="K106" i="80" s="1"/>
  <c r="AD35" i="80"/>
  <c r="AE34" i="80"/>
  <c r="L106" i="80"/>
  <c r="R105" i="80"/>
  <c r="M21" i="67"/>
  <c r="L20" i="71"/>
  <c r="R20" i="71" s="1"/>
  <c r="J20" i="71"/>
  <c r="K98" i="63"/>
  <c r="M98" i="63" s="1"/>
  <c r="J99" i="63" s="1"/>
  <c r="J19" i="63"/>
  <c r="L19" i="63"/>
  <c r="R19" i="63" s="1"/>
  <c r="R101" i="72"/>
  <c r="L102" i="72"/>
  <c r="AE34" i="78"/>
  <c r="AD35" i="78"/>
  <c r="AE33" i="67"/>
  <c r="AD34" i="67"/>
  <c r="R100" i="71"/>
  <c r="L101" i="71"/>
  <c r="K101" i="72"/>
  <c r="M101" i="72" s="1"/>
  <c r="J102" i="72" s="1"/>
  <c r="K102" i="72" s="1"/>
  <c r="AE30" i="71"/>
  <c r="AD31" i="71"/>
  <c r="AE28" i="63"/>
  <c r="AD29" i="63"/>
  <c r="R98" i="63"/>
  <c r="L99" i="63"/>
  <c r="M100" i="71"/>
  <c r="J101" i="71" s="1"/>
  <c r="AE30" i="72"/>
  <c r="AD31" i="72"/>
  <c r="M105" i="67"/>
  <c r="J106" i="67" s="1"/>
  <c r="K106" i="67" s="1"/>
  <c r="L106" i="67"/>
  <c r="R105" i="67"/>
  <c r="L24" i="80" l="1"/>
  <c r="R24" i="80" s="1"/>
  <c r="L24" i="78"/>
  <c r="R24" i="78" s="1"/>
  <c r="J24" i="78"/>
  <c r="L25" i="82"/>
  <c r="R25" i="82" s="1"/>
  <c r="L23" i="85"/>
  <c r="R23" i="85" s="1"/>
  <c r="J23" i="85"/>
  <c r="J21" i="72"/>
  <c r="K21" i="72" s="1"/>
  <c r="M21" i="72" s="1"/>
  <c r="J22" i="72" s="1"/>
  <c r="K22" i="72" s="1"/>
  <c r="K24" i="80"/>
  <c r="K25" i="82"/>
  <c r="L22" i="84"/>
  <c r="R22" i="84" s="1"/>
  <c r="J22" i="84"/>
  <c r="M102" i="72"/>
  <c r="J103" i="72" s="1"/>
  <c r="K103" i="72" s="1"/>
  <c r="AE35" i="82"/>
  <c r="AD36" i="82"/>
  <c r="L104" i="84"/>
  <c r="R103" i="84"/>
  <c r="AD33" i="84"/>
  <c r="AE32" i="84"/>
  <c r="AE34" i="85"/>
  <c r="AD35" i="85"/>
  <c r="K103" i="84"/>
  <c r="M103" i="84" s="1"/>
  <c r="J104" i="84" s="1"/>
  <c r="M106" i="80"/>
  <c r="J107" i="80" s="1"/>
  <c r="K107" i="80" s="1"/>
  <c r="R106" i="80"/>
  <c r="L107" i="80"/>
  <c r="J22" i="67"/>
  <c r="K22" i="67" s="1"/>
  <c r="L22" i="67"/>
  <c r="R22" i="67" s="1"/>
  <c r="AD36" i="80"/>
  <c r="AE35" i="80"/>
  <c r="K99" i="63"/>
  <c r="M99" i="63" s="1"/>
  <c r="J100" i="63" s="1"/>
  <c r="AE31" i="72"/>
  <c r="AD32" i="72"/>
  <c r="AD30" i="63"/>
  <c r="AE29" i="63"/>
  <c r="AD32" i="71"/>
  <c r="AE31" i="71"/>
  <c r="L100" i="63"/>
  <c r="R99" i="63"/>
  <c r="L103" i="72"/>
  <c r="R102" i="72"/>
  <c r="AE34" i="67"/>
  <c r="AD35" i="67"/>
  <c r="K20" i="71"/>
  <c r="M20" i="71" s="1"/>
  <c r="AE35" i="78"/>
  <c r="AD36" i="78"/>
  <c r="K101" i="71"/>
  <c r="M101" i="71" s="1"/>
  <c r="J102" i="71" s="1"/>
  <c r="L102" i="71"/>
  <c r="R101" i="71"/>
  <c r="K19" i="63"/>
  <c r="M19" i="63" s="1"/>
  <c r="M106" i="67"/>
  <c r="J107" i="67" s="1"/>
  <c r="K107" i="67" s="1"/>
  <c r="L107" i="67"/>
  <c r="R106" i="67"/>
  <c r="M25" i="82" l="1"/>
  <c r="J26" i="82" s="1"/>
  <c r="M24" i="80"/>
  <c r="J25" i="80" s="1"/>
  <c r="K24" i="78"/>
  <c r="M24" i="78" s="1"/>
  <c r="L22" i="72"/>
  <c r="R22" i="72" s="1"/>
  <c r="K23" i="85"/>
  <c r="M23" i="85" s="1"/>
  <c r="M103" i="72"/>
  <c r="J104" i="72" s="1"/>
  <c r="K104" i="72" s="1"/>
  <c r="K22" i="84"/>
  <c r="M22" i="84" s="1"/>
  <c r="AD37" i="82"/>
  <c r="AE36" i="82"/>
  <c r="K104" i="84"/>
  <c r="M104" i="84" s="1"/>
  <c r="J105" i="84" s="1"/>
  <c r="K105" i="84" s="1"/>
  <c r="AE35" i="85"/>
  <c r="AD36" i="85"/>
  <c r="L105" i="84"/>
  <c r="R104" i="84"/>
  <c r="AD34" i="84"/>
  <c r="AE33" i="84"/>
  <c r="M22" i="67"/>
  <c r="L23" i="67" s="1"/>
  <c r="R23" i="67" s="1"/>
  <c r="R107" i="80"/>
  <c r="L108" i="80"/>
  <c r="AE36" i="80"/>
  <c r="AD37" i="80"/>
  <c r="M107" i="80"/>
  <c r="J108" i="80" s="1"/>
  <c r="K108" i="80" s="1"/>
  <c r="K102" i="71"/>
  <c r="M102" i="71" s="1"/>
  <c r="J103" i="71" s="1"/>
  <c r="J20" i="63"/>
  <c r="L20" i="63"/>
  <c r="R20" i="63" s="1"/>
  <c r="K100" i="63"/>
  <c r="M100" i="63" s="1"/>
  <c r="J101" i="63" s="1"/>
  <c r="AE32" i="71"/>
  <c r="AD33" i="71"/>
  <c r="AD33" i="72"/>
  <c r="AE32" i="72"/>
  <c r="R102" i="71"/>
  <c r="L103" i="71"/>
  <c r="AE36" i="78"/>
  <c r="AD37" i="78"/>
  <c r="AD36" i="67"/>
  <c r="AE35" i="67"/>
  <c r="L104" i="72"/>
  <c r="R103" i="72"/>
  <c r="AE30" i="63"/>
  <c r="AD31" i="63"/>
  <c r="J21" i="71"/>
  <c r="L21" i="71"/>
  <c r="R21" i="71" s="1"/>
  <c r="L101" i="63"/>
  <c r="R100" i="63"/>
  <c r="L108" i="67"/>
  <c r="R107" i="67"/>
  <c r="M107" i="67"/>
  <c r="J108" i="67" s="1"/>
  <c r="K108" i="67" s="1"/>
  <c r="L26" i="82" l="1"/>
  <c r="R26" i="82" s="1"/>
  <c r="L25" i="80"/>
  <c r="R25" i="80" s="1"/>
  <c r="L25" i="78"/>
  <c r="R25" i="78" s="1"/>
  <c r="J25" i="78"/>
  <c r="M22" i="72"/>
  <c r="L23" i="72" s="1"/>
  <c r="R23" i="72" s="1"/>
  <c r="J24" i="85"/>
  <c r="K24" i="85" s="1"/>
  <c r="L24" i="85"/>
  <c r="R24" i="85" s="1"/>
  <c r="K25" i="80"/>
  <c r="M104" i="72"/>
  <c r="J105" i="72" s="1"/>
  <c r="K105" i="72" s="1"/>
  <c r="K26" i="82"/>
  <c r="J23" i="84"/>
  <c r="L23" i="84"/>
  <c r="R23" i="84" s="1"/>
  <c r="AD38" i="82"/>
  <c r="AE37" i="82"/>
  <c r="J23" i="67"/>
  <c r="K23" i="67" s="1"/>
  <c r="AE36" i="85"/>
  <c r="AD37" i="85"/>
  <c r="AD35" i="84"/>
  <c r="AE34" i="84"/>
  <c r="M105" i="84"/>
  <c r="J106" i="84" s="1"/>
  <c r="L106" i="84"/>
  <c r="R105" i="84"/>
  <c r="L109" i="80"/>
  <c r="R108" i="80"/>
  <c r="AD38" i="80"/>
  <c r="AE37" i="80"/>
  <c r="M108" i="80"/>
  <c r="J109" i="80" s="1"/>
  <c r="K109" i="80" s="1"/>
  <c r="L102" i="63"/>
  <c r="R101" i="63"/>
  <c r="K21" i="71"/>
  <c r="M21" i="71" s="1"/>
  <c r="R104" i="72"/>
  <c r="L105" i="72"/>
  <c r="AD34" i="72"/>
  <c r="AE33" i="72"/>
  <c r="K20" i="63"/>
  <c r="M20" i="63" s="1"/>
  <c r="AE31" i="63"/>
  <c r="AD32" i="63"/>
  <c r="AD38" i="78"/>
  <c r="AE37" i="78"/>
  <c r="L104" i="71"/>
  <c r="R103" i="71"/>
  <c r="AE33" i="71"/>
  <c r="AD34" i="71"/>
  <c r="K101" i="63"/>
  <c r="M101" i="63" s="1"/>
  <c r="J102" i="63" s="1"/>
  <c r="K103" i="71"/>
  <c r="M103" i="71" s="1"/>
  <c r="J104" i="71" s="1"/>
  <c r="AE36" i="67"/>
  <c r="AD37" i="67"/>
  <c r="M108" i="67"/>
  <c r="J109" i="67" s="1"/>
  <c r="K109" i="67" s="1"/>
  <c r="R108" i="67"/>
  <c r="L109" i="67"/>
  <c r="M26" i="82" l="1"/>
  <c r="M25" i="80"/>
  <c r="J26" i="80" s="1"/>
  <c r="K26" i="80" s="1"/>
  <c r="J23" i="72"/>
  <c r="K23" i="72" s="1"/>
  <c r="M23" i="72" s="1"/>
  <c r="K25" i="78"/>
  <c r="M25" i="78" s="1"/>
  <c r="M109" i="80"/>
  <c r="J110" i="80" s="1"/>
  <c r="K110" i="80" s="1"/>
  <c r="K123" i="80" s="1"/>
  <c r="D97" i="80" s="1"/>
  <c r="M24" i="85"/>
  <c r="L25" i="85" s="1"/>
  <c r="R25" i="85" s="1"/>
  <c r="M105" i="72"/>
  <c r="J106" i="72" s="1"/>
  <c r="K106" i="72" s="1"/>
  <c r="J27" i="82"/>
  <c r="L27" i="82"/>
  <c r="R27" i="82" s="1"/>
  <c r="M23" i="67"/>
  <c r="L24" i="67" s="1"/>
  <c r="R24" i="67" s="1"/>
  <c r="K23" i="84"/>
  <c r="M23" i="84" s="1"/>
  <c r="AE38" i="82"/>
  <c r="AD39" i="82"/>
  <c r="K106" i="84"/>
  <c r="M106" i="84" s="1"/>
  <c r="J107" i="84" s="1"/>
  <c r="K107" i="84" s="1"/>
  <c r="AD36" i="84"/>
  <c r="AE35" i="84"/>
  <c r="AD38" i="85"/>
  <c r="AE37" i="85"/>
  <c r="R106" i="84"/>
  <c r="L107" i="84"/>
  <c r="L110" i="80"/>
  <c r="R109" i="80"/>
  <c r="AD39" i="80"/>
  <c r="AE38" i="80"/>
  <c r="J22" i="71"/>
  <c r="L22" i="71"/>
  <c r="R22" i="71" s="1"/>
  <c r="K102" i="63"/>
  <c r="M102" i="63" s="1"/>
  <c r="J103" i="63" s="1"/>
  <c r="AE34" i="71"/>
  <c r="AD35" i="71"/>
  <c r="L105" i="71"/>
  <c r="R104" i="71"/>
  <c r="AD35" i="72"/>
  <c r="AE34" i="72"/>
  <c r="L106" i="72"/>
  <c r="R105" i="72"/>
  <c r="K104" i="71"/>
  <c r="M104" i="71" s="1"/>
  <c r="J105" i="71" s="1"/>
  <c r="K105" i="71" s="1"/>
  <c r="L21" i="63"/>
  <c r="R21" i="63" s="1"/>
  <c r="J21" i="63"/>
  <c r="AE37" i="67"/>
  <c r="AD38" i="67"/>
  <c r="AE32" i="63"/>
  <c r="AD33" i="63"/>
  <c r="R102" i="63"/>
  <c r="L103" i="63"/>
  <c r="AD39" i="78"/>
  <c r="AE38" i="78"/>
  <c r="M109" i="67"/>
  <c r="J110" i="67" s="1"/>
  <c r="K110" i="67" s="1"/>
  <c r="K123" i="67" s="1"/>
  <c r="D97" i="67" s="1"/>
  <c r="R109" i="67"/>
  <c r="L110" i="67"/>
  <c r="L26" i="80" l="1"/>
  <c r="R26" i="80" s="1"/>
  <c r="L24" i="72"/>
  <c r="R24" i="72" s="1"/>
  <c r="J24" i="72"/>
  <c r="K24" i="72" s="1"/>
  <c r="J26" i="78"/>
  <c r="L26" i="78"/>
  <c r="R26" i="78" s="1"/>
  <c r="J25" i="85"/>
  <c r="K25" i="85" s="1"/>
  <c r="M106" i="72"/>
  <c r="J107" i="72" s="1"/>
  <c r="K107" i="72" s="1"/>
  <c r="K27" i="82"/>
  <c r="M27" i="82" s="1"/>
  <c r="J24" i="67"/>
  <c r="K24" i="67" s="1"/>
  <c r="J24" i="84"/>
  <c r="L24" i="84"/>
  <c r="R24" i="84" s="1"/>
  <c r="AE39" i="82"/>
  <c r="AD40" i="82"/>
  <c r="AD37" i="84"/>
  <c r="AE36" i="84"/>
  <c r="R107" i="84"/>
  <c r="L108" i="84"/>
  <c r="M107" i="84"/>
  <c r="J108" i="84" s="1"/>
  <c r="AD39" i="85"/>
  <c r="AE38" i="85"/>
  <c r="M110" i="80"/>
  <c r="M105" i="71"/>
  <c r="J106" i="71" s="1"/>
  <c r="K106" i="71" s="1"/>
  <c r="F97" i="80"/>
  <c r="F102" i="80" s="1"/>
  <c r="F104" i="80" s="1"/>
  <c r="AE39" i="80"/>
  <c r="AD40" i="80"/>
  <c r="R110" i="80"/>
  <c r="R123" i="80" s="1"/>
  <c r="L123" i="80"/>
  <c r="AE33" i="63"/>
  <c r="AD34" i="63"/>
  <c r="AE38" i="67"/>
  <c r="AD39" i="67"/>
  <c r="AD36" i="72"/>
  <c r="AE35" i="72"/>
  <c r="R105" i="71"/>
  <c r="L106" i="71"/>
  <c r="K103" i="63"/>
  <c r="M103" i="63" s="1"/>
  <c r="J104" i="63" s="1"/>
  <c r="AE35" i="71"/>
  <c r="AD36" i="71"/>
  <c r="AD40" i="78"/>
  <c r="AE39" i="78"/>
  <c r="R103" i="63"/>
  <c r="L104" i="63"/>
  <c r="K21" i="63"/>
  <c r="M21" i="63" s="1"/>
  <c r="R106" i="72"/>
  <c r="L107" i="72"/>
  <c r="K22" i="71"/>
  <c r="M22" i="71" s="1"/>
  <c r="R110" i="67"/>
  <c r="R123" i="67" s="1"/>
  <c r="L123" i="67"/>
  <c r="M110" i="67"/>
  <c r="F97" i="67"/>
  <c r="F102" i="67" s="1"/>
  <c r="F104" i="67" s="1"/>
  <c r="M26" i="80" l="1"/>
  <c r="J27" i="80" s="1"/>
  <c r="K27" i="80" s="1"/>
  <c r="M24" i="72"/>
  <c r="K26" i="78"/>
  <c r="M26" i="78" s="1"/>
  <c r="M25" i="85"/>
  <c r="J26" i="85" s="1"/>
  <c r="K26" i="85" s="1"/>
  <c r="J28" i="82"/>
  <c r="L28" i="82"/>
  <c r="R28" i="82" s="1"/>
  <c r="M24" i="67"/>
  <c r="L25" i="67" s="1"/>
  <c r="R25" i="67" s="1"/>
  <c r="K24" i="84"/>
  <c r="M24" i="84" s="1"/>
  <c r="AE40" i="82"/>
  <c r="AD41" i="82"/>
  <c r="AE39" i="85"/>
  <c r="AD40" i="85"/>
  <c r="L109" i="84"/>
  <c r="R108" i="84"/>
  <c r="K108" i="84"/>
  <c r="M108" i="84" s="1"/>
  <c r="J109" i="84" s="1"/>
  <c r="K109" i="84" s="1"/>
  <c r="AE37" i="84"/>
  <c r="AD38" i="84"/>
  <c r="G97" i="80"/>
  <c r="G102" i="80" s="1"/>
  <c r="G104" i="80" s="1"/>
  <c r="G110" i="80" s="1"/>
  <c r="AE40" i="80"/>
  <c r="AD41" i="80"/>
  <c r="F103" i="80"/>
  <c r="F110" i="80"/>
  <c r="L23" i="71"/>
  <c r="R23" i="71" s="1"/>
  <c r="J23" i="71"/>
  <c r="L22" i="63"/>
  <c r="R22" i="63" s="1"/>
  <c r="J22" i="63"/>
  <c r="K22" i="63" s="1"/>
  <c r="K104" i="63"/>
  <c r="M104" i="63" s="1"/>
  <c r="J105" i="63" s="1"/>
  <c r="AD35" i="63"/>
  <c r="AE34" i="63"/>
  <c r="L108" i="72"/>
  <c r="R107" i="72"/>
  <c r="AE40" i="78"/>
  <c r="AD41" i="78"/>
  <c r="AE36" i="72"/>
  <c r="AD37" i="72"/>
  <c r="R104" i="63"/>
  <c r="L105" i="63"/>
  <c r="AE36" i="71"/>
  <c r="AD37" i="71"/>
  <c r="M106" i="71"/>
  <c r="J107" i="71" s="1"/>
  <c r="K107" i="71" s="1"/>
  <c r="L107" i="71"/>
  <c r="R106" i="71"/>
  <c r="AD40" i="67"/>
  <c r="AE39" i="67"/>
  <c r="M107" i="72"/>
  <c r="J108" i="72" s="1"/>
  <c r="F103" i="67"/>
  <c r="F110" i="67"/>
  <c r="G97" i="67"/>
  <c r="G102" i="67" s="1"/>
  <c r="G104" i="67" s="1"/>
  <c r="L27" i="80" l="1"/>
  <c r="R27" i="80" s="1"/>
  <c r="L25" i="72"/>
  <c r="R25" i="72" s="1"/>
  <c r="J25" i="72"/>
  <c r="J27" i="78"/>
  <c r="L27" i="78"/>
  <c r="R27" i="78" s="1"/>
  <c r="L26" i="85"/>
  <c r="R26" i="85" s="1"/>
  <c r="M27" i="80"/>
  <c r="J28" i="80" s="1"/>
  <c r="J25" i="67"/>
  <c r="K25" i="67" s="1"/>
  <c r="K28" i="82"/>
  <c r="M28" i="82" s="1"/>
  <c r="L25" i="84"/>
  <c r="R25" i="84" s="1"/>
  <c r="J25" i="84"/>
  <c r="AD42" i="82"/>
  <c r="AE41" i="82"/>
  <c r="M109" i="84"/>
  <c r="J110" i="84" s="1"/>
  <c r="L110" i="84"/>
  <c r="R110" i="84" s="1"/>
  <c r="R109" i="84"/>
  <c r="AE40" i="85"/>
  <c r="AD41" i="85"/>
  <c r="AE38" i="84"/>
  <c r="AD39" i="84"/>
  <c r="G111" i="80"/>
  <c r="G103" i="80"/>
  <c r="AD42" i="80"/>
  <c r="AE41" i="80"/>
  <c r="K105" i="63"/>
  <c r="M105" i="63" s="1"/>
  <c r="J106" i="63" s="1"/>
  <c r="K106" i="63" s="1"/>
  <c r="AD38" i="71"/>
  <c r="AE37" i="71"/>
  <c r="AD41" i="67"/>
  <c r="AE40" i="67"/>
  <c r="R105" i="63"/>
  <c r="L106" i="63"/>
  <c r="AE41" i="78"/>
  <c r="AD42" i="78"/>
  <c r="M22" i="63"/>
  <c r="K108" i="72"/>
  <c r="M108" i="72" s="1"/>
  <c r="J109" i="72" s="1"/>
  <c r="L109" i="72"/>
  <c r="R108" i="72"/>
  <c r="M107" i="71"/>
  <c r="J108" i="71" s="1"/>
  <c r="K108" i="71" s="1"/>
  <c r="L108" i="71"/>
  <c r="R107" i="71"/>
  <c r="K23" i="71"/>
  <c r="M23" i="71" s="1"/>
  <c r="AE37" i="72"/>
  <c r="AD38" i="72"/>
  <c r="AD36" i="63"/>
  <c r="AE35" i="63"/>
  <c r="G110" i="67"/>
  <c r="G103" i="67"/>
  <c r="G111" i="67"/>
  <c r="K25" i="72" l="1"/>
  <c r="M25" i="72" s="1"/>
  <c r="K27" i="78"/>
  <c r="M27" i="78" s="1"/>
  <c r="M26" i="85"/>
  <c r="J27" i="85" s="1"/>
  <c r="K27" i="85" s="1"/>
  <c r="L28" i="80"/>
  <c r="R28" i="80" s="1"/>
  <c r="K28" i="80"/>
  <c r="M25" i="67"/>
  <c r="L26" i="67" s="1"/>
  <c r="R26" i="67" s="1"/>
  <c r="J29" i="82"/>
  <c r="L29" i="82"/>
  <c r="R29" i="82" s="1"/>
  <c r="K25" i="84"/>
  <c r="M25" i="84" s="1"/>
  <c r="R123" i="84"/>
  <c r="AD43" i="82"/>
  <c r="AE42" i="82"/>
  <c r="L123" i="84"/>
  <c r="AE39" i="84"/>
  <c r="AD40" i="84"/>
  <c r="AD42" i="85"/>
  <c r="AE41" i="85"/>
  <c r="K110" i="84"/>
  <c r="K123" i="84" s="1"/>
  <c r="D97" i="84" s="1"/>
  <c r="AE42" i="80"/>
  <c r="AD43" i="80"/>
  <c r="AE38" i="72"/>
  <c r="AD39" i="72"/>
  <c r="L24" i="71"/>
  <c r="R24" i="71" s="1"/>
  <c r="J24" i="71"/>
  <c r="L110" i="72"/>
  <c r="R109" i="72"/>
  <c r="AE42" i="78"/>
  <c r="AD43" i="78"/>
  <c r="L107" i="63"/>
  <c r="R106" i="63"/>
  <c r="AE38" i="71"/>
  <c r="AD39" i="71"/>
  <c r="K109" i="72"/>
  <c r="M109" i="72" s="1"/>
  <c r="J110" i="72" s="1"/>
  <c r="M106" i="63"/>
  <c r="J107" i="63" s="1"/>
  <c r="AD37" i="63"/>
  <c r="AE36" i="63"/>
  <c r="M108" i="71"/>
  <c r="J109" i="71" s="1"/>
  <c r="R108" i="71"/>
  <c r="L109" i="71"/>
  <c r="J23" i="63"/>
  <c r="L23" i="63"/>
  <c r="R23" i="63" s="1"/>
  <c r="AD42" i="67"/>
  <c r="AE41" i="67"/>
  <c r="L26" i="72" l="1"/>
  <c r="R26" i="72" s="1"/>
  <c r="J26" i="72"/>
  <c r="K26" i="72" s="1"/>
  <c r="J28" i="78"/>
  <c r="K28" i="78" s="1"/>
  <c r="L28" i="78"/>
  <c r="R28" i="78" s="1"/>
  <c r="L27" i="85"/>
  <c r="R27" i="85" s="1"/>
  <c r="M28" i="80"/>
  <c r="J29" i="80" s="1"/>
  <c r="J26" i="67"/>
  <c r="K26" i="67" s="1"/>
  <c r="M26" i="67" s="1"/>
  <c r="L27" i="67" s="1"/>
  <c r="R27" i="67" s="1"/>
  <c r="K29" i="82"/>
  <c r="M29" i="82" s="1"/>
  <c r="L26" i="84"/>
  <c r="R26" i="84" s="1"/>
  <c r="J26" i="84"/>
  <c r="AE43" i="82"/>
  <c r="AD44" i="82"/>
  <c r="M110" i="84"/>
  <c r="AE42" i="85"/>
  <c r="AD43" i="85"/>
  <c r="F97" i="84"/>
  <c r="F102" i="84" s="1"/>
  <c r="F104" i="84" s="1"/>
  <c r="AD41" i="84"/>
  <c r="AE40" i="84"/>
  <c r="AD44" i="80"/>
  <c r="AE43" i="80"/>
  <c r="K110" i="72"/>
  <c r="K123" i="72" s="1"/>
  <c r="D97" i="72" s="1"/>
  <c r="F97" i="72" s="1"/>
  <c r="F102" i="72" s="1"/>
  <c r="F104" i="72" s="1"/>
  <c r="F110" i="72" s="1"/>
  <c r="K24" i="71"/>
  <c r="M24" i="71" s="1"/>
  <c r="AD40" i="72"/>
  <c r="AE39" i="72"/>
  <c r="AD43" i="67"/>
  <c r="AE42" i="67"/>
  <c r="R107" i="63"/>
  <c r="L108" i="63"/>
  <c r="R110" i="72"/>
  <c r="R123" i="72" s="1"/>
  <c r="L123" i="72"/>
  <c r="K107" i="63"/>
  <c r="M107" i="63" s="1"/>
  <c r="J108" i="63" s="1"/>
  <c r="L110" i="71"/>
  <c r="R109" i="71"/>
  <c r="AE37" i="63"/>
  <c r="AD38" i="63"/>
  <c r="AD40" i="71"/>
  <c r="AE39" i="71"/>
  <c r="AE43" i="78"/>
  <c r="AD44" i="78"/>
  <c r="K109" i="71"/>
  <c r="M109" i="71" s="1"/>
  <c r="J110" i="71" s="1"/>
  <c r="K23" i="63"/>
  <c r="M23" i="63" s="1"/>
  <c r="M26" i="72" l="1"/>
  <c r="M28" i="78"/>
  <c r="M27" i="85"/>
  <c r="L28" i="85" s="1"/>
  <c r="R28" i="85" s="1"/>
  <c r="L29" i="80"/>
  <c r="R29" i="80" s="1"/>
  <c r="J27" i="67"/>
  <c r="K27" i="67" s="1"/>
  <c r="M27" i="67" s="1"/>
  <c r="K29" i="80"/>
  <c r="J30" i="82"/>
  <c r="L30" i="82"/>
  <c r="R30" i="82" s="1"/>
  <c r="K26" i="84"/>
  <c r="M26" i="84" s="1"/>
  <c r="AE44" i="82"/>
  <c r="AD45" i="82"/>
  <c r="AD42" i="84"/>
  <c r="AE41" i="84"/>
  <c r="G97" i="84"/>
  <c r="G102" i="84" s="1"/>
  <c r="G104" i="84" s="1"/>
  <c r="F103" i="84"/>
  <c r="F110" i="84"/>
  <c r="AD44" i="85"/>
  <c r="AE43" i="85"/>
  <c r="F103" i="72"/>
  <c r="G97" i="72"/>
  <c r="G102" i="72" s="1"/>
  <c r="G104" i="72" s="1"/>
  <c r="G111" i="72" s="1"/>
  <c r="AD45" i="80"/>
  <c r="AE44" i="80"/>
  <c r="L24" i="63"/>
  <c r="R24" i="63" s="1"/>
  <c r="J24" i="63"/>
  <c r="K108" i="63"/>
  <c r="M108" i="63" s="1"/>
  <c r="J109" i="63" s="1"/>
  <c r="K110" i="71"/>
  <c r="K123" i="71" s="1"/>
  <c r="D97" i="71" s="1"/>
  <c r="F97" i="71" s="1"/>
  <c r="F102" i="71" s="1"/>
  <c r="F104" i="71" s="1"/>
  <c r="F103" i="71" s="1"/>
  <c r="AD41" i="71"/>
  <c r="AE40" i="71"/>
  <c r="R110" i="71"/>
  <c r="R123" i="71" s="1"/>
  <c r="L123" i="71"/>
  <c r="AE43" i="67"/>
  <c r="AD44" i="67"/>
  <c r="AD41" i="72"/>
  <c r="AE40" i="72"/>
  <c r="M110" i="72"/>
  <c r="AE44" i="78"/>
  <c r="AD45" i="78"/>
  <c r="AE38" i="63"/>
  <c r="AD39" i="63"/>
  <c r="L25" i="71"/>
  <c r="R25" i="71" s="1"/>
  <c r="J25" i="71"/>
  <c r="R108" i="63"/>
  <c r="L109" i="63"/>
  <c r="J27" i="72" l="1"/>
  <c r="L27" i="72"/>
  <c r="R27" i="72" s="1"/>
  <c r="L29" i="78"/>
  <c r="R29" i="78" s="1"/>
  <c r="J29" i="78"/>
  <c r="K29" i="78" s="1"/>
  <c r="J28" i="85"/>
  <c r="K28" i="85" s="1"/>
  <c r="M29" i="80"/>
  <c r="J30" i="80" s="1"/>
  <c r="K30" i="80" s="1"/>
  <c r="G103" i="72"/>
  <c r="K30" i="82"/>
  <c r="M30" i="82" s="1"/>
  <c r="L27" i="84"/>
  <c r="R27" i="84" s="1"/>
  <c r="J27" i="84"/>
  <c r="AE45" i="82"/>
  <c r="AD46" i="82"/>
  <c r="AE44" i="85"/>
  <c r="AD45" i="85"/>
  <c r="G111" i="84"/>
  <c r="G103" i="84"/>
  <c r="G110" i="84"/>
  <c r="AD43" i="84"/>
  <c r="AE42" i="84"/>
  <c r="G110" i="72"/>
  <c r="L28" i="67"/>
  <c r="R28" i="67" s="1"/>
  <c r="J28" i="67"/>
  <c r="K28" i="67" s="1"/>
  <c r="G97" i="71"/>
  <c r="G102" i="71" s="1"/>
  <c r="G104" i="71" s="1"/>
  <c r="G111" i="71" s="1"/>
  <c r="F110" i="71"/>
  <c r="AE45" i="80"/>
  <c r="AD46" i="80"/>
  <c r="K109" i="63"/>
  <c r="M109" i="63" s="1"/>
  <c r="J110" i="63" s="1"/>
  <c r="K110" i="63" s="1"/>
  <c r="K123" i="63" s="1"/>
  <c r="D97" i="63" s="1"/>
  <c r="F97" i="63" s="1"/>
  <c r="F102" i="63" s="1"/>
  <c r="F104" i="63" s="1"/>
  <c r="K25" i="71"/>
  <c r="M25" i="71" s="1"/>
  <c r="AE39" i="63"/>
  <c r="AD40" i="63"/>
  <c r="M110" i="71"/>
  <c r="L110" i="63"/>
  <c r="R110" i="63" s="1"/>
  <c r="R109" i="63"/>
  <c r="AE45" i="78"/>
  <c r="AD46" i="78"/>
  <c r="AD42" i="72"/>
  <c r="AE41" i="72"/>
  <c r="K24" i="63"/>
  <c r="M24" i="63" s="1"/>
  <c r="AD45" i="67"/>
  <c r="AE44" i="67"/>
  <c r="AD42" i="71"/>
  <c r="AE41" i="71"/>
  <c r="M29" i="78" l="1"/>
  <c r="L30" i="78" s="1"/>
  <c r="R30" i="78" s="1"/>
  <c r="K27" i="72"/>
  <c r="M27" i="72" s="1"/>
  <c r="M28" i="85"/>
  <c r="J29" i="85" s="1"/>
  <c r="L30" i="80"/>
  <c r="R30" i="80" s="1"/>
  <c r="J31" i="82"/>
  <c r="L31" i="82"/>
  <c r="R31" i="82" s="1"/>
  <c r="G103" i="71"/>
  <c r="K27" i="84"/>
  <c r="M27" i="84" s="1"/>
  <c r="L123" i="63"/>
  <c r="AE46" i="82"/>
  <c r="AD47" i="82"/>
  <c r="AE43" i="84"/>
  <c r="AD44" i="84"/>
  <c r="AE45" i="85"/>
  <c r="AD46" i="85"/>
  <c r="M28" i="67"/>
  <c r="L29" i="67" s="1"/>
  <c r="R29" i="67" s="1"/>
  <c r="G110" i="71"/>
  <c r="AD47" i="80"/>
  <c r="AE46" i="80"/>
  <c r="M110" i="63"/>
  <c r="R123" i="63"/>
  <c r="AE42" i="71"/>
  <c r="AD43" i="71"/>
  <c r="J25" i="63"/>
  <c r="L25" i="63"/>
  <c r="R25" i="63" s="1"/>
  <c r="AD47" i="78"/>
  <c r="AE46" i="78"/>
  <c r="AE40" i="63"/>
  <c r="AD41" i="63"/>
  <c r="AD46" i="67"/>
  <c r="AE45" i="67"/>
  <c r="AD43" i="72"/>
  <c r="AE42" i="72"/>
  <c r="L26" i="71"/>
  <c r="R26" i="71" s="1"/>
  <c r="J26" i="71"/>
  <c r="G97" i="63"/>
  <c r="G102" i="63" s="1"/>
  <c r="G104" i="63" s="1"/>
  <c r="F110" i="63"/>
  <c r="F103" i="63"/>
  <c r="J30" i="78" l="1"/>
  <c r="K30" i="78" s="1"/>
  <c r="M30" i="78" s="1"/>
  <c r="J31" i="78" s="1"/>
  <c r="K31" i="78" s="1"/>
  <c r="J28" i="72"/>
  <c r="L28" i="72"/>
  <c r="R28" i="72" s="1"/>
  <c r="L29" i="85"/>
  <c r="R29" i="85" s="1"/>
  <c r="K29" i="85"/>
  <c r="M30" i="80"/>
  <c r="J31" i="80" s="1"/>
  <c r="K31" i="80" s="1"/>
  <c r="J29" i="67"/>
  <c r="K29" i="67" s="1"/>
  <c r="K31" i="82"/>
  <c r="M31" i="82" s="1"/>
  <c r="L28" i="84"/>
  <c r="R28" i="84" s="1"/>
  <c r="J28" i="84"/>
  <c r="AE47" i="82"/>
  <c r="AD48" i="82"/>
  <c r="AE46" i="85"/>
  <c r="AD47" i="85"/>
  <c r="AD45" i="84"/>
  <c r="AE44" i="84"/>
  <c r="AD48" i="80"/>
  <c r="AE47" i="80"/>
  <c r="AE46" i="67"/>
  <c r="AD47" i="67"/>
  <c r="AE43" i="71"/>
  <c r="AD44" i="71"/>
  <c r="K26" i="71"/>
  <c r="M26" i="71" s="1"/>
  <c r="AD44" i="72"/>
  <c r="AE43" i="72"/>
  <c r="AE41" i="63"/>
  <c r="AD42" i="63"/>
  <c r="AE47" i="78"/>
  <c r="AD48" i="78"/>
  <c r="K25" i="63"/>
  <c r="M25" i="63" s="1"/>
  <c r="G110" i="63"/>
  <c r="G111" i="63"/>
  <c r="G103" i="63"/>
  <c r="L31" i="78" l="1"/>
  <c r="R31" i="78" s="1"/>
  <c r="K28" i="72"/>
  <c r="M28" i="72" s="1"/>
  <c r="M29" i="85"/>
  <c r="J30" i="85" s="1"/>
  <c r="L31" i="80"/>
  <c r="R31" i="80" s="1"/>
  <c r="M29" i="67"/>
  <c r="J30" i="67" s="1"/>
  <c r="K30" i="67" s="1"/>
  <c r="J32" i="82"/>
  <c r="L32" i="82"/>
  <c r="R32" i="82" s="1"/>
  <c r="K28" i="84"/>
  <c r="M28" i="84" s="1"/>
  <c r="AE48" i="82"/>
  <c r="AD49" i="82"/>
  <c r="AE47" i="85"/>
  <c r="AD48" i="85"/>
  <c r="AE45" i="84"/>
  <c r="AD46" i="84"/>
  <c r="AE48" i="80"/>
  <c r="AD49" i="80"/>
  <c r="J26" i="63"/>
  <c r="L26" i="63"/>
  <c r="R26" i="63" s="1"/>
  <c r="AE44" i="71"/>
  <c r="AD45" i="71"/>
  <c r="AE44" i="72"/>
  <c r="AD45" i="72"/>
  <c r="AD43" i="63"/>
  <c r="AE42" i="63"/>
  <c r="J27" i="71"/>
  <c r="L27" i="71"/>
  <c r="R27" i="71" s="1"/>
  <c r="AD48" i="67"/>
  <c r="AE47" i="67"/>
  <c r="AE48" i="78"/>
  <c r="AD49" i="78"/>
  <c r="M31" i="78" l="1"/>
  <c r="L32" i="78" s="1"/>
  <c r="R32" i="78" s="1"/>
  <c r="J29" i="72"/>
  <c r="L29" i="72"/>
  <c r="R29" i="72" s="1"/>
  <c r="L30" i="85"/>
  <c r="R30" i="85" s="1"/>
  <c r="K30" i="85"/>
  <c r="M31" i="80"/>
  <c r="L32" i="80" s="1"/>
  <c r="R32" i="80" s="1"/>
  <c r="L30" i="67"/>
  <c r="R30" i="67" s="1"/>
  <c r="K32" i="82"/>
  <c r="M32" i="82" s="1"/>
  <c r="L29" i="84"/>
  <c r="R29" i="84" s="1"/>
  <c r="J29" i="84"/>
  <c r="AE49" i="82"/>
  <c r="AD50" i="82"/>
  <c r="AE46" i="84"/>
  <c r="AD47" i="84"/>
  <c r="AD49" i="85"/>
  <c r="AE48" i="85"/>
  <c r="AE49" i="80"/>
  <c r="AD50" i="80"/>
  <c r="AE45" i="71"/>
  <c r="AD46" i="71"/>
  <c r="K26" i="63"/>
  <c r="M26" i="63" s="1"/>
  <c r="K27" i="71"/>
  <c r="M27" i="71" s="1"/>
  <c r="AD44" i="63"/>
  <c r="AE43" i="63"/>
  <c r="AE49" i="78"/>
  <c r="AD50" i="78"/>
  <c r="AE45" i="72"/>
  <c r="AD46" i="72"/>
  <c r="AD49" i="67"/>
  <c r="AE48" i="67"/>
  <c r="J32" i="78" l="1"/>
  <c r="K32" i="78" s="1"/>
  <c r="K29" i="72"/>
  <c r="M29" i="72" s="1"/>
  <c r="M30" i="85"/>
  <c r="L31" i="85" s="1"/>
  <c r="R31" i="85" s="1"/>
  <c r="J32" i="80"/>
  <c r="K32" i="80" s="1"/>
  <c r="M30" i="67"/>
  <c r="L31" i="67" s="1"/>
  <c r="R31" i="67" s="1"/>
  <c r="L33" i="82"/>
  <c r="R33" i="82" s="1"/>
  <c r="J33" i="82"/>
  <c r="K29" i="84"/>
  <c r="M29" i="84" s="1"/>
  <c r="AD51" i="82"/>
  <c r="AE50" i="82"/>
  <c r="AE49" i="85"/>
  <c r="AD50" i="85"/>
  <c r="AE47" i="84"/>
  <c r="AD48" i="84"/>
  <c r="AD51" i="80"/>
  <c r="AE50" i="80"/>
  <c r="J28" i="71"/>
  <c r="L28" i="71"/>
  <c r="R28" i="71" s="1"/>
  <c r="L27" i="63"/>
  <c r="R27" i="63" s="1"/>
  <c r="J27" i="63"/>
  <c r="AE44" i="63"/>
  <c r="AD45" i="63"/>
  <c r="AD51" i="78"/>
  <c r="AE50" i="78"/>
  <c r="AE46" i="71"/>
  <c r="AD47" i="71"/>
  <c r="AD47" i="72"/>
  <c r="AE46" i="72"/>
  <c r="AE49" i="67"/>
  <c r="AD50" i="67"/>
  <c r="M32" i="78" l="1"/>
  <c r="J33" i="78" s="1"/>
  <c r="K33" i="78" s="1"/>
  <c r="L30" i="72"/>
  <c r="R30" i="72" s="1"/>
  <c r="J30" i="72"/>
  <c r="K30" i="72" s="1"/>
  <c r="J31" i="85"/>
  <c r="K31" i="85" s="1"/>
  <c r="M31" i="85" s="1"/>
  <c r="M32" i="80"/>
  <c r="L33" i="80" s="1"/>
  <c r="R33" i="80" s="1"/>
  <c r="J31" i="67"/>
  <c r="K31" i="67" s="1"/>
  <c r="M31" i="67" s="1"/>
  <c r="J32" i="67" s="1"/>
  <c r="K32" i="67" s="1"/>
  <c r="K33" i="82"/>
  <c r="M33" i="82" s="1"/>
  <c r="L30" i="84"/>
  <c r="R30" i="84" s="1"/>
  <c r="J30" i="84"/>
  <c r="AE51" i="82"/>
  <c r="AD52" i="82"/>
  <c r="AE50" i="85"/>
  <c r="AD51" i="85"/>
  <c r="AD49" i="84"/>
  <c r="AE48" i="84"/>
  <c r="AD52" i="80"/>
  <c r="AE51" i="80"/>
  <c r="AE47" i="72"/>
  <c r="AD48" i="72"/>
  <c r="AE51" i="78"/>
  <c r="AD52" i="78"/>
  <c r="K27" i="63"/>
  <c r="M27" i="63" s="1"/>
  <c r="AE50" i="67"/>
  <c r="AD51" i="67"/>
  <c r="AE47" i="71"/>
  <c r="AD48" i="71"/>
  <c r="AE45" i="63"/>
  <c r="AD46" i="63"/>
  <c r="K28" i="71"/>
  <c r="M28" i="71" s="1"/>
  <c r="L33" i="78" l="1"/>
  <c r="R33" i="78" s="1"/>
  <c r="M30" i="72"/>
  <c r="J31" i="72" s="1"/>
  <c r="L32" i="67"/>
  <c r="R32" i="67" s="1"/>
  <c r="L32" i="85"/>
  <c r="R32" i="85" s="1"/>
  <c r="J32" i="85"/>
  <c r="K32" i="85" s="1"/>
  <c r="J33" i="80"/>
  <c r="K33" i="80" s="1"/>
  <c r="M33" i="80" s="1"/>
  <c r="J34" i="80" s="1"/>
  <c r="L34" i="82"/>
  <c r="R34" i="82" s="1"/>
  <c r="J34" i="82"/>
  <c r="K30" i="84"/>
  <c r="M30" i="84" s="1"/>
  <c r="AD53" i="82"/>
  <c r="AE52" i="82"/>
  <c r="AD52" i="85"/>
  <c r="AE51" i="85"/>
  <c r="AD50" i="84"/>
  <c r="AE49" i="84"/>
  <c r="AE52" i="80"/>
  <c r="AD53" i="80"/>
  <c r="L29" i="71"/>
  <c r="R29" i="71" s="1"/>
  <c r="J29" i="71"/>
  <c r="K29" i="71" s="1"/>
  <c r="L28" i="63"/>
  <c r="R28" i="63" s="1"/>
  <c r="J28" i="63"/>
  <c r="AE51" i="67"/>
  <c r="AD52" i="67"/>
  <c r="AE48" i="71"/>
  <c r="AD49" i="71"/>
  <c r="AD49" i="72"/>
  <c r="AE48" i="72"/>
  <c r="AE52" i="78"/>
  <c r="AD53" i="78"/>
  <c r="AD47" i="63"/>
  <c r="AE46" i="63"/>
  <c r="M33" i="78" l="1"/>
  <c r="J34" i="78" s="1"/>
  <c r="K34" i="78" s="1"/>
  <c r="L31" i="72"/>
  <c r="R31" i="72" s="1"/>
  <c r="K31" i="72"/>
  <c r="M32" i="67"/>
  <c r="J33" i="67" s="1"/>
  <c r="M32" i="85"/>
  <c r="L33" i="85" s="1"/>
  <c r="R33" i="85" s="1"/>
  <c r="L34" i="80"/>
  <c r="R34" i="80" s="1"/>
  <c r="L34" i="78"/>
  <c r="R34" i="78" s="1"/>
  <c r="K34" i="80"/>
  <c r="K34" i="82"/>
  <c r="M34" i="82" s="1"/>
  <c r="L31" i="84"/>
  <c r="R31" i="84" s="1"/>
  <c r="J31" i="84"/>
  <c r="AE53" i="82"/>
  <c r="AD54" i="82"/>
  <c r="AE52" i="85"/>
  <c r="AD53" i="85"/>
  <c r="AD51" i="84"/>
  <c r="AE50" i="84"/>
  <c r="M29" i="71"/>
  <c r="J30" i="71" s="1"/>
  <c r="K30" i="71" s="1"/>
  <c r="AE53" i="80"/>
  <c r="AD54" i="80"/>
  <c r="AD50" i="71"/>
  <c r="AE49" i="71"/>
  <c r="AD50" i="72"/>
  <c r="AE49" i="72"/>
  <c r="AD48" i="63"/>
  <c r="AE47" i="63"/>
  <c r="AE52" i="67"/>
  <c r="AD53" i="67"/>
  <c r="K28" i="63"/>
  <c r="M28" i="63" s="1"/>
  <c r="AD54" i="78"/>
  <c r="AE53" i="78"/>
  <c r="M31" i="72" l="1"/>
  <c r="J32" i="72" s="1"/>
  <c r="L33" i="67"/>
  <c r="R33" i="67" s="1"/>
  <c r="J33" i="85"/>
  <c r="K33" i="85" s="1"/>
  <c r="M33" i="85" s="1"/>
  <c r="L34" i="85" s="1"/>
  <c r="R34" i="85" s="1"/>
  <c r="M34" i="80"/>
  <c r="L35" i="80" s="1"/>
  <c r="R35" i="80" s="1"/>
  <c r="M34" i="78"/>
  <c r="J35" i="78" s="1"/>
  <c r="K35" i="78" s="1"/>
  <c r="L35" i="82"/>
  <c r="R35" i="82" s="1"/>
  <c r="J35" i="82"/>
  <c r="K31" i="84"/>
  <c r="M31" i="84" s="1"/>
  <c r="AE54" i="82"/>
  <c r="AD55" i="82"/>
  <c r="AD54" i="85"/>
  <c r="AE53" i="85"/>
  <c r="AE51" i="84"/>
  <c r="AD52" i="84"/>
  <c r="L30" i="71"/>
  <c r="R30" i="71" s="1"/>
  <c r="K33" i="67"/>
  <c r="AE54" i="80"/>
  <c r="AD55" i="80"/>
  <c r="J29" i="63"/>
  <c r="L29" i="63"/>
  <c r="R29" i="63" s="1"/>
  <c r="AE53" i="67"/>
  <c r="AD54" i="67"/>
  <c r="AE54" i="78"/>
  <c r="AD55" i="78"/>
  <c r="AE50" i="72"/>
  <c r="AD51" i="72"/>
  <c r="AD51" i="71"/>
  <c r="AE50" i="71"/>
  <c r="AE48" i="63"/>
  <c r="AD49" i="63"/>
  <c r="L32" i="72" l="1"/>
  <c r="R32" i="72" s="1"/>
  <c r="M33" i="67"/>
  <c r="L34" i="67" s="1"/>
  <c r="R34" i="67" s="1"/>
  <c r="K32" i="72"/>
  <c r="J35" i="80"/>
  <c r="K35" i="80" s="1"/>
  <c r="M35" i="80" s="1"/>
  <c r="L35" i="78"/>
  <c r="R35" i="78" s="1"/>
  <c r="J34" i="85"/>
  <c r="K34" i="85" s="1"/>
  <c r="M34" i="85" s="1"/>
  <c r="K35" i="82"/>
  <c r="M35" i="82" s="1"/>
  <c r="L32" i="84"/>
  <c r="R32" i="84" s="1"/>
  <c r="J32" i="84"/>
  <c r="AD56" i="82"/>
  <c r="AE55" i="82"/>
  <c r="AE52" i="84"/>
  <c r="AD53" i="84"/>
  <c r="AE54" i="85"/>
  <c r="AD55" i="85"/>
  <c r="M30" i="71"/>
  <c r="J31" i="71" s="1"/>
  <c r="K31" i="71" s="1"/>
  <c r="AE55" i="80"/>
  <c r="AD56" i="80"/>
  <c r="AE54" i="67"/>
  <c r="AD55" i="67"/>
  <c r="AD50" i="63"/>
  <c r="AE49" i="63"/>
  <c r="AE51" i="72"/>
  <c r="AD52" i="72"/>
  <c r="AD52" i="71"/>
  <c r="AE51" i="71"/>
  <c r="AD56" i="78"/>
  <c r="AE55" i="78"/>
  <c r="K29" i="63"/>
  <c r="M29" i="63" s="1"/>
  <c r="J34" i="67" l="1"/>
  <c r="K34" i="67" s="1"/>
  <c r="M32" i="72"/>
  <c r="L33" i="72" s="1"/>
  <c r="R33" i="72" s="1"/>
  <c r="M35" i="78"/>
  <c r="J36" i="78" s="1"/>
  <c r="K36" i="78" s="1"/>
  <c r="J35" i="85"/>
  <c r="K35" i="85" s="1"/>
  <c r="L35" i="85"/>
  <c r="R35" i="85" s="1"/>
  <c r="L36" i="80"/>
  <c r="R36" i="80" s="1"/>
  <c r="J36" i="80"/>
  <c r="K36" i="80" s="1"/>
  <c r="L31" i="71"/>
  <c r="R31" i="71" s="1"/>
  <c r="L36" i="82"/>
  <c r="R36" i="82" s="1"/>
  <c r="J36" i="82"/>
  <c r="K32" i="84"/>
  <c r="M32" i="84" s="1"/>
  <c r="AD57" i="82"/>
  <c r="AE56" i="82"/>
  <c r="AD56" i="85"/>
  <c r="AE55" i="85"/>
  <c r="AE53" i="84"/>
  <c r="AD54" i="84"/>
  <c r="M34" i="67"/>
  <c r="AE56" i="80"/>
  <c r="AD57" i="80"/>
  <c r="L30" i="63"/>
  <c r="R30" i="63" s="1"/>
  <c r="J30" i="63"/>
  <c r="K30" i="63" s="1"/>
  <c r="AE50" i="63"/>
  <c r="AD51" i="63"/>
  <c r="AE52" i="72"/>
  <c r="AD53" i="72"/>
  <c r="AE55" i="67"/>
  <c r="AD56" i="67"/>
  <c r="AD57" i="78"/>
  <c r="AE56" i="78"/>
  <c r="AE52" i="71"/>
  <c r="AD53" i="71"/>
  <c r="J33" i="72" l="1"/>
  <c r="K33" i="72" s="1"/>
  <c r="L36" i="78"/>
  <c r="R36" i="78" s="1"/>
  <c r="M35" i="85"/>
  <c r="M31" i="71"/>
  <c r="L32" i="71" s="1"/>
  <c r="R32" i="71" s="1"/>
  <c r="M36" i="80"/>
  <c r="K36" i="82"/>
  <c r="M36" i="82" s="1"/>
  <c r="J33" i="84"/>
  <c r="L33" i="84"/>
  <c r="R33" i="84" s="1"/>
  <c r="AD58" i="82"/>
  <c r="AE57" i="82"/>
  <c r="AE54" i="84"/>
  <c r="AD55" i="84"/>
  <c r="AE56" i="85"/>
  <c r="AD57" i="85"/>
  <c r="J35" i="67"/>
  <c r="K35" i="67" s="1"/>
  <c r="L35" i="67"/>
  <c r="R35" i="67" s="1"/>
  <c r="M30" i="63"/>
  <c r="L31" i="63" s="1"/>
  <c r="R31" i="63" s="1"/>
  <c r="AE57" i="80"/>
  <c r="AD58" i="80"/>
  <c r="AD54" i="71"/>
  <c r="AE53" i="71"/>
  <c r="AD57" i="67"/>
  <c r="AE56" i="67"/>
  <c r="AE51" i="63"/>
  <c r="AD52" i="63"/>
  <c r="AD58" i="78"/>
  <c r="AE57" i="78"/>
  <c r="AE53" i="72"/>
  <c r="AD54" i="72"/>
  <c r="M33" i="72" l="1"/>
  <c r="L34" i="72" s="1"/>
  <c r="R34" i="72" s="1"/>
  <c r="M36" i="78"/>
  <c r="J37" i="78" s="1"/>
  <c r="K37" i="78" s="1"/>
  <c r="J36" i="85"/>
  <c r="K36" i="85" s="1"/>
  <c r="L36" i="85"/>
  <c r="R36" i="85" s="1"/>
  <c r="J32" i="71"/>
  <c r="K32" i="71" s="1"/>
  <c r="M32" i="71" s="1"/>
  <c r="J37" i="80"/>
  <c r="K37" i="80" s="1"/>
  <c r="L37" i="80"/>
  <c r="R37" i="80" s="1"/>
  <c r="J31" i="63"/>
  <c r="K31" i="63" s="1"/>
  <c r="L37" i="82"/>
  <c r="R37" i="82" s="1"/>
  <c r="J37" i="82"/>
  <c r="K33" i="84"/>
  <c r="M33" i="84" s="1"/>
  <c r="AD59" i="82"/>
  <c r="AE58" i="82"/>
  <c r="AE57" i="85"/>
  <c r="AD58" i="85"/>
  <c r="AD56" i="84"/>
  <c r="AE55" i="84"/>
  <c r="M35" i="67"/>
  <c r="AE58" i="80"/>
  <c r="AD59" i="80"/>
  <c r="AE54" i="72"/>
  <c r="AD55" i="72"/>
  <c r="AD59" i="78"/>
  <c r="AE58" i="78"/>
  <c r="AD55" i="71"/>
  <c r="AE54" i="71"/>
  <c r="AE52" i="63"/>
  <c r="AD53" i="63"/>
  <c r="AD58" i="67"/>
  <c r="AE57" i="67"/>
  <c r="J34" i="72" l="1"/>
  <c r="K34" i="72" s="1"/>
  <c r="L37" i="78"/>
  <c r="R37" i="78" s="1"/>
  <c r="M36" i="85"/>
  <c r="L37" i="85" s="1"/>
  <c r="R37" i="85" s="1"/>
  <c r="M37" i="80"/>
  <c r="J38" i="80" s="1"/>
  <c r="K38" i="80" s="1"/>
  <c r="M31" i="63"/>
  <c r="L32" i="63" s="1"/>
  <c r="R32" i="63" s="1"/>
  <c r="K37" i="82"/>
  <c r="M37" i="82" s="1"/>
  <c r="L34" i="84"/>
  <c r="R34" i="84" s="1"/>
  <c r="J34" i="84"/>
  <c r="K34" i="84" s="1"/>
  <c r="AD60" i="82"/>
  <c r="AE59" i="82"/>
  <c r="AD57" i="84"/>
  <c r="AE56" i="84"/>
  <c r="AD59" i="85"/>
  <c r="AE58" i="85"/>
  <c r="J36" i="67"/>
  <c r="K36" i="67" s="1"/>
  <c r="L36" i="67"/>
  <c r="R36" i="67" s="1"/>
  <c r="AE59" i="80"/>
  <c r="AD60" i="80"/>
  <c r="J33" i="71"/>
  <c r="L33" i="71"/>
  <c r="R33" i="71" s="1"/>
  <c r="AE58" i="67"/>
  <c r="AD59" i="67"/>
  <c r="AE53" i="63"/>
  <c r="AD54" i="63"/>
  <c r="AD56" i="72"/>
  <c r="AE55" i="72"/>
  <c r="AD56" i="71"/>
  <c r="AE55" i="71"/>
  <c r="AE59" i="78"/>
  <c r="AD60" i="78"/>
  <c r="M34" i="72" l="1"/>
  <c r="L35" i="72" s="1"/>
  <c r="R35" i="72" s="1"/>
  <c r="M37" i="78"/>
  <c r="J37" i="85"/>
  <c r="K37" i="85" s="1"/>
  <c r="L38" i="80"/>
  <c r="R38" i="80" s="1"/>
  <c r="J32" i="63"/>
  <c r="K32" i="63" s="1"/>
  <c r="M34" i="84"/>
  <c r="L35" i="84" s="1"/>
  <c r="R35" i="84" s="1"/>
  <c r="J38" i="82"/>
  <c r="L38" i="82"/>
  <c r="R38" i="82" s="1"/>
  <c r="AD61" i="82"/>
  <c r="AE60" i="82"/>
  <c r="AE57" i="84"/>
  <c r="AD58" i="84"/>
  <c r="AD60" i="85"/>
  <c r="AE59" i="85"/>
  <c r="M36" i="67"/>
  <c r="AD61" i="80"/>
  <c r="AE60" i="80"/>
  <c r="AD57" i="72"/>
  <c r="AE56" i="72"/>
  <c r="K33" i="71"/>
  <c r="M33" i="71" s="1"/>
  <c r="AE56" i="71"/>
  <c r="AD57" i="71"/>
  <c r="AE60" i="78"/>
  <c r="AD61" i="78"/>
  <c r="AD55" i="63"/>
  <c r="AE54" i="63"/>
  <c r="AD60" i="67"/>
  <c r="AE59" i="67"/>
  <c r="J35" i="72" l="1"/>
  <c r="K35" i="72" s="1"/>
  <c r="J38" i="78"/>
  <c r="L38" i="78"/>
  <c r="R38" i="78" s="1"/>
  <c r="M37" i="85"/>
  <c r="J38" i="85" s="1"/>
  <c r="K38" i="85" s="1"/>
  <c r="M32" i="63"/>
  <c r="L33" i="63" s="1"/>
  <c r="R33" i="63" s="1"/>
  <c r="M38" i="80"/>
  <c r="J35" i="84"/>
  <c r="K35" i="84" s="1"/>
  <c r="M35" i="84" s="1"/>
  <c r="K38" i="82"/>
  <c r="M38" i="82" s="1"/>
  <c r="AD64" i="82"/>
  <c r="AE64" i="82" s="1"/>
  <c r="AE61" i="82"/>
  <c r="AD62" i="82"/>
  <c r="AD63" i="82"/>
  <c r="AE63" i="82" s="1"/>
  <c r="AD61" i="85"/>
  <c r="AE60" i="85"/>
  <c r="AE58" i="84"/>
  <c r="AD59" i="84"/>
  <c r="L37" i="67"/>
  <c r="R37" i="67" s="1"/>
  <c r="J37" i="67"/>
  <c r="K37" i="67" s="1"/>
  <c r="AD62" i="80"/>
  <c r="AE61" i="80"/>
  <c r="AD64" i="80"/>
  <c r="AE64" i="80" s="1"/>
  <c r="AD63" i="80"/>
  <c r="AE63" i="80" s="1"/>
  <c r="L34" i="71"/>
  <c r="R34" i="71" s="1"/>
  <c r="J34" i="71"/>
  <c r="AD56" i="63"/>
  <c r="AE55" i="63"/>
  <c r="AD63" i="78"/>
  <c r="AE63" i="78" s="1"/>
  <c r="AD62" i="78"/>
  <c r="AE61" i="78"/>
  <c r="AD64" i="78"/>
  <c r="AE64" i="78" s="1"/>
  <c r="AE57" i="71"/>
  <c r="AD58" i="71"/>
  <c r="AE57" i="72"/>
  <c r="AD58" i="72"/>
  <c r="AE60" i="67"/>
  <c r="AD61" i="67"/>
  <c r="M35" i="72" l="1"/>
  <c r="K38" i="78"/>
  <c r="M38" i="78" s="1"/>
  <c r="L38" i="85"/>
  <c r="R38" i="85" s="1"/>
  <c r="J33" i="63"/>
  <c r="K33" i="63" s="1"/>
  <c r="M33" i="63" s="1"/>
  <c r="J34" i="63" s="1"/>
  <c r="K34" i="63" s="1"/>
  <c r="J39" i="80"/>
  <c r="L39" i="80"/>
  <c r="R39" i="80" s="1"/>
  <c r="J39" i="82"/>
  <c r="L39" i="82"/>
  <c r="R39" i="82" s="1"/>
  <c r="J36" i="84"/>
  <c r="K36" i="84" s="1"/>
  <c r="L36" i="84"/>
  <c r="R36" i="84" s="1"/>
  <c r="AD66" i="82"/>
  <c r="AE66" i="82" s="1"/>
  <c r="AD65" i="82"/>
  <c r="AE65" i="82" s="1"/>
  <c r="AE62" i="82"/>
  <c r="AD60" i="84"/>
  <c r="AE59" i="84"/>
  <c r="AE61" i="85"/>
  <c r="AD62" i="85"/>
  <c r="AD64" i="85"/>
  <c r="AE64" i="85" s="1"/>
  <c r="AD63" i="85"/>
  <c r="AE63" i="85" s="1"/>
  <c r="M37" i="67"/>
  <c r="L38" i="67" s="1"/>
  <c r="R38" i="67" s="1"/>
  <c r="AD66" i="80"/>
  <c r="AE66" i="80" s="1"/>
  <c r="AD65" i="80"/>
  <c r="AE65" i="80" s="1"/>
  <c r="AE62" i="80"/>
  <c r="AD64" i="67"/>
  <c r="AE64" i="67" s="1"/>
  <c r="AD63" i="67"/>
  <c r="AE63" i="67" s="1"/>
  <c r="AD62" i="67"/>
  <c r="AE61" i="67"/>
  <c r="AD59" i="72"/>
  <c r="AE58" i="72"/>
  <c r="AE58" i="71"/>
  <c r="AD59" i="71"/>
  <c r="AE62" i="78"/>
  <c r="AD66" i="78"/>
  <c r="AE66" i="78" s="1"/>
  <c r="AD65" i="78"/>
  <c r="AE65" i="78" s="1"/>
  <c r="AE56" i="63"/>
  <c r="AD57" i="63"/>
  <c r="K34" i="71"/>
  <c r="M34" i="71" s="1"/>
  <c r="J36" i="72" l="1"/>
  <c r="L36" i="72"/>
  <c r="R36" i="72" s="1"/>
  <c r="J39" i="78"/>
  <c r="L39" i="78"/>
  <c r="R39" i="78" s="1"/>
  <c r="M38" i="85"/>
  <c r="J39" i="85" s="1"/>
  <c r="K39" i="85" s="1"/>
  <c r="K39" i="80"/>
  <c r="M39" i="80" s="1"/>
  <c r="K39" i="82"/>
  <c r="M39" i="82" s="1"/>
  <c r="M36" i="84"/>
  <c r="J37" i="84" s="1"/>
  <c r="AE60" i="84"/>
  <c r="AD61" i="84"/>
  <c r="AD66" i="85"/>
  <c r="AE66" i="85" s="1"/>
  <c r="AD65" i="85"/>
  <c r="AE65" i="85" s="1"/>
  <c r="AE62" i="85"/>
  <c r="J38" i="67"/>
  <c r="K38" i="67" s="1"/>
  <c r="M38" i="67" s="1"/>
  <c r="L34" i="63"/>
  <c r="R34" i="63" s="1"/>
  <c r="L35" i="71"/>
  <c r="R35" i="71" s="1"/>
  <c r="J35" i="71"/>
  <c r="K35" i="71" s="1"/>
  <c r="AD66" i="67"/>
  <c r="AE66" i="67" s="1"/>
  <c r="AE62" i="67"/>
  <c r="AD65" i="67"/>
  <c r="AE65" i="67" s="1"/>
  <c r="AE59" i="71"/>
  <c r="AD60" i="71"/>
  <c r="AD58" i="63"/>
  <c r="AE57" i="63"/>
  <c r="AE59" i="72"/>
  <c r="AD60" i="72"/>
  <c r="K36" i="72" l="1"/>
  <c r="M36" i="72"/>
  <c r="K39" i="78"/>
  <c r="M39" i="78" s="1"/>
  <c r="L39" i="85"/>
  <c r="R39" i="85" s="1"/>
  <c r="J40" i="80"/>
  <c r="L40" i="80"/>
  <c r="R40" i="80" s="1"/>
  <c r="L37" i="84"/>
  <c r="R37" i="84" s="1"/>
  <c r="M34" i="63"/>
  <c r="J35" i="63" s="1"/>
  <c r="K35" i="63" s="1"/>
  <c r="L40" i="82"/>
  <c r="R40" i="82" s="1"/>
  <c r="J40" i="82"/>
  <c r="K37" i="84"/>
  <c r="AD62" i="84"/>
  <c r="AD64" i="84"/>
  <c r="AE64" i="84" s="1"/>
  <c r="AE61" i="84"/>
  <c r="AD63" i="84"/>
  <c r="AE63" i="84" s="1"/>
  <c r="L39" i="67"/>
  <c r="R39" i="67" s="1"/>
  <c r="J39" i="67"/>
  <c r="K39" i="67" s="1"/>
  <c r="M35" i="71"/>
  <c r="L36" i="71" s="1"/>
  <c r="R36" i="71" s="1"/>
  <c r="AD61" i="72"/>
  <c r="AE60" i="72"/>
  <c r="AD61" i="71"/>
  <c r="AE60" i="71"/>
  <c r="AE58" i="63"/>
  <c r="AD59" i="63"/>
  <c r="J37" i="72" l="1"/>
  <c r="L37" i="72"/>
  <c r="R37" i="72" s="1"/>
  <c r="J40" i="78"/>
  <c r="K40" i="78" s="1"/>
  <c r="L40" i="78"/>
  <c r="R40" i="78" s="1"/>
  <c r="M39" i="85"/>
  <c r="L40" i="85" s="1"/>
  <c r="R40" i="85" s="1"/>
  <c r="M37" i="84"/>
  <c r="L38" i="84" s="1"/>
  <c r="R38" i="84" s="1"/>
  <c r="K40" i="80"/>
  <c r="M40" i="80" s="1"/>
  <c r="L35" i="63"/>
  <c r="R35" i="63" s="1"/>
  <c r="K40" i="82"/>
  <c r="M40" i="82" s="1"/>
  <c r="AD65" i="84"/>
  <c r="AE65" i="84" s="1"/>
  <c r="AD66" i="84"/>
  <c r="AE66" i="84" s="1"/>
  <c r="AE62" i="84"/>
  <c r="J36" i="71"/>
  <c r="K36" i="71" s="1"/>
  <c r="M39" i="67"/>
  <c r="AE61" i="71"/>
  <c r="AD64" i="71"/>
  <c r="AE64" i="71" s="1"/>
  <c r="AD62" i="71"/>
  <c r="AD63" i="71"/>
  <c r="AE63" i="71" s="1"/>
  <c r="AD60" i="63"/>
  <c r="AE59" i="63"/>
  <c r="AD62" i="72"/>
  <c r="AD63" i="72"/>
  <c r="AE63" i="72" s="1"/>
  <c r="AD64" i="72"/>
  <c r="AE64" i="72" s="1"/>
  <c r="AE61" i="72"/>
  <c r="K37" i="72" l="1"/>
  <c r="M37" i="72" s="1"/>
  <c r="M40" i="78"/>
  <c r="J41" i="78" s="1"/>
  <c r="K41" i="78" s="1"/>
  <c r="J40" i="85"/>
  <c r="K40" i="85" s="1"/>
  <c r="J38" i="84"/>
  <c r="K38" i="84" s="1"/>
  <c r="M38" i="84" s="1"/>
  <c r="M35" i="63"/>
  <c r="L36" i="63" s="1"/>
  <c r="R36" i="63" s="1"/>
  <c r="J41" i="80"/>
  <c r="L41" i="80"/>
  <c r="R41" i="80" s="1"/>
  <c r="J41" i="82"/>
  <c r="L41" i="82"/>
  <c r="R41" i="82" s="1"/>
  <c r="M36" i="71"/>
  <c r="L37" i="71" s="1"/>
  <c r="R37" i="71" s="1"/>
  <c r="L40" i="67"/>
  <c r="R40" i="67" s="1"/>
  <c r="J40" i="67"/>
  <c r="K40" i="67" s="1"/>
  <c r="AD66" i="72"/>
  <c r="AE66" i="72" s="1"/>
  <c r="AE62" i="72"/>
  <c r="AD65" i="72"/>
  <c r="AE65" i="72" s="1"/>
  <c r="AE60" i="63"/>
  <c r="AD61" i="63"/>
  <c r="AE62" i="71"/>
  <c r="AD66" i="71"/>
  <c r="AE66" i="71" s="1"/>
  <c r="AD65" i="71"/>
  <c r="AE65" i="71" s="1"/>
  <c r="J38" i="72" l="1"/>
  <c r="L38" i="72"/>
  <c r="R38" i="72" s="1"/>
  <c r="L41" i="78"/>
  <c r="R41" i="78" s="1"/>
  <c r="M40" i="85"/>
  <c r="J36" i="63"/>
  <c r="K36" i="63" s="1"/>
  <c r="M36" i="63" s="1"/>
  <c r="K41" i="80"/>
  <c r="M41" i="80" s="1"/>
  <c r="K41" i="82"/>
  <c r="M41" i="82" s="1"/>
  <c r="L39" i="84"/>
  <c r="R39" i="84" s="1"/>
  <c r="J39" i="84"/>
  <c r="J37" i="71"/>
  <c r="M40" i="67"/>
  <c r="L41" i="67" s="1"/>
  <c r="R41" i="67" s="1"/>
  <c r="AD64" i="63"/>
  <c r="AE64" i="63" s="1"/>
  <c r="AD62" i="63"/>
  <c r="AE61" i="63"/>
  <c r="AD63" i="63"/>
  <c r="AE63" i="63" s="1"/>
  <c r="K38" i="72" l="1"/>
  <c r="M38" i="72" s="1"/>
  <c r="M41" i="78"/>
  <c r="J42" i="78" s="1"/>
  <c r="K42" i="78" s="1"/>
  <c r="J41" i="85"/>
  <c r="L41" i="85"/>
  <c r="R41" i="85" s="1"/>
  <c r="L42" i="80"/>
  <c r="R42" i="80" s="1"/>
  <c r="J42" i="80"/>
  <c r="J42" i="82"/>
  <c r="L42" i="82"/>
  <c r="R42" i="82" s="1"/>
  <c r="K39" i="84"/>
  <c r="M39" i="84" s="1"/>
  <c r="J41" i="67"/>
  <c r="K41" i="67" s="1"/>
  <c r="K37" i="71"/>
  <c r="M37" i="71" s="1"/>
  <c r="AD66" i="63"/>
  <c r="AE66" i="63" s="1"/>
  <c r="AD65" i="63"/>
  <c r="AE65" i="63" s="1"/>
  <c r="AE62" i="63"/>
  <c r="L37" i="63"/>
  <c r="R37" i="63" s="1"/>
  <c r="J37" i="63"/>
  <c r="K37" i="63" s="1"/>
  <c r="L42" i="78" l="1"/>
  <c r="R42" i="78" s="1"/>
  <c r="L39" i="72"/>
  <c r="R39" i="72" s="1"/>
  <c r="J39" i="72"/>
  <c r="K39" i="72" s="1"/>
  <c r="K41" i="85"/>
  <c r="M41" i="85" s="1"/>
  <c r="K42" i="80"/>
  <c r="M42" i="80" s="1"/>
  <c r="K42" i="82"/>
  <c r="M42" i="82" s="1"/>
  <c r="L40" i="84"/>
  <c r="R40" i="84" s="1"/>
  <c r="J40" i="84"/>
  <c r="M41" i="67"/>
  <c r="L42" i="67" s="1"/>
  <c r="R42" i="67" s="1"/>
  <c r="J38" i="71"/>
  <c r="L38" i="71"/>
  <c r="R38" i="71" s="1"/>
  <c r="M37" i="63"/>
  <c r="L38" i="63" s="1"/>
  <c r="R38" i="63" s="1"/>
  <c r="M42" i="78" l="1"/>
  <c r="M39" i="72"/>
  <c r="L43" i="78"/>
  <c r="R43" i="78" s="1"/>
  <c r="J43" i="78"/>
  <c r="K43" i="78" s="1"/>
  <c r="L42" i="85"/>
  <c r="R42" i="85" s="1"/>
  <c r="J42" i="85"/>
  <c r="L43" i="80"/>
  <c r="R43" i="80" s="1"/>
  <c r="J43" i="80"/>
  <c r="J38" i="63"/>
  <c r="K38" i="63" s="1"/>
  <c r="M38" i="63" s="1"/>
  <c r="J43" i="82"/>
  <c r="K43" i="82" s="1"/>
  <c r="L43" i="82"/>
  <c r="R43" i="82" s="1"/>
  <c r="J42" i="67"/>
  <c r="K42" i="67" s="1"/>
  <c r="K40" i="84"/>
  <c r="M40" i="84" s="1"/>
  <c r="K38" i="71"/>
  <c r="M38" i="71" s="1"/>
  <c r="W57" i="23"/>
  <c r="Z57" i="23" s="1"/>
  <c r="L40" i="72" l="1"/>
  <c r="R40" i="72" s="1"/>
  <c r="J40" i="72"/>
  <c r="M43" i="78"/>
  <c r="K42" i="85"/>
  <c r="M42" i="85" s="1"/>
  <c r="K43" i="80"/>
  <c r="M43" i="80" s="1"/>
  <c r="M43" i="82"/>
  <c r="M42" i="67"/>
  <c r="L43" i="67" s="1"/>
  <c r="R43" i="67" s="1"/>
  <c r="L41" i="84"/>
  <c r="R41" i="84" s="1"/>
  <c r="J41" i="84"/>
  <c r="J39" i="71"/>
  <c r="K39" i="71" s="1"/>
  <c r="L39" i="71"/>
  <c r="R39" i="71" s="1"/>
  <c r="L39" i="63"/>
  <c r="R39" i="63" s="1"/>
  <c r="J39" i="63"/>
  <c r="K39" i="63" s="1"/>
  <c r="K40" i="72" l="1"/>
  <c r="M40" i="72" s="1"/>
  <c r="J44" i="78"/>
  <c r="K44" i="78" s="1"/>
  <c r="L44" i="78"/>
  <c r="R44" i="78" s="1"/>
  <c r="L43" i="85"/>
  <c r="R43" i="85" s="1"/>
  <c r="J43" i="85"/>
  <c r="K43" i="85" s="1"/>
  <c r="J44" i="80"/>
  <c r="L44" i="80"/>
  <c r="R44" i="80" s="1"/>
  <c r="J43" i="67"/>
  <c r="L44" i="82"/>
  <c r="R44" i="82" s="1"/>
  <c r="J44" i="82"/>
  <c r="K41" i="84"/>
  <c r="M41" i="84" s="1"/>
  <c r="M39" i="71"/>
  <c r="L40" i="71" s="1"/>
  <c r="R40" i="71" s="1"/>
  <c r="M39" i="63"/>
  <c r="L40" i="63" s="1"/>
  <c r="R40" i="63" s="1"/>
  <c r="L41" i="72" l="1"/>
  <c r="R41" i="72" s="1"/>
  <c r="J41" i="72"/>
  <c r="M43" i="85"/>
  <c r="J44" i="85" s="1"/>
  <c r="M44" i="78"/>
  <c r="L44" i="85"/>
  <c r="R44" i="85" s="1"/>
  <c r="K44" i="80"/>
  <c r="M44" i="80" s="1"/>
  <c r="J40" i="71"/>
  <c r="K40" i="71" s="1"/>
  <c r="M40" i="71" s="1"/>
  <c r="K44" i="82"/>
  <c r="M44" i="82" s="1"/>
  <c r="K43" i="67"/>
  <c r="M43" i="67" s="1"/>
  <c r="L42" i="84"/>
  <c r="R42" i="84" s="1"/>
  <c r="J42" i="84"/>
  <c r="J40" i="63"/>
  <c r="K40" i="63" s="1"/>
  <c r="K41" i="72" l="1"/>
  <c r="M41" i="72" s="1"/>
  <c r="J45" i="78"/>
  <c r="K45" i="78" s="1"/>
  <c r="L45" i="78"/>
  <c r="R45" i="78" s="1"/>
  <c r="K44" i="85"/>
  <c r="M44" i="85" s="1"/>
  <c r="J45" i="80"/>
  <c r="K45" i="80" s="1"/>
  <c r="L45" i="80"/>
  <c r="R45" i="80" s="1"/>
  <c r="J45" i="82"/>
  <c r="K45" i="82" s="1"/>
  <c r="L45" i="82"/>
  <c r="R45" i="82" s="1"/>
  <c r="L44" i="67"/>
  <c r="R44" i="67" s="1"/>
  <c r="J44" i="67"/>
  <c r="K42" i="84"/>
  <c r="M42" i="84" s="1"/>
  <c r="L41" i="71"/>
  <c r="R41" i="71" s="1"/>
  <c r="J41" i="71"/>
  <c r="K41" i="71" s="1"/>
  <c r="M40" i="63"/>
  <c r="L41" i="63" s="1"/>
  <c r="R41" i="63" s="1"/>
  <c r="J42" i="72" l="1"/>
  <c r="L42" i="72"/>
  <c r="R42" i="72" s="1"/>
  <c r="M45" i="78"/>
  <c r="L45" i="85"/>
  <c r="R45" i="85" s="1"/>
  <c r="J45" i="85"/>
  <c r="M45" i="80"/>
  <c r="J46" i="80" s="1"/>
  <c r="K44" i="67"/>
  <c r="M44" i="67" s="1"/>
  <c r="M45" i="82"/>
  <c r="M41" i="71"/>
  <c r="L42" i="71" s="1"/>
  <c r="R42" i="71" s="1"/>
  <c r="L43" i="84"/>
  <c r="R43" i="84" s="1"/>
  <c r="J43" i="84"/>
  <c r="J41" i="63"/>
  <c r="K41" i="63" s="1"/>
  <c r="M41" i="63" s="1"/>
  <c r="K42" i="72" l="1"/>
  <c r="M42" i="72" s="1"/>
  <c r="L46" i="78"/>
  <c r="R46" i="78" s="1"/>
  <c r="J46" i="78"/>
  <c r="K46" i="78" s="1"/>
  <c r="K45" i="85"/>
  <c r="M45" i="85" s="1"/>
  <c r="L46" i="80"/>
  <c r="R46" i="80" s="1"/>
  <c r="K46" i="80"/>
  <c r="J42" i="71"/>
  <c r="K42" i="71" s="1"/>
  <c r="M42" i="71" s="1"/>
  <c r="J43" i="71" s="1"/>
  <c r="K43" i="71" s="1"/>
  <c r="L45" i="67"/>
  <c r="R45" i="67" s="1"/>
  <c r="J45" i="67"/>
  <c r="K45" i="67" s="1"/>
  <c r="J46" i="82"/>
  <c r="K46" i="82" s="1"/>
  <c r="L46" i="82"/>
  <c r="R46" i="82" s="1"/>
  <c r="K43" i="84"/>
  <c r="M43" i="84" s="1"/>
  <c r="J42" i="63"/>
  <c r="K42" i="63" s="1"/>
  <c r="L42" i="63"/>
  <c r="R42" i="63" s="1"/>
  <c r="J43" i="72" l="1"/>
  <c r="L43" i="72"/>
  <c r="R43" i="72" s="1"/>
  <c r="M46" i="78"/>
  <c r="J46" i="85"/>
  <c r="L46" i="85"/>
  <c r="R46" i="85" s="1"/>
  <c r="M46" i="80"/>
  <c r="J47" i="80" s="1"/>
  <c r="K47" i="80" s="1"/>
  <c r="L43" i="71"/>
  <c r="R43" i="71" s="1"/>
  <c r="M45" i="67"/>
  <c r="L46" i="67" s="1"/>
  <c r="R46" i="67" s="1"/>
  <c r="M46" i="82"/>
  <c r="J44" i="84"/>
  <c r="L44" i="84"/>
  <c r="R44" i="84" s="1"/>
  <c r="M42" i="63"/>
  <c r="J43" i="63" s="1"/>
  <c r="K43" i="72" l="1"/>
  <c r="M43" i="72" s="1"/>
  <c r="L47" i="78"/>
  <c r="R47" i="78" s="1"/>
  <c r="J47" i="78"/>
  <c r="K47" i="78" s="1"/>
  <c r="K46" i="85"/>
  <c r="M46" i="85" s="1"/>
  <c r="L47" i="80"/>
  <c r="R47" i="80" s="1"/>
  <c r="M43" i="71"/>
  <c r="J46" i="67"/>
  <c r="K46" i="67" s="1"/>
  <c r="J47" i="82"/>
  <c r="K47" i="82" s="1"/>
  <c r="L47" i="82"/>
  <c r="R47" i="82" s="1"/>
  <c r="K44" i="84"/>
  <c r="M44" i="84" s="1"/>
  <c r="L43" i="63"/>
  <c r="R43" i="63" s="1"/>
  <c r="K43" i="63"/>
  <c r="M47" i="78" l="1"/>
  <c r="J48" i="78" s="1"/>
  <c r="K48" i="78" s="1"/>
  <c r="L44" i="72"/>
  <c r="R44" i="72" s="1"/>
  <c r="J44" i="72"/>
  <c r="K44" i="72" s="1"/>
  <c r="J47" i="85"/>
  <c r="L47" i="85"/>
  <c r="R47" i="85" s="1"/>
  <c r="M47" i="80"/>
  <c r="L48" i="80" s="1"/>
  <c r="R48" i="80" s="1"/>
  <c r="M46" i="67"/>
  <c r="L47" i="67" s="1"/>
  <c r="R47" i="67" s="1"/>
  <c r="J44" i="71"/>
  <c r="L44" i="71"/>
  <c r="R44" i="71" s="1"/>
  <c r="M47" i="82"/>
  <c r="M43" i="63"/>
  <c r="J44" i="63" s="1"/>
  <c r="K44" i="63" s="1"/>
  <c r="L45" i="84"/>
  <c r="R45" i="84" s="1"/>
  <c r="J45" i="84"/>
  <c r="L48" i="78" l="1"/>
  <c r="R48" i="78" s="1"/>
  <c r="M44" i="72"/>
  <c r="J45" i="72" s="1"/>
  <c r="K45" i="72" s="1"/>
  <c r="K47" i="85"/>
  <c r="M47" i="85" s="1"/>
  <c r="J48" i="80"/>
  <c r="K48" i="80" s="1"/>
  <c r="J47" i="67"/>
  <c r="K47" i="67" s="1"/>
  <c r="K44" i="71"/>
  <c r="M44" i="71" s="1"/>
  <c r="L48" i="82"/>
  <c r="R48" i="82" s="1"/>
  <c r="J48" i="82"/>
  <c r="K48" i="82" s="1"/>
  <c r="L44" i="63"/>
  <c r="R44" i="63" s="1"/>
  <c r="K45" i="84"/>
  <c r="M45" i="84" s="1"/>
  <c r="M48" i="78" l="1"/>
  <c r="L49" i="78" s="1"/>
  <c r="R49" i="78" s="1"/>
  <c r="L45" i="72"/>
  <c r="R45" i="72" s="1"/>
  <c r="M45" i="72"/>
  <c r="J49" i="78"/>
  <c r="K49" i="78" s="1"/>
  <c r="M49" i="78" s="1"/>
  <c r="J48" i="85"/>
  <c r="L48" i="85"/>
  <c r="R48" i="85" s="1"/>
  <c r="M48" i="80"/>
  <c r="J49" i="80" s="1"/>
  <c r="K49" i="80" s="1"/>
  <c r="M47" i="67"/>
  <c r="J48" i="67" s="1"/>
  <c r="K48" i="67" s="1"/>
  <c r="L45" i="71"/>
  <c r="R45" i="71" s="1"/>
  <c r="J45" i="71"/>
  <c r="K45" i="71" s="1"/>
  <c r="M44" i="63"/>
  <c r="L45" i="63" s="1"/>
  <c r="R45" i="63" s="1"/>
  <c r="M48" i="82"/>
  <c r="L49" i="82" s="1"/>
  <c r="R49" i="82" s="1"/>
  <c r="L46" i="84"/>
  <c r="R46" i="84" s="1"/>
  <c r="J46" i="84"/>
  <c r="K46" i="84" s="1"/>
  <c r="J46" i="72" l="1"/>
  <c r="K46" i="72" s="1"/>
  <c r="L46" i="72"/>
  <c r="R46" i="72" s="1"/>
  <c r="K48" i="85"/>
  <c r="M48" i="85" s="1"/>
  <c r="L49" i="80"/>
  <c r="R49" i="80" s="1"/>
  <c r="L48" i="67"/>
  <c r="R48" i="67" s="1"/>
  <c r="M45" i="71"/>
  <c r="J45" i="63"/>
  <c r="K45" i="63" s="1"/>
  <c r="J49" i="82"/>
  <c r="K49" i="82" s="1"/>
  <c r="M46" i="84"/>
  <c r="L47" i="84" s="1"/>
  <c r="R47" i="84" s="1"/>
  <c r="L50" i="78"/>
  <c r="R50" i="78" s="1"/>
  <c r="J50" i="78"/>
  <c r="K50" i="78" s="1"/>
  <c r="M46" i="72" l="1"/>
  <c r="L47" i="72" s="1"/>
  <c r="R47" i="72" s="1"/>
  <c r="J47" i="72"/>
  <c r="K47" i="72" s="1"/>
  <c r="J49" i="85"/>
  <c r="L49" i="85"/>
  <c r="R49" i="85" s="1"/>
  <c r="M49" i="80"/>
  <c r="L50" i="80" s="1"/>
  <c r="R50" i="80" s="1"/>
  <c r="M48" i="67"/>
  <c r="J49" i="67" s="1"/>
  <c r="K49" i="67" s="1"/>
  <c r="J46" i="71"/>
  <c r="K46" i="71" s="1"/>
  <c r="L46" i="71"/>
  <c r="R46" i="71" s="1"/>
  <c r="M45" i="63"/>
  <c r="L46" i="63" s="1"/>
  <c r="R46" i="63" s="1"/>
  <c r="M49" i="82"/>
  <c r="L50" i="82" s="1"/>
  <c r="R50" i="82" s="1"/>
  <c r="J47" i="84"/>
  <c r="K47" i="84" s="1"/>
  <c r="M47" i="84" s="1"/>
  <c r="M50" i="78"/>
  <c r="L51" i="78" s="1"/>
  <c r="R51" i="78" s="1"/>
  <c r="M47" i="72" l="1"/>
  <c r="J48" i="72" s="1"/>
  <c r="K48" i="72" s="1"/>
  <c r="L48" i="72"/>
  <c r="R48" i="72" s="1"/>
  <c r="J50" i="80"/>
  <c r="K50" i="80" s="1"/>
  <c r="M50" i="80" s="1"/>
  <c r="K49" i="85"/>
  <c r="M49" i="85" s="1"/>
  <c r="L49" i="67"/>
  <c r="R49" i="67" s="1"/>
  <c r="M46" i="71"/>
  <c r="L47" i="71" s="1"/>
  <c r="R47" i="71" s="1"/>
  <c r="J46" i="63"/>
  <c r="K46" i="63" s="1"/>
  <c r="J50" i="82"/>
  <c r="K50" i="82" s="1"/>
  <c r="J51" i="78"/>
  <c r="K51" i="78" s="1"/>
  <c r="M51" i="78" s="1"/>
  <c r="J48" i="84"/>
  <c r="L48" i="84"/>
  <c r="R48" i="84" s="1"/>
  <c r="M48" i="72" l="1"/>
  <c r="L49" i="72" s="1"/>
  <c r="R49" i="72" s="1"/>
  <c r="L50" i="85"/>
  <c r="R50" i="85" s="1"/>
  <c r="J50" i="85"/>
  <c r="K50" i="85" s="1"/>
  <c r="M50" i="85" s="1"/>
  <c r="M49" i="67"/>
  <c r="L50" i="67" s="1"/>
  <c r="R50" i="67" s="1"/>
  <c r="J51" i="80"/>
  <c r="K51" i="80" s="1"/>
  <c r="L51" i="80"/>
  <c r="R51" i="80" s="1"/>
  <c r="M46" i="63"/>
  <c r="J47" i="63" s="1"/>
  <c r="J47" i="71"/>
  <c r="K47" i="71" s="1"/>
  <c r="M50" i="82"/>
  <c r="L51" i="82" s="1"/>
  <c r="R51" i="82" s="1"/>
  <c r="K48" i="84"/>
  <c r="M48" i="84" s="1"/>
  <c r="L52" i="78"/>
  <c r="R52" i="78" s="1"/>
  <c r="J52" i="78"/>
  <c r="K52" i="78" s="1"/>
  <c r="J49" i="72" l="1"/>
  <c r="K49" i="72"/>
  <c r="M49" i="72" s="1"/>
  <c r="L51" i="85"/>
  <c r="R51" i="85" s="1"/>
  <c r="J51" i="85"/>
  <c r="K51" i="85" s="1"/>
  <c r="J50" i="67"/>
  <c r="K50" i="67" s="1"/>
  <c r="L47" i="63"/>
  <c r="R47" i="63" s="1"/>
  <c r="M51" i="80"/>
  <c r="M47" i="71"/>
  <c r="J48" i="71" s="1"/>
  <c r="K48" i="71" s="1"/>
  <c r="J51" i="82"/>
  <c r="K51" i="82" s="1"/>
  <c r="J49" i="84"/>
  <c r="L49" i="84"/>
  <c r="R49" i="84" s="1"/>
  <c r="M52" i="78"/>
  <c r="L53" i="78" s="1"/>
  <c r="R53" i="78" s="1"/>
  <c r="K47" i="63"/>
  <c r="J50" i="72" l="1"/>
  <c r="L50" i="72"/>
  <c r="R50" i="72" s="1"/>
  <c r="M51" i="85"/>
  <c r="J52" i="85" s="1"/>
  <c r="K52" i="85" s="1"/>
  <c r="M50" i="67"/>
  <c r="M47" i="63"/>
  <c r="L48" i="63" s="1"/>
  <c r="R48" i="63" s="1"/>
  <c r="L52" i="80"/>
  <c r="R52" i="80" s="1"/>
  <c r="J52" i="80"/>
  <c r="K52" i="80" s="1"/>
  <c r="L48" i="71"/>
  <c r="R48" i="71" s="1"/>
  <c r="M51" i="82"/>
  <c r="L52" i="82" s="1"/>
  <c r="R52" i="82" s="1"/>
  <c r="K49" i="84"/>
  <c r="M49" i="84" s="1"/>
  <c r="J53" i="78"/>
  <c r="K53" i="78" s="1"/>
  <c r="M53" i="78" s="1"/>
  <c r="J54" i="78" s="1"/>
  <c r="K50" i="72" l="1"/>
  <c r="M50" i="72" s="1"/>
  <c r="L52" i="85"/>
  <c r="R52" i="85" s="1"/>
  <c r="J51" i="67"/>
  <c r="L51" i="67"/>
  <c r="R51" i="67" s="1"/>
  <c r="J48" i="63"/>
  <c r="K48" i="63" s="1"/>
  <c r="M48" i="63" s="1"/>
  <c r="J52" i="82"/>
  <c r="K52" i="82" s="1"/>
  <c r="M52" i="82" s="1"/>
  <c r="L53" i="82" s="1"/>
  <c r="R53" i="82" s="1"/>
  <c r="M52" i="80"/>
  <c r="J53" i="80" s="1"/>
  <c r="K53" i="80" s="1"/>
  <c r="M48" i="71"/>
  <c r="L49" i="71" s="1"/>
  <c r="R49" i="71" s="1"/>
  <c r="J50" i="84"/>
  <c r="K50" i="84" s="1"/>
  <c r="L50" i="84"/>
  <c r="R50" i="84" s="1"/>
  <c r="L54" i="78"/>
  <c r="R54" i="78" s="1"/>
  <c r="R67" i="78" s="1"/>
  <c r="K54" i="78"/>
  <c r="K67" i="78" s="1"/>
  <c r="D29" i="78" s="1"/>
  <c r="M52" i="85" l="1"/>
  <c r="L53" i="85" s="1"/>
  <c r="R53" i="85" s="1"/>
  <c r="L51" i="72"/>
  <c r="R51" i="72" s="1"/>
  <c r="J51" i="72"/>
  <c r="K51" i="72" s="1"/>
  <c r="J53" i="85"/>
  <c r="K53" i="85" s="1"/>
  <c r="K51" i="67"/>
  <c r="M51" i="67" s="1"/>
  <c r="J53" i="82"/>
  <c r="K53" i="82" s="1"/>
  <c r="L53" i="80"/>
  <c r="R53" i="80" s="1"/>
  <c r="J49" i="71"/>
  <c r="K49" i="71" s="1"/>
  <c r="M50" i="84"/>
  <c r="J51" i="84" s="1"/>
  <c r="M54" i="78"/>
  <c r="J55" i="78" s="1"/>
  <c r="K55" i="78" s="1"/>
  <c r="F29" i="78"/>
  <c r="F34" i="78" s="1"/>
  <c r="F36" i="78" s="1"/>
  <c r="J49" i="63"/>
  <c r="L49" i="63"/>
  <c r="R49" i="63" s="1"/>
  <c r="M51" i="72" l="1"/>
  <c r="J52" i="72" s="1"/>
  <c r="M53" i="85"/>
  <c r="L52" i="67"/>
  <c r="R52" i="67" s="1"/>
  <c r="J52" i="67"/>
  <c r="M53" i="82"/>
  <c r="J54" i="82" s="1"/>
  <c r="M53" i="80"/>
  <c r="L54" i="80" s="1"/>
  <c r="R54" i="80" s="1"/>
  <c r="R67" i="80" s="1"/>
  <c r="M49" i="71"/>
  <c r="L50" i="71" s="1"/>
  <c r="R50" i="71" s="1"/>
  <c r="L51" i="84"/>
  <c r="R51" i="84" s="1"/>
  <c r="L55" i="78"/>
  <c r="R55" i="78" s="1"/>
  <c r="K51" i="84"/>
  <c r="G29" i="78"/>
  <c r="G34" i="78" s="1"/>
  <c r="G36" i="78" s="1"/>
  <c r="G42" i="78" s="1"/>
  <c r="F35" i="78"/>
  <c r="F42" i="78"/>
  <c r="D37" i="23" s="1"/>
  <c r="H64" i="23" s="1"/>
  <c r="H76" i="23" s="1"/>
  <c r="I76" i="23" s="1"/>
  <c r="K49" i="63"/>
  <c r="M49" i="63" s="1"/>
  <c r="L52" i="72" l="1"/>
  <c r="R52" i="72" s="1"/>
  <c r="K52" i="72"/>
  <c r="J54" i="85"/>
  <c r="L54" i="85"/>
  <c r="R54" i="85" s="1"/>
  <c r="R67" i="85" s="1"/>
  <c r="F37" i="23"/>
  <c r="K52" i="67"/>
  <c r="M52" i="67" s="1"/>
  <c r="L54" i="82"/>
  <c r="R54" i="82" s="1"/>
  <c r="R67" i="82" s="1"/>
  <c r="J54" i="80"/>
  <c r="K54" i="80" s="1"/>
  <c r="K67" i="80" s="1"/>
  <c r="D29" i="80" s="1"/>
  <c r="F29" i="80" s="1"/>
  <c r="F34" i="80" s="1"/>
  <c r="F36" i="80" s="1"/>
  <c r="J50" i="71"/>
  <c r="K50" i="71" s="1"/>
  <c r="M51" i="84"/>
  <c r="J52" i="84" s="1"/>
  <c r="M55" i="78"/>
  <c r="L56" i="78" s="1"/>
  <c r="R56" i="78" s="1"/>
  <c r="K54" i="82"/>
  <c r="K67" i="82" s="1"/>
  <c r="D29" i="82" s="1"/>
  <c r="G35" i="78"/>
  <c r="Q80" i="78"/>
  <c r="Q18" i="78"/>
  <c r="Q58" i="78"/>
  <c r="Q43" i="78"/>
  <c r="Q59" i="78"/>
  <c r="Q49" i="78"/>
  <c r="Q26" i="78"/>
  <c r="Q30" i="78"/>
  <c r="Q13" i="78"/>
  <c r="Q118" i="78"/>
  <c r="Q42" i="78"/>
  <c r="Q55" i="78"/>
  <c r="Q108" i="78"/>
  <c r="Q60" i="78"/>
  <c r="Q112" i="78"/>
  <c r="Q86" i="78"/>
  <c r="Q107" i="78"/>
  <c r="Q36" i="78"/>
  <c r="Q62" i="78"/>
  <c r="Q98" i="78"/>
  <c r="Q22" i="78"/>
  <c r="Q125" i="78"/>
  <c r="Q46" i="78"/>
  <c r="Q124" i="78"/>
  <c r="Q114" i="78"/>
  <c r="Q94" i="78"/>
  <c r="Q11" i="78"/>
  <c r="Q37" i="78"/>
  <c r="Q120" i="78"/>
  <c r="Q92" i="78"/>
  <c r="Q19" i="78"/>
  <c r="Q21" i="78"/>
  <c r="Q102" i="78"/>
  <c r="Q96" i="78"/>
  <c r="Q8" i="78"/>
  <c r="Q110" i="78"/>
  <c r="Q15" i="78"/>
  <c r="Q99" i="78"/>
  <c r="Q10" i="78"/>
  <c r="Q50" i="78"/>
  <c r="Q14" i="78"/>
  <c r="Q93" i="78"/>
  <c r="Q61" i="78"/>
  <c r="Q35" i="78"/>
  <c r="Q122" i="78"/>
  <c r="Q52" i="78"/>
  <c r="Q7" i="78"/>
  <c r="Q17" i="78"/>
  <c r="Q103" i="78"/>
  <c r="Q63" i="78"/>
  <c r="Q104" i="78"/>
  <c r="Q48" i="78"/>
  <c r="Q9" i="78"/>
  <c r="Q117" i="78"/>
  <c r="Q65" i="78"/>
  <c r="Q88" i="78"/>
  <c r="Q87" i="78"/>
  <c r="Q20" i="78"/>
  <c r="Q64" i="78"/>
  <c r="Q31" i="78"/>
  <c r="Q40" i="78"/>
  <c r="Q101" i="78"/>
  <c r="Q44" i="78"/>
  <c r="Q56" i="78"/>
  <c r="Q84" i="78"/>
  <c r="Q106" i="78"/>
  <c r="G43" i="78"/>
  <c r="H37" i="23" s="1"/>
  <c r="I64" i="23" s="1"/>
  <c r="Q34" i="78"/>
  <c r="Q97" i="78"/>
  <c r="Q79" i="78"/>
  <c r="Q33" i="78"/>
  <c r="Q82" i="78"/>
  <c r="Q25" i="78"/>
  <c r="Q47" i="78"/>
  <c r="Q45" i="78"/>
  <c r="Q111" i="78"/>
  <c r="Q115" i="78"/>
  <c r="Q95" i="78"/>
  <c r="Q113" i="78"/>
  <c r="Q126" i="78"/>
  <c r="Q119" i="78"/>
  <c r="Q51" i="78"/>
  <c r="Q90" i="78"/>
  <c r="Q109" i="78"/>
  <c r="Q83" i="78"/>
  <c r="Q24" i="78"/>
  <c r="Q12" i="78"/>
  <c r="Q116" i="78"/>
  <c r="Q66" i="78"/>
  <c r="Q23" i="78"/>
  <c r="Q29" i="78"/>
  <c r="Q81" i="78"/>
  <c r="Q54" i="78"/>
  <c r="Q100" i="78"/>
  <c r="Q32" i="78"/>
  <c r="Q27" i="78"/>
  <c r="Q28" i="78"/>
  <c r="Q53" i="78"/>
  <c r="Q41" i="78"/>
  <c r="Q121" i="78"/>
  <c r="Q39" i="78"/>
  <c r="Q38" i="78"/>
  <c r="Q123" i="78"/>
  <c r="Q91" i="78"/>
  <c r="Q105" i="78"/>
  <c r="Q89" i="78"/>
  <c r="Q85" i="78"/>
  <c r="Q16" i="78"/>
  <c r="Q57" i="78"/>
  <c r="L50" i="63"/>
  <c r="R50" i="63" s="1"/>
  <c r="J50" i="63"/>
  <c r="M52" i="72" l="1"/>
  <c r="J53" i="72" s="1"/>
  <c r="K53" i="72" s="1"/>
  <c r="K54" i="85"/>
  <c r="K67" i="85" s="1"/>
  <c r="D29" i="85" s="1"/>
  <c r="M50" i="71"/>
  <c r="J51" i="71" s="1"/>
  <c r="O35" i="23"/>
  <c r="L53" i="67"/>
  <c r="R53" i="67" s="1"/>
  <c r="J53" i="67"/>
  <c r="M54" i="80"/>
  <c r="J55" i="80" s="1"/>
  <c r="K55" i="80" s="1"/>
  <c r="L52" i="84"/>
  <c r="R52" i="84" s="1"/>
  <c r="G29" i="80"/>
  <c r="G34" i="80" s="1"/>
  <c r="G36" i="80" s="1"/>
  <c r="G35" i="80" s="1"/>
  <c r="F35" i="80"/>
  <c r="F42" i="80"/>
  <c r="D42" i="23" s="1"/>
  <c r="H69" i="23" s="1"/>
  <c r="J56" i="78"/>
  <c r="K56" i="78" s="1"/>
  <c r="M56" i="78" s="1"/>
  <c r="J57" i="78" s="1"/>
  <c r="K57" i="78" s="1"/>
  <c r="M54" i="82"/>
  <c r="F29" i="82"/>
  <c r="F34" i="82" s="1"/>
  <c r="F36" i="82" s="1"/>
  <c r="F42" i="82" s="1"/>
  <c r="K52" i="84"/>
  <c r="U7" i="78"/>
  <c r="U8" i="78" s="1"/>
  <c r="U9" i="78" s="1"/>
  <c r="U10" i="78" s="1"/>
  <c r="U11" i="78" s="1"/>
  <c r="U12" i="78" s="1"/>
  <c r="U13" i="78" s="1"/>
  <c r="U14" i="78" s="1"/>
  <c r="U15" i="78" s="1"/>
  <c r="Q67" i="78"/>
  <c r="U79" i="78"/>
  <c r="U80" i="78" s="1"/>
  <c r="U81" i="78" s="1"/>
  <c r="U82" i="78" s="1"/>
  <c r="U83" i="78" s="1"/>
  <c r="U84" i="78" s="1"/>
  <c r="U85" i="78" s="1"/>
  <c r="U86" i="78" s="1"/>
  <c r="U87" i="78" s="1"/>
  <c r="K50" i="63"/>
  <c r="M50" i="63" s="1"/>
  <c r="L53" i="72" l="1"/>
  <c r="R53" i="72" s="1"/>
  <c r="L51" i="71"/>
  <c r="R51" i="71" s="1"/>
  <c r="M54" i="85"/>
  <c r="F29" i="85"/>
  <c r="F34" i="85" s="1"/>
  <c r="F36" i="85" s="1"/>
  <c r="P35" i="23"/>
  <c r="Q35" i="23" s="1"/>
  <c r="S35" i="23" s="1"/>
  <c r="K53" i="67"/>
  <c r="M53" i="67" s="1"/>
  <c r="M52" i="84"/>
  <c r="J53" i="84" s="1"/>
  <c r="K53" i="84" s="1"/>
  <c r="L55" i="80"/>
  <c r="R55" i="80" s="1"/>
  <c r="K51" i="71"/>
  <c r="G42" i="80"/>
  <c r="L57" i="78"/>
  <c r="R57" i="78" s="1"/>
  <c r="F35" i="82"/>
  <c r="L55" i="82"/>
  <c r="R55" i="82" s="1"/>
  <c r="J55" i="82"/>
  <c r="G29" i="82"/>
  <c r="G34" i="82" s="1"/>
  <c r="G36" i="82" s="1"/>
  <c r="W14" i="78"/>
  <c r="W7" i="78"/>
  <c r="X7" i="78" s="1"/>
  <c r="W79" i="78"/>
  <c r="X79" i="78" s="1"/>
  <c r="W11" i="78"/>
  <c r="W82" i="78"/>
  <c r="W8" i="78"/>
  <c r="W85" i="78"/>
  <c r="W81" i="78"/>
  <c r="W9" i="78"/>
  <c r="U88" i="78"/>
  <c r="W87" i="78"/>
  <c r="U16" i="78"/>
  <c r="W15" i="78"/>
  <c r="W80" i="78"/>
  <c r="W84" i="78"/>
  <c r="W10" i="78"/>
  <c r="W12" i="78"/>
  <c r="W86" i="78"/>
  <c r="W13" i="78"/>
  <c r="W83" i="78"/>
  <c r="J51" i="63"/>
  <c r="L51" i="63"/>
  <c r="R51" i="63" s="1"/>
  <c r="M51" i="71" l="1"/>
  <c r="L52" i="71" s="1"/>
  <c r="R52" i="71" s="1"/>
  <c r="M53" i="72"/>
  <c r="J54" i="72" s="1"/>
  <c r="G29" i="85"/>
  <c r="G34" i="85" s="1"/>
  <c r="G36" i="85" s="1"/>
  <c r="F42" i="85"/>
  <c r="F35" i="85"/>
  <c r="J55" i="85"/>
  <c r="K55" i="85" s="1"/>
  <c r="L55" i="85"/>
  <c r="R55" i="85" s="1"/>
  <c r="Q7" i="80"/>
  <c r="U7" i="80" s="1"/>
  <c r="U8" i="80" s="1"/>
  <c r="U9" i="80" s="1"/>
  <c r="U10" i="80" s="1"/>
  <c r="U11" i="80" s="1"/>
  <c r="U12" i="80" s="1"/>
  <c r="U13" i="80" s="1"/>
  <c r="U14" i="80" s="1"/>
  <c r="U15" i="80" s="1"/>
  <c r="F42" i="23"/>
  <c r="Y35" i="23"/>
  <c r="C20" i="98" s="1"/>
  <c r="W35" i="23"/>
  <c r="Z35" i="23" s="1"/>
  <c r="L54" i="67"/>
  <c r="R54" i="67" s="1"/>
  <c r="R67" i="67" s="1"/>
  <c r="J54" i="67"/>
  <c r="L53" i="84"/>
  <c r="R53" i="84" s="1"/>
  <c r="M55" i="80"/>
  <c r="Q53" i="80"/>
  <c r="Q59" i="80"/>
  <c r="Q85" i="80"/>
  <c r="Q66" i="80"/>
  <c r="Q47" i="80"/>
  <c r="Q56" i="80"/>
  <c r="Q86" i="80"/>
  <c r="Q64" i="80"/>
  <c r="Q104" i="80"/>
  <c r="Q75" i="80"/>
  <c r="U75" i="80" s="1"/>
  <c r="U76" i="80" s="1"/>
  <c r="U77" i="80" s="1"/>
  <c r="U78" i="80" s="1"/>
  <c r="U79" i="80" s="1"/>
  <c r="U80" i="80" s="1"/>
  <c r="U81" i="80" s="1"/>
  <c r="U82" i="80" s="1"/>
  <c r="U83" i="80" s="1"/>
  <c r="Q115" i="80"/>
  <c r="Q23" i="80"/>
  <c r="Q65" i="80"/>
  <c r="Q45" i="80"/>
  <c r="Q105" i="80"/>
  <c r="Q87" i="80"/>
  <c r="Q38" i="80"/>
  <c r="Q122" i="80"/>
  <c r="Q35" i="80"/>
  <c r="Q118" i="80"/>
  <c r="Q109" i="80"/>
  <c r="Q89" i="80"/>
  <c r="Q76" i="80"/>
  <c r="Q21" i="80"/>
  <c r="Q42" i="80"/>
  <c r="Q60" i="80"/>
  <c r="Q82" i="80"/>
  <c r="Q102" i="80"/>
  <c r="Q81" i="80"/>
  <c r="Q77" i="80"/>
  <c r="Q94" i="80"/>
  <c r="Q107" i="80"/>
  <c r="Q78" i="80"/>
  <c r="Q83" i="80"/>
  <c r="Q96" i="80"/>
  <c r="Q100" i="80"/>
  <c r="Q55" i="80"/>
  <c r="Q9" i="80"/>
  <c r="Q31" i="80"/>
  <c r="Q19" i="80"/>
  <c r="Q22" i="80"/>
  <c r="Q61" i="80"/>
  <c r="Q34" i="80"/>
  <c r="Q57" i="80"/>
  <c r="Q20" i="80"/>
  <c r="Q11" i="80"/>
  <c r="Q16" i="80"/>
  <c r="Q8" i="80"/>
  <c r="Q114" i="80"/>
  <c r="Q119" i="80"/>
  <c r="Q62" i="80"/>
  <c r="Q121" i="80"/>
  <c r="Q54" i="80"/>
  <c r="Q80" i="80"/>
  <c r="Q103" i="80"/>
  <c r="Q101" i="80"/>
  <c r="Q108" i="80"/>
  <c r="Q90" i="80"/>
  <c r="Q93" i="80"/>
  <c r="Q106" i="80"/>
  <c r="Q91" i="80"/>
  <c r="Q79" i="80"/>
  <c r="Q111" i="80"/>
  <c r="Q117" i="80"/>
  <c r="Q32" i="80"/>
  <c r="Q48" i="80"/>
  <c r="Q30" i="80"/>
  <c r="Q24" i="80"/>
  <c r="Q116" i="80"/>
  <c r="Q63" i="80"/>
  <c r="Q36" i="80"/>
  <c r="Q33" i="80"/>
  <c r="Q14" i="80"/>
  <c r="Q26" i="80"/>
  <c r="Q43" i="80"/>
  <c r="Q12" i="80"/>
  <c r="Q52" i="80"/>
  <c r="Q113" i="80"/>
  <c r="Q18" i="80"/>
  <c r="Q40" i="80"/>
  <c r="Q92" i="80"/>
  <c r="Q99" i="80"/>
  <c r="Q110" i="80"/>
  <c r="Q88" i="80"/>
  <c r="Q98" i="80"/>
  <c r="Q97" i="80"/>
  <c r="Q95" i="80"/>
  <c r="Q84" i="80"/>
  <c r="Q29" i="80"/>
  <c r="Q37" i="80"/>
  <c r="Q51" i="80"/>
  <c r="G43" i="80"/>
  <c r="H42" i="23" s="1"/>
  <c r="I69" i="23" s="1"/>
  <c r="Q13" i="80"/>
  <c r="Q120" i="80"/>
  <c r="Q50" i="80"/>
  <c r="Q27" i="80"/>
  <c r="Q17" i="80"/>
  <c r="Q112" i="80"/>
  <c r="Q39" i="80"/>
  <c r="Q46" i="80"/>
  <c r="Q25" i="80"/>
  <c r="Q10" i="80"/>
  <c r="Q15" i="80"/>
  <c r="Q58" i="80"/>
  <c r="Q44" i="80"/>
  <c r="M57" i="78"/>
  <c r="L58" i="78" s="1"/>
  <c r="R58" i="78" s="1"/>
  <c r="Q41" i="80"/>
  <c r="Q49" i="80"/>
  <c r="Q28" i="80"/>
  <c r="G42" i="82"/>
  <c r="F34" i="23" s="1"/>
  <c r="G35" i="82"/>
  <c r="K55" i="82"/>
  <c r="M55" i="82" s="1"/>
  <c r="D34" i="23"/>
  <c r="H61" i="23" s="1"/>
  <c r="X8" i="78"/>
  <c r="X9" i="78" s="1"/>
  <c r="X10" i="78" s="1"/>
  <c r="X11" i="78" s="1"/>
  <c r="X12" i="78" s="1"/>
  <c r="X13" i="78" s="1"/>
  <c r="X14" i="78" s="1"/>
  <c r="X15" i="78" s="1"/>
  <c r="X80" i="78"/>
  <c r="X81" i="78" s="1"/>
  <c r="X82" i="78" s="1"/>
  <c r="X83" i="78" s="1"/>
  <c r="X84" i="78" s="1"/>
  <c r="X85" i="78" s="1"/>
  <c r="X86" i="78" s="1"/>
  <c r="X87" i="78" s="1"/>
  <c r="U17" i="78"/>
  <c r="W16" i="78"/>
  <c r="U89" i="78"/>
  <c r="W88" i="78"/>
  <c r="K51" i="63"/>
  <c r="M51" i="63" s="1"/>
  <c r="J52" i="71" l="1"/>
  <c r="L54" i="72"/>
  <c r="R54" i="72" s="1"/>
  <c r="R67" i="72" s="1"/>
  <c r="H20" i="102"/>
  <c r="C44" i="98"/>
  <c r="K54" i="72"/>
  <c r="K67" i="72" s="1"/>
  <c r="D29" i="72" s="1"/>
  <c r="M55" i="85"/>
  <c r="D41" i="23"/>
  <c r="H68" i="23" s="1"/>
  <c r="G42" i="85"/>
  <c r="F41" i="23" s="1"/>
  <c r="G35" i="85"/>
  <c r="O40" i="23"/>
  <c r="M53" i="84"/>
  <c r="L54" i="84" s="1"/>
  <c r="R54" i="84" s="1"/>
  <c r="R67" i="84" s="1"/>
  <c r="K54" i="67"/>
  <c r="K67" i="67" s="1"/>
  <c r="D29" i="67" s="1"/>
  <c r="J56" i="80"/>
  <c r="L56" i="80"/>
  <c r="R56" i="80" s="1"/>
  <c r="O34" i="23"/>
  <c r="J58" i="78"/>
  <c r="K58" i="78" s="1"/>
  <c r="M58" i="78" s="1"/>
  <c r="L59" i="78" s="1"/>
  <c r="R59" i="78" s="1"/>
  <c r="W8" i="80"/>
  <c r="W81" i="80"/>
  <c r="W76" i="80"/>
  <c r="W82" i="80"/>
  <c r="W78" i="80"/>
  <c r="K52" i="71"/>
  <c r="M52" i="71" s="1"/>
  <c r="W11" i="80"/>
  <c r="W77" i="80"/>
  <c r="Q67" i="80"/>
  <c r="W9" i="80"/>
  <c r="W14" i="80"/>
  <c r="W10" i="80"/>
  <c r="W79" i="80"/>
  <c r="W15" i="80"/>
  <c r="U16" i="80"/>
  <c r="W75" i="80"/>
  <c r="X75" i="80" s="1"/>
  <c r="W13" i="80"/>
  <c r="W83" i="80"/>
  <c r="U84" i="80"/>
  <c r="W7" i="80"/>
  <c r="X7" i="80" s="1"/>
  <c r="W80" i="80"/>
  <c r="W12" i="80"/>
  <c r="Q35" i="82"/>
  <c r="Q54" i="82"/>
  <c r="Q36" i="82"/>
  <c r="Q25" i="82"/>
  <c r="Q48" i="82"/>
  <c r="Q47" i="82"/>
  <c r="Q28" i="82"/>
  <c r="Q51" i="82"/>
  <c r="Q11" i="82"/>
  <c r="Q66" i="82"/>
  <c r="Q60" i="82"/>
  <c r="Q9" i="82"/>
  <c r="Q13" i="82"/>
  <c r="Q30" i="82"/>
  <c r="Q26" i="82"/>
  <c r="Q44" i="82"/>
  <c r="Q8" i="82"/>
  <c r="Q64" i="82"/>
  <c r="Q31" i="82"/>
  <c r="Q39" i="82"/>
  <c r="Q33" i="82"/>
  <c r="Q49" i="82"/>
  <c r="Q50" i="82"/>
  <c r="Q58" i="82"/>
  <c r="Q57" i="82"/>
  <c r="Q45" i="82"/>
  <c r="Q65" i="82"/>
  <c r="Q7" i="82"/>
  <c r="U7" i="82" s="1"/>
  <c r="U8" i="82" s="1"/>
  <c r="U9" i="82" s="1"/>
  <c r="U10" i="82" s="1"/>
  <c r="Q14" i="82"/>
  <c r="Q29" i="82"/>
  <c r="Q12" i="82"/>
  <c r="Q38" i="82"/>
  <c r="Q53" i="82"/>
  <c r="Q17" i="82"/>
  <c r="Q21" i="82"/>
  <c r="G43" i="82"/>
  <c r="H34" i="23" s="1"/>
  <c r="Q55" i="82"/>
  <c r="Q63" i="82"/>
  <c r="Q10" i="82"/>
  <c r="Q42" i="82"/>
  <c r="Q59" i="82"/>
  <c r="Q15" i="82"/>
  <c r="Q27" i="82"/>
  <c r="Q18" i="82"/>
  <c r="Q43" i="82"/>
  <c r="Q23" i="82"/>
  <c r="Q46" i="82"/>
  <c r="Q19" i="82"/>
  <c r="Q16" i="82"/>
  <c r="Q22" i="82"/>
  <c r="Q32" i="82"/>
  <c r="Q62" i="82"/>
  <c r="Q20" i="82"/>
  <c r="Q52" i="82"/>
  <c r="Q34" i="82"/>
  <c r="Q24" i="82"/>
  <c r="Q40" i="82"/>
  <c r="Q61" i="82"/>
  <c r="Q41" i="82"/>
  <c r="Q56" i="82"/>
  <c r="Q37" i="82"/>
  <c r="J56" i="82"/>
  <c r="L56" i="82"/>
  <c r="R56" i="82" s="1"/>
  <c r="X16" i="78"/>
  <c r="X88" i="78"/>
  <c r="U18" i="78"/>
  <c r="W17" i="78"/>
  <c r="U90" i="78"/>
  <c r="W89" i="78"/>
  <c r="J52" i="63"/>
  <c r="L52" i="63"/>
  <c r="R52" i="63" s="1"/>
  <c r="F20" i="102" l="1"/>
  <c r="I20" i="102" s="1"/>
  <c r="M54" i="72"/>
  <c r="L55" i="72" s="1"/>
  <c r="R55" i="72" s="1"/>
  <c r="F29" i="72"/>
  <c r="F34" i="72" s="1"/>
  <c r="F36" i="72" s="1"/>
  <c r="Q10" i="85"/>
  <c r="Q38" i="85"/>
  <c r="Q116" i="85"/>
  <c r="Q47" i="85"/>
  <c r="Q107" i="85"/>
  <c r="Q50" i="85"/>
  <c r="Q36" i="85"/>
  <c r="Q43" i="85"/>
  <c r="Q42" i="85"/>
  <c r="Q81" i="85"/>
  <c r="W81" i="85" s="1"/>
  <c r="Q23" i="85"/>
  <c r="Q60" i="85"/>
  <c r="Q31" i="85"/>
  <c r="Q54" i="85"/>
  <c r="Q52" i="85"/>
  <c r="Q29" i="85"/>
  <c r="Q45" i="85"/>
  <c r="Q114" i="85"/>
  <c r="Q7" i="85"/>
  <c r="Q91" i="85"/>
  <c r="W91" i="85" s="1"/>
  <c r="Q13" i="85"/>
  <c r="Q80" i="85"/>
  <c r="W80" i="85" s="1"/>
  <c r="Q46" i="85"/>
  <c r="Q19" i="85"/>
  <c r="Q32" i="85"/>
  <c r="Q39" i="85"/>
  <c r="Q9" i="85"/>
  <c r="Q18" i="85"/>
  <c r="Q34" i="85"/>
  <c r="Q61" i="85"/>
  <c r="Q110" i="85"/>
  <c r="Q126" i="85"/>
  <c r="Q111" i="85"/>
  <c r="Q125" i="85"/>
  <c r="Q94" i="85"/>
  <c r="W94" i="85" s="1"/>
  <c r="Q21" i="85"/>
  <c r="Q124" i="85"/>
  <c r="Q27" i="85"/>
  <c r="Q115" i="85"/>
  <c r="Q41" i="85"/>
  <c r="Q99" i="85"/>
  <c r="Q14" i="85"/>
  <c r="Q89" i="85"/>
  <c r="W89" i="85" s="1"/>
  <c r="Q96" i="85"/>
  <c r="W96" i="85" s="1"/>
  <c r="Q49" i="85"/>
  <c r="G43" i="85"/>
  <c r="H41" i="23" s="1"/>
  <c r="I68" i="23" s="1"/>
  <c r="Q119" i="85"/>
  <c r="Q123" i="85"/>
  <c r="Q121" i="85"/>
  <c r="Q51" i="85"/>
  <c r="Q55" i="85"/>
  <c r="Q35" i="85"/>
  <c r="Q56" i="85"/>
  <c r="Q26" i="85"/>
  <c r="Q108" i="85"/>
  <c r="Q109" i="85"/>
  <c r="Q65" i="85"/>
  <c r="Q92" i="85"/>
  <c r="W92" i="85" s="1"/>
  <c r="Q84" i="85"/>
  <c r="W84" i="85" s="1"/>
  <c r="Q22" i="85"/>
  <c r="Q103" i="85"/>
  <c r="Q16" i="85"/>
  <c r="Q24" i="85"/>
  <c r="Q83" i="85"/>
  <c r="W83" i="85" s="1"/>
  <c r="Q122" i="85"/>
  <c r="Q62" i="85"/>
  <c r="Q79" i="85"/>
  <c r="Q30" i="85"/>
  <c r="Q90" i="85"/>
  <c r="W90" i="85" s="1"/>
  <c r="Q120" i="85"/>
  <c r="Q82" i="85"/>
  <c r="W82" i="85" s="1"/>
  <c r="Q12" i="85"/>
  <c r="Q48" i="85"/>
  <c r="Q104" i="85"/>
  <c r="Q86" i="85"/>
  <c r="W86" i="85" s="1"/>
  <c r="Q15" i="85"/>
  <c r="Q53" i="85"/>
  <c r="Q95" i="85"/>
  <c r="W95" i="85" s="1"/>
  <c r="Q113" i="85"/>
  <c r="Q97" i="85"/>
  <c r="W97" i="85" s="1"/>
  <c r="Q98" i="85"/>
  <c r="Q118" i="85"/>
  <c r="Q11" i="85"/>
  <c r="Q117" i="85"/>
  <c r="Q40" i="85"/>
  <c r="Q101" i="85"/>
  <c r="Q88" i="85"/>
  <c r="W88" i="85" s="1"/>
  <c r="Q20" i="85"/>
  <c r="Q59" i="85"/>
  <c r="Q106" i="85"/>
  <c r="Q63" i="85"/>
  <c r="Q57" i="85"/>
  <c r="Q28" i="85"/>
  <c r="Q87" i="85"/>
  <c r="W87" i="85" s="1"/>
  <c r="Q112" i="85"/>
  <c r="Q93" i="85"/>
  <c r="W93" i="85" s="1"/>
  <c r="Q66" i="85"/>
  <c r="Q37" i="85"/>
  <c r="Q44" i="85"/>
  <c r="Q8" i="85"/>
  <c r="Q105" i="85"/>
  <c r="Q58" i="85"/>
  <c r="Q85" i="85"/>
  <c r="W85" i="85" s="1"/>
  <c r="Q33" i="85"/>
  <c r="Q64" i="85"/>
  <c r="Q102" i="85"/>
  <c r="Q100" i="85"/>
  <c r="Q25" i="85"/>
  <c r="Q17" i="85"/>
  <c r="J56" i="85"/>
  <c r="K56" i="85" s="1"/>
  <c r="L56" i="85"/>
  <c r="R56" i="85" s="1"/>
  <c r="I61" i="23"/>
  <c r="H20" i="98"/>
  <c r="F20" i="98"/>
  <c r="I20" i="98" s="1"/>
  <c r="J54" i="84"/>
  <c r="K54" i="84" s="1"/>
  <c r="K67" i="84" s="1"/>
  <c r="D29" i="84" s="1"/>
  <c r="F29" i="84" s="1"/>
  <c r="F34" i="84" s="1"/>
  <c r="F36" i="84" s="1"/>
  <c r="J59" i="78"/>
  <c r="K59" i="78" s="1"/>
  <c r="P34" i="23"/>
  <c r="Q34" i="23" s="1"/>
  <c r="S34" i="23" s="1"/>
  <c r="Y34" i="23" s="1"/>
  <c r="C8" i="102" s="1"/>
  <c r="P40" i="23"/>
  <c r="Q40" i="23" s="1"/>
  <c r="S40" i="23" s="1"/>
  <c r="M54" i="67"/>
  <c r="J55" i="67" s="1"/>
  <c r="F29" i="67"/>
  <c r="F34" i="67" s="1"/>
  <c r="F36" i="67" s="1"/>
  <c r="K56" i="80"/>
  <c r="M56" i="80" s="1"/>
  <c r="X8" i="80"/>
  <c r="X9" i="80" s="1"/>
  <c r="X10" i="80" s="1"/>
  <c r="X11" i="80" s="1"/>
  <c r="X12" i="80" s="1"/>
  <c r="X13" i="80" s="1"/>
  <c r="X14" i="80" s="1"/>
  <c r="X15" i="80" s="1"/>
  <c r="X76" i="80"/>
  <c r="X77" i="80" s="1"/>
  <c r="X78" i="80" s="1"/>
  <c r="X79" i="80" s="1"/>
  <c r="X80" i="80" s="1"/>
  <c r="X81" i="80" s="1"/>
  <c r="X82" i="80" s="1"/>
  <c r="X83" i="80" s="1"/>
  <c r="J53" i="71"/>
  <c r="L53" i="71"/>
  <c r="R53" i="71" s="1"/>
  <c r="X89" i="78"/>
  <c r="U85" i="80"/>
  <c r="W84" i="80"/>
  <c r="U17" i="80"/>
  <c r="W16" i="80"/>
  <c r="Q67" i="82"/>
  <c r="U11" i="82"/>
  <c r="U12" i="82" s="1"/>
  <c r="U13" i="82" s="1"/>
  <c r="U14" i="82" s="1"/>
  <c r="U15" i="82" s="1"/>
  <c r="W10" i="82"/>
  <c r="W9" i="82"/>
  <c r="W7" i="82"/>
  <c r="X7" i="82" s="1"/>
  <c r="W8" i="82"/>
  <c r="K56" i="82"/>
  <c r="M56" i="82" s="1"/>
  <c r="W90" i="78"/>
  <c r="U91" i="78"/>
  <c r="X17" i="78"/>
  <c r="W18" i="78"/>
  <c r="U19" i="78"/>
  <c r="K52" i="63"/>
  <c r="M52" i="63" s="1"/>
  <c r="J55" i="72" l="1"/>
  <c r="K55" i="72" s="1"/>
  <c r="M55" i="72" s="1"/>
  <c r="F8" i="102"/>
  <c r="I8" i="102" s="1"/>
  <c r="H8" i="102"/>
  <c r="G29" i="72"/>
  <c r="G34" i="72" s="1"/>
  <c r="G36" i="72" s="1"/>
  <c r="G35" i="72" s="1"/>
  <c r="F35" i="72"/>
  <c r="F42" i="72"/>
  <c r="M56" i="85"/>
  <c r="U79" i="85"/>
  <c r="U80" i="85" s="1"/>
  <c r="U81" i="85" s="1"/>
  <c r="U82" i="85" s="1"/>
  <c r="U83" i="85" s="1"/>
  <c r="U84" i="85" s="1"/>
  <c r="U85" i="85" s="1"/>
  <c r="U86" i="85" s="1"/>
  <c r="U87" i="85" s="1"/>
  <c r="U88" i="85" s="1"/>
  <c r="U89" i="85" s="1"/>
  <c r="U90" i="85" s="1"/>
  <c r="U91" i="85" s="1"/>
  <c r="U92" i="85" s="1"/>
  <c r="U93" i="85" s="1"/>
  <c r="U94" i="85" s="1"/>
  <c r="U95" i="85" s="1"/>
  <c r="U96" i="85" s="1"/>
  <c r="U97" i="85" s="1"/>
  <c r="U98" i="85" s="1"/>
  <c r="U99" i="85" s="1"/>
  <c r="W79" i="85"/>
  <c r="X79" i="85" s="1"/>
  <c r="X80" i="85" s="1"/>
  <c r="X81" i="85" s="1"/>
  <c r="X82" i="85" s="1"/>
  <c r="X83" i="85" s="1"/>
  <c r="X84" i="85" s="1"/>
  <c r="X85" i="85" s="1"/>
  <c r="X86" i="85" s="1"/>
  <c r="X87" i="85" s="1"/>
  <c r="X88" i="85" s="1"/>
  <c r="X89" i="85" s="1"/>
  <c r="X90" i="85" s="1"/>
  <c r="X91" i="85" s="1"/>
  <c r="X92" i="85" s="1"/>
  <c r="X93" i="85" s="1"/>
  <c r="X94" i="85" s="1"/>
  <c r="X95" i="85" s="1"/>
  <c r="X96" i="85" s="1"/>
  <c r="X97" i="85" s="1"/>
  <c r="Q67" i="85"/>
  <c r="U7" i="85"/>
  <c r="U8" i="85" s="1"/>
  <c r="U9" i="85" s="1"/>
  <c r="U10" i="85" s="1"/>
  <c r="U11" i="85" s="1"/>
  <c r="U12" i="85" s="1"/>
  <c r="U13" i="85" s="1"/>
  <c r="U14" i="85" s="1"/>
  <c r="U15" i="85" s="1"/>
  <c r="U16" i="85" s="1"/>
  <c r="U17" i="85" s="1"/>
  <c r="U18" i="85" s="1"/>
  <c r="U19" i="85" s="1"/>
  <c r="U20" i="85" s="1"/>
  <c r="U21" i="85" s="1"/>
  <c r="M59" i="78"/>
  <c r="L60" i="78" s="1"/>
  <c r="R60" i="78" s="1"/>
  <c r="M54" i="84"/>
  <c r="J55" i="84" s="1"/>
  <c r="K55" i="84" s="1"/>
  <c r="C8" i="98"/>
  <c r="Y40" i="23"/>
  <c r="W40" i="23"/>
  <c r="Z40" i="23" s="1"/>
  <c r="L55" i="67"/>
  <c r="R55" i="67" s="1"/>
  <c r="G29" i="67"/>
  <c r="G34" i="67" s="1"/>
  <c r="G36" i="67" s="1"/>
  <c r="G35" i="67" s="1"/>
  <c r="F42" i="67"/>
  <c r="D43" i="23" s="1"/>
  <c r="H70" i="23" s="1"/>
  <c r="F35" i="67"/>
  <c r="K55" i="67"/>
  <c r="X90" i="78"/>
  <c r="W34" i="23"/>
  <c r="Z34" i="23" s="1"/>
  <c r="L57" i="80"/>
  <c r="R57" i="80" s="1"/>
  <c r="J57" i="80"/>
  <c r="X16" i="80"/>
  <c r="K53" i="71"/>
  <c r="M53" i="71" s="1"/>
  <c r="X84" i="80"/>
  <c r="U86" i="80"/>
  <c r="W85" i="80"/>
  <c r="U18" i="80"/>
  <c r="W17" i="80"/>
  <c r="W11" i="82"/>
  <c r="W12" i="82"/>
  <c r="W14" i="82"/>
  <c r="W13" i="82"/>
  <c r="U16" i="82"/>
  <c r="W15" i="82"/>
  <c r="X8" i="82"/>
  <c r="X9" i="82" s="1"/>
  <c r="X10" i="82" s="1"/>
  <c r="L57" i="82"/>
  <c r="R57" i="82" s="1"/>
  <c r="J57" i="82"/>
  <c r="K57" i="82" s="1"/>
  <c r="G29" i="84"/>
  <c r="G34" i="84" s="1"/>
  <c r="G36" i="84" s="1"/>
  <c r="G35" i="84" s="1"/>
  <c r="F35" i="84"/>
  <c r="F42" i="84"/>
  <c r="D44" i="23" s="1"/>
  <c r="H71" i="23" s="1"/>
  <c r="W98" i="85"/>
  <c r="X18" i="78"/>
  <c r="U20" i="78"/>
  <c r="W19" i="78"/>
  <c r="U92" i="78"/>
  <c r="W91" i="78"/>
  <c r="J53" i="63"/>
  <c r="L53" i="63"/>
  <c r="R53" i="63" s="1"/>
  <c r="C46" i="102" l="1"/>
  <c r="C22" i="102"/>
  <c r="C34" i="102"/>
  <c r="C10" i="102"/>
  <c r="G42" i="72"/>
  <c r="Q36" i="72" s="1"/>
  <c r="J56" i="72"/>
  <c r="L56" i="72"/>
  <c r="R56" i="72" s="1"/>
  <c r="D45" i="23"/>
  <c r="H72" i="23" s="1"/>
  <c r="I72" i="23" s="1"/>
  <c r="C10" i="98"/>
  <c r="H10" i="98" s="1"/>
  <c r="C46" i="98"/>
  <c r="C34" i="98"/>
  <c r="W7" i="85"/>
  <c r="X7" i="85" s="1"/>
  <c r="W15" i="85"/>
  <c r="W8" i="85"/>
  <c r="W17" i="85"/>
  <c r="W16" i="85"/>
  <c r="J57" i="85"/>
  <c r="K57" i="85" s="1"/>
  <c r="L57" i="85"/>
  <c r="R57" i="85" s="1"/>
  <c r="U22" i="85"/>
  <c r="W21" i="85"/>
  <c r="W9" i="85"/>
  <c r="W13" i="85"/>
  <c r="W10" i="85"/>
  <c r="W19" i="85"/>
  <c r="W11" i="85"/>
  <c r="W12" i="85"/>
  <c r="J60" i="78"/>
  <c r="K60" i="78" s="1"/>
  <c r="M60" i="78" s="1"/>
  <c r="L61" i="78" s="1"/>
  <c r="R61" i="78" s="1"/>
  <c r="W14" i="85"/>
  <c r="W18" i="85"/>
  <c r="W20" i="85"/>
  <c r="L55" i="84"/>
  <c r="R55" i="84" s="1"/>
  <c r="F8" i="98"/>
  <c r="I8" i="98" s="1"/>
  <c r="H8" i="98"/>
  <c r="C22" i="98"/>
  <c r="M55" i="67"/>
  <c r="L56" i="67" s="1"/>
  <c r="R56" i="67" s="1"/>
  <c r="G42" i="67"/>
  <c r="X91" i="78"/>
  <c r="K57" i="80"/>
  <c r="M57" i="80" s="1"/>
  <c r="X17" i="80"/>
  <c r="J54" i="71"/>
  <c r="L54" i="71"/>
  <c r="R54" i="71" s="1"/>
  <c r="R67" i="71" s="1"/>
  <c r="X85" i="80"/>
  <c r="X98" i="85"/>
  <c r="U87" i="80"/>
  <c r="W86" i="80"/>
  <c r="U19" i="80"/>
  <c r="W18" i="80"/>
  <c r="X11" i="82"/>
  <c r="X12" i="82" s="1"/>
  <c r="X13" i="82" s="1"/>
  <c r="X14" i="82" s="1"/>
  <c r="X15" i="82" s="1"/>
  <c r="G42" i="84"/>
  <c r="U17" i="82"/>
  <c r="W16" i="82"/>
  <c r="M57" i="82"/>
  <c r="X19" i="78"/>
  <c r="U100" i="85"/>
  <c r="W99" i="85"/>
  <c r="U93" i="78"/>
  <c r="W92" i="78"/>
  <c r="U21" i="78"/>
  <c r="W20" i="78"/>
  <c r="K53" i="63"/>
  <c r="M53" i="63" s="1"/>
  <c r="Q89" i="72" l="1"/>
  <c r="Q82" i="72"/>
  <c r="Q99" i="72"/>
  <c r="Q86" i="72"/>
  <c r="Q100" i="72"/>
  <c r="Q56" i="72"/>
  <c r="G43" i="72"/>
  <c r="H45" i="23" s="1"/>
  <c r="Q75" i="72"/>
  <c r="U75" i="72" s="1"/>
  <c r="U76" i="72" s="1"/>
  <c r="U77" i="72" s="1"/>
  <c r="U78" i="72" s="1"/>
  <c r="U79" i="72" s="1"/>
  <c r="U80" i="72" s="1"/>
  <c r="U81" i="72" s="1"/>
  <c r="U82" i="72" s="1"/>
  <c r="U83" i="72" s="1"/>
  <c r="U84" i="72" s="1"/>
  <c r="U85" i="72" s="1"/>
  <c r="U86" i="72" s="1"/>
  <c r="U87" i="72" s="1"/>
  <c r="Q113" i="72"/>
  <c r="Q90" i="72"/>
  <c r="Q47" i="72"/>
  <c r="Q93" i="72"/>
  <c r="Q66" i="72"/>
  <c r="Q98" i="72"/>
  <c r="Q29" i="72"/>
  <c r="Q96" i="72"/>
  <c r="Q87" i="72"/>
  <c r="Q91" i="72"/>
  <c r="Q62" i="72"/>
  <c r="Q11" i="72"/>
  <c r="Q30" i="72"/>
  <c r="Q48" i="72"/>
  <c r="Q19" i="72"/>
  <c r="Q85" i="72"/>
  <c r="Q88" i="72"/>
  <c r="Q105" i="72"/>
  <c r="Q81" i="72"/>
  <c r="Q65" i="72"/>
  <c r="Q28" i="72"/>
  <c r="Q43" i="72"/>
  <c r="Q84" i="72"/>
  <c r="Q79" i="72"/>
  <c r="Q78" i="72"/>
  <c r="Q120" i="72"/>
  <c r="Q18" i="72"/>
  <c r="Q35" i="72"/>
  <c r="Q24" i="72"/>
  <c r="Q110" i="72"/>
  <c r="Q14" i="72"/>
  <c r="Q107" i="72"/>
  <c r="Q101" i="72"/>
  <c r="Q108" i="72"/>
  <c r="Q117" i="72"/>
  <c r="Q17" i="72"/>
  <c r="Q33" i="72"/>
  <c r="Q50" i="72"/>
  <c r="Q94" i="72"/>
  <c r="Q95" i="72"/>
  <c r="Q76" i="72"/>
  <c r="Q54" i="72"/>
  <c r="Q12" i="72"/>
  <c r="Q51" i="72"/>
  <c r="Q60" i="72"/>
  <c r="Q121" i="72"/>
  <c r="Q59" i="72"/>
  <c r="Q26" i="72"/>
  <c r="X8" i="85"/>
  <c r="X9" i="85" s="1"/>
  <c r="X10" i="85" s="1"/>
  <c r="X11" i="85" s="1"/>
  <c r="X12" i="85" s="1"/>
  <c r="X13" i="85" s="1"/>
  <c r="X14" i="85" s="1"/>
  <c r="X15" i="85" s="1"/>
  <c r="X16" i="85" s="1"/>
  <c r="X17" i="85" s="1"/>
  <c r="X18" i="85" s="1"/>
  <c r="X19" i="85" s="1"/>
  <c r="X20" i="85" s="1"/>
  <c r="X21" i="85" s="1"/>
  <c r="Q7" i="72"/>
  <c r="U7" i="72" s="1"/>
  <c r="Q20" i="72"/>
  <c r="Q118" i="72"/>
  <c r="Q102" i="72"/>
  <c r="Q92" i="72"/>
  <c r="Q80" i="72"/>
  <c r="Q104" i="72"/>
  <c r="Q64" i="72"/>
  <c r="Q27" i="72"/>
  <c r="Q9" i="72"/>
  <c r="Q13" i="72"/>
  <c r="Q45" i="72"/>
  <c r="Q16" i="72"/>
  <c r="Q112" i="72"/>
  <c r="Q119" i="72"/>
  <c r="Q42" i="72"/>
  <c r="Q15" i="72"/>
  <c r="Q22" i="72"/>
  <c r="Q44" i="72"/>
  <c r="H10" i="102"/>
  <c r="F10" i="102"/>
  <c r="I10" i="102" s="1"/>
  <c r="Q103" i="72"/>
  <c r="Q83" i="72"/>
  <c r="F45" i="23"/>
  <c r="O45" i="23" s="1"/>
  <c r="P45" i="23" s="1"/>
  <c r="Q45" i="23" s="1"/>
  <c r="S45" i="23" s="1"/>
  <c r="Y45" i="23" s="1"/>
  <c r="Q38" i="72"/>
  <c r="Q8" i="72"/>
  <c r="Q40" i="72"/>
  <c r="Q61" i="72"/>
  <c r="Q49" i="72"/>
  <c r="Q116" i="72"/>
  <c r="Q41" i="72"/>
  <c r="Q114" i="72"/>
  <c r="Q63" i="72"/>
  <c r="H34" i="102"/>
  <c r="F34" i="102"/>
  <c r="I34" i="102" s="1"/>
  <c r="Q106" i="72"/>
  <c r="Q77" i="72"/>
  <c r="Q39" i="72"/>
  <c r="Q52" i="72"/>
  <c r="Q57" i="72"/>
  <c r="Q23" i="72"/>
  <c r="Q55" i="72"/>
  <c r="Q32" i="72"/>
  <c r="Q53" i="72"/>
  <c r="Q31" i="72"/>
  <c r="Q58" i="72"/>
  <c r="Q25" i="72"/>
  <c r="H22" i="102"/>
  <c r="F22" i="102"/>
  <c r="I22" i="102" s="1"/>
  <c r="Q109" i="72"/>
  <c r="Q97" i="72"/>
  <c r="Q111" i="72"/>
  <c r="Q34" i="72"/>
  <c r="Q21" i="72"/>
  <c r="Q46" i="72"/>
  <c r="Q10" i="72"/>
  <c r="Q122" i="72"/>
  <c r="Q115" i="72"/>
  <c r="Q37" i="72"/>
  <c r="H46" i="102"/>
  <c r="F46" i="102"/>
  <c r="I46" i="102" s="1"/>
  <c r="F10" i="98"/>
  <c r="I10" i="98" s="1"/>
  <c r="K56" i="72"/>
  <c r="M56" i="72" s="1"/>
  <c r="M55" i="84"/>
  <c r="L56" i="84" s="1"/>
  <c r="R56" i="84" s="1"/>
  <c r="H34" i="98"/>
  <c r="F34" i="98"/>
  <c r="I34" i="98" s="1"/>
  <c r="H46" i="98"/>
  <c r="F46" i="98"/>
  <c r="I46" i="98" s="1"/>
  <c r="J61" i="78"/>
  <c r="K61" i="78" s="1"/>
  <c r="W22" i="85"/>
  <c r="U23" i="85"/>
  <c r="M57" i="85"/>
  <c r="H22" i="98"/>
  <c r="F22" i="98"/>
  <c r="I22" i="98" s="1"/>
  <c r="Q27" i="67"/>
  <c r="F43" i="23"/>
  <c r="Q13" i="84"/>
  <c r="F44" i="23"/>
  <c r="Q103" i="67"/>
  <c r="J56" i="67"/>
  <c r="K56" i="67" s="1"/>
  <c r="M56" i="67" s="1"/>
  <c r="Q107" i="67"/>
  <c r="Q121" i="67"/>
  <c r="Q8" i="67"/>
  <c r="Q102" i="67"/>
  <c r="Q39" i="67"/>
  <c r="Q78" i="67"/>
  <c r="Q94" i="67"/>
  <c r="Q63" i="67"/>
  <c r="Q35" i="67"/>
  <c r="Q26" i="67"/>
  <c r="Q80" i="67"/>
  <c r="Q82" i="67"/>
  <c r="Q7" i="67"/>
  <c r="U7" i="67" s="1"/>
  <c r="U8" i="67" s="1"/>
  <c r="U9" i="67" s="1"/>
  <c r="U10" i="67" s="1"/>
  <c r="U11" i="67" s="1"/>
  <c r="U12" i="67" s="1"/>
  <c r="Q66" i="67"/>
  <c r="Q52" i="67"/>
  <c r="Q75" i="67"/>
  <c r="U75" i="67" s="1"/>
  <c r="U76" i="67" s="1"/>
  <c r="U77" i="67" s="1"/>
  <c r="U78" i="67" s="1"/>
  <c r="U79" i="67" s="1"/>
  <c r="U80" i="67" s="1"/>
  <c r="U81" i="67" s="1"/>
  <c r="U82" i="67" s="1"/>
  <c r="U83" i="67" s="1"/>
  <c r="U84" i="67" s="1"/>
  <c r="U85" i="67" s="1"/>
  <c r="U86" i="67" s="1"/>
  <c r="U87" i="67" s="1"/>
  <c r="U88" i="67" s="1"/>
  <c r="Q89" i="67"/>
  <c r="Q15" i="67"/>
  <c r="Q37" i="67"/>
  <c r="Q11" i="67"/>
  <c r="Q83" i="67"/>
  <c r="Q109" i="67"/>
  <c r="Q84" i="67"/>
  <c r="Q88" i="67"/>
  <c r="Q85" i="67"/>
  <c r="Q76" i="67"/>
  <c r="Q92" i="67"/>
  <c r="Q106" i="67"/>
  <c r="Q77" i="67"/>
  <c r="Q91" i="67"/>
  <c r="Q50" i="67"/>
  <c r="Q28" i="67"/>
  <c r="Q65" i="67"/>
  <c r="Q45" i="67"/>
  <c r="Q19" i="67"/>
  <c r="Q60" i="67"/>
  <c r="Q114" i="67"/>
  <c r="Q29" i="67"/>
  <c r="Q64" i="67"/>
  <c r="Q14" i="67"/>
  <c r="Q38" i="67"/>
  <c r="Q54" i="67"/>
  <c r="Q62" i="67"/>
  <c r="Q56" i="67"/>
  <c r="Q22" i="67"/>
  <c r="Q81" i="67"/>
  <c r="Q79" i="67"/>
  <c r="Q99" i="67"/>
  <c r="Q105" i="67"/>
  <c r="Q108" i="67"/>
  <c r="Q104" i="67"/>
  <c r="Q90" i="67"/>
  <c r="Q95" i="67"/>
  <c r="Q100" i="67"/>
  <c r="G43" i="67"/>
  <c r="H43" i="23" s="1"/>
  <c r="I70" i="23" s="1"/>
  <c r="Q31" i="67"/>
  <c r="Q9" i="67"/>
  <c r="Q18" i="67"/>
  <c r="Q117" i="67"/>
  <c r="Q59" i="67"/>
  <c r="Q41" i="67"/>
  <c r="Q36" i="67"/>
  <c r="Q55" i="67"/>
  <c r="Q25" i="67"/>
  <c r="Q49" i="67"/>
  <c r="Q120" i="67"/>
  <c r="Q43" i="67"/>
  <c r="Q111" i="67"/>
  <c r="Q86" i="67"/>
  <c r="Q97" i="67"/>
  <c r="Q98" i="67"/>
  <c r="Q93" i="67"/>
  <c r="Q96" i="67"/>
  <c r="Q110" i="67"/>
  <c r="Q87" i="67"/>
  <c r="Q101" i="67"/>
  <c r="Q47" i="67"/>
  <c r="Q51" i="67"/>
  <c r="Q20" i="67"/>
  <c r="Q40" i="67"/>
  <c r="Q122" i="67"/>
  <c r="Q113" i="67"/>
  <c r="Q118" i="67"/>
  <c r="Q42" i="67"/>
  <c r="Q116" i="67"/>
  <c r="Q12" i="67"/>
  <c r="Q17" i="67"/>
  <c r="Q16" i="67"/>
  <c r="Q61" i="67"/>
  <c r="Q58" i="67"/>
  <c r="Q48" i="67"/>
  <c r="Q119" i="67"/>
  <c r="Q10" i="67"/>
  <c r="Q112" i="67"/>
  <c r="Q115" i="67"/>
  <c r="Q32" i="67"/>
  <c r="Q23" i="67"/>
  <c r="Q13" i="67"/>
  <c r="Q21" i="67"/>
  <c r="Q44" i="67"/>
  <c r="Q34" i="67"/>
  <c r="Q57" i="67"/>
  <c r="Q24" i="67"/>
  <c r="Q33" i="67"/>
  <c r="Q30" i="67"/>
  <c r="Q46" i="67"/>
  <c r="Q53" i="67"/>
  <c r="X92" i="78"/>
  <c r="X18" i="80"/>
  <c r="L58" i="80"/>
  <c r="R58" i="80" s="1"/>
  <c r="J58" i="80"/>
  <c r="K58" i="80" s="1"/>
  <c r="X99" i="85"/>
  <c r="X86" i="80"/>
  <c r="K54" i="71"/>
  <c r="K67" i="71" s="1"/>
  <c r="D29" i="71" s="1"/>
  <c r="Q48" i="84"/>
  <c r="Q59" i="84"/>
  <c r="W19" i="80"/>
  <c r="U20" i="80"/>
  <c r="U88" i="80"/>
  <c r="W87" i="80"/>
  <c r="Q105" i="84"/>
  <c r="Q91" i="84"/>
  <c r="Q87" i="84"/>
  <c r="Q41" i="84"/>
  <c r="Q61" i="84"/>
  <c r="Q78" i="84"/>
  <c r="Q65" i="84"/>
  <c r="Q98" i="84"/>
  <c r="Q66" i="84"/>
  <c r="X16" i="82"/>
  <c r="Q79" i="84"/>
  <c r="Q77" i="84"/>
  <c r="Q99" i="84"/>
  <c r="Q82" i="84"/>
  <c r="Q24" i="84"/>
  <c r="Q64" i="84"/>
  <c r="Q122" i="84"/>
  <c r="Q29" i="84"/>
  <c r="Q25" i="84"/>
  <c r="Q83" i="84"/>
  <c r="Q110" i="84"/>
  <c r="Q100" i="84"/>
  <c r="Q88" i="84"/>
  <c r="Q117" i="84"/>
  <c r="Q11" i="84"/>
  <c r="Q53" i="84"/>
  <c r="Q62" i="84"/>
  <c r="Q22" i="84"/>
  <c r="Q43" i="84"/>
  <c r="Q58" i="84"/>
  <c r="Q92" i="84"/>
  <c r="Q97" i="84"/>
  <c r="Q94" i="84"/>
  <c r="Q107" i="84"/>
  <c r="Q89" i="84"/>
  <c r="Q16" i="84"/>
  <c r="Q60" i="84"/>
  <c r="Q50" i="84"/>
  <c r="Q18" i="84"/>
  <c r="Q19" i="84"/>
  <c r="Q36" i="84"/>
  <c r="X20" i="78"/>
  <c r="Q76" i="84"/>
  <c r="Q102" i="84"/>
  <c r="Q95" i="84"/>
  <c r="Q109" i="84"/>
  <c r="Q90" i="84"/>
  <c r="Q85" i="84"/>
  <c r="Q106" i="84"/>
  <c r="Q84" i="84"/>
  <c r="Q81" i="84"/>
  <c r="Q116" i="84"/>
  <c r="Q113" i="84"/>
  <c r="Q47" i="84"/>
  <c r="Q63" i="84"/>
  <c r="Q42" i="84"/>
  <c r="Q118" i="84"/>
  <c r="Q33" i="84"/>
  <c r="Q51" i="84"/>
  <c r="Q37" i="84"/>
  <c r="Q35" i="84"/>
  <c r="Q26" i="84"/>
  <c r="Q15" i="84"/>
  <c r="Q9" i="84"/>
  <c r="Q56" i="84"/>
  <c r="Q115" i="84"/>
  <c r="Q120" i="84"/>
  <c r="Q32" i="84"/>
  <c r="Q49" i="84"/>
  <c r="Q20" i="84"/>
  <c r="Q96" i="84"/>
  <c r="Q101" i="84"/>
  <c r="Q80" i="84"/>
  <c r="Q103" i="84"/>
  <c r="Q104" i="84"/>
  <c r="Q108" i="84"/>
  <c r="Q75" i="84"/>
  <c r="U75" i="84" s="1"/>
  <c r="U76" i="84" s="1"/>
  <c r="U77" i="84" s="1"/>
  <c r="U78" i="84" s="1"/>
  <c r="U79" i="84" s="1"/>
  <c r="U80" i="84" s="1"/>
  <c r="U81" i="84" s="1"/>
  <c r="U82" i="84" s="1"/>
  <c r="U83" i="84" s="1"/>
  <c r="U84" i="84" s="1"/>
  <c r="U85" i="84" s="1"/>
  <c r="U86" i="84" s="1"/>
  <c r="U87" i="84" s="1"/>
  <c r="U88" i="84" s="1"/>
  <c r="U89" i="84" s="1"/>
  <c r="U90" i="84" s="1"/>
  <c r="U91" i="84" s="1"/>
  <c r="Q86" i="84"/>
  <c r="Q93" i="84"/>
  <c r="Q31" i="84"/>
  <c r="Q111" i="84"/>
  <c r="Q121" i="84"/>
  <c r="Q10" i="84"/>
  <c r="Q112" i="84"/>
  <c r="Q14" i="84"/>
  <c r="Q119" i="84"/>
  <c r="Q46" i="84"/>
  <c r="Q114" i="84"/>
  <c r="Q8" i="84"/>
  <c r="Q23" i="84"/>
  <c r="Q52" i="84"/>
  <c r="Q7" i="84"/>
  <c r="U7" i="84" s="1"/>
  <c r="U8" i="84" s="1"/>
  <c r="U9" i="84" s="1"/>
  <c r="Q45" i="84"/>
  <c r="Q44" i="84"/>
  <c r="Q39" i="84"/>
  <c r="Q54" i="84"/>
  <c r="Q27" i="84"/>
  <c r="G43" i="84"/>
  <c r="H44" i="23" s="1"/>
  <c r="I71" i="23" s="1"/>
  <c r="Q38" i="84"/>
  <c r="Q57" i="84"/>
  <c r="Q34" i="84"/>
  <c r="Q12" i="84"/>
  <c r="Q55" i="84"/>
  <c r="Q28" i="84"/>
  <c r="Q17" i="84"/>
  <c r="Q40" i="84"/>
  <c r="Q30" i="84"/>
  <c r="Q21" i="84"/>
  <c r="W17" i="82"/>
  <c r="U18" i="82"/>
  <c r="J58" i="82"/>
  <c r="L58" i="82"/>
  <c r="R58" i="82" s="1"/>
  <c r="U101" i="85"/>
  <c r="W100" i="85"/>
  <c r="U22" i="78"/>
  <c r="W21" i="78"/>
  <c r="W93" i="78"/>
  <c r="U94" i="78"/>
  <c r="L54" i="63"/>
  <c r="R54" i="63" s="1"/>
  <c r="R67" i="63" s="1"/>
  <c r="J54" i="63"/>
  <c r="Q67" i="72" l="1"/>
  <c r="W75" i="72"/>
  <c r="X75" i="72" s="1"/>
  <c r="M61" i="78"/>
  <c r="L62" i="78" s="1"/>
  <c r="R62" i="78" s="1"/>
  <c r="W45" i="23"/>
  <c r="Z45" i="23" s="1"/>
  <c r="W81" i="72"/>
  <c r="W77" i="72"/>
  <c r="W86" i="72"/>
  <c r="W78" i="72"/>
  <c r="W83" i="72"/>
  <c r="W82" i="72"/>
  <c r="W79" i="72"/>
  <c r="W7" i="72"/>
  <c r="X7" i="72" s="1"/>
  <c r="U8" i="72"/>
  <c r="U88" i="72"/>
  <c r="W87" i="72"/>
  <c r="W80" i="72"/>
  <c r="L57" i="72"/>
  <c r="R57" i="72" s="1"/>
  <c r="J57" i="72"/>
  <c r="K57" i="72" s="1"/>
  <c r="W84" i="72"/>
  <c r="W76" i="72"/>
  <c r="W85" i="72"/>
  <c r="J56" i="84"/>
  <c r="K56" i="84" s="1"/>
  <c r="X22" i="85"/>
  <c r="J58" i="85"/>
  <c r="K58" i="85" s="1"/>
  <c r="L58" i="85"/>
  <c r="R58" i="85" s="1"/>
  <c r="U24" i="85"/>
  <c r="W23" i="85"/>
  <c r="O43" i="23"/>
  <c r="O41" i="23"/>
  <c r="O42" i="23"/>
  <c r="X93" i="78"/>
  <c r="W84" i="67"/>
  <c r="Q67" i="67"/>
  <c r="W9" i="67"/>
  <c r="W8" i="67"/>
  <c r="W78" i="67"/>
  <c r="W76" i="67"/>
  <c r="W7" i="67"/>
  <c r="X7" i="67" s="1"/>
  <c r="W82" i="67"/>
  <c r="W10" i="67"/>
  <c r="W77" i="67"/>
  <c r="W83" i="67"/>
  <c r="U13" i="67"/>
  <c r="W12" i="67"/>
  <c r="W75" i="67"/>
  <c r="X75" i="67" s="1"/>
  <c r="W11" i="67"/>
  <c r="W87" i="67"/>
  <c r="W86" i="67"/>
  <c r="L57" i="67"/>
  <c r="R57" i="67" s="1"/>
  <c r="J57" i="67"/>
  <c r="K57" i="67" s="1"/>
  <c r="U89" i="67"/>
  <c r="W88" i="67"/>
  <c r="W85" i="67"/>
  <c r="W80" i="67"/>
  <c r="W81" i="67"/>
  <c r="W79" i="67"/>
  <c r="X19" i="80"/>
  <c r="M58" i="80"/>
  <c r="J59" i="80" s="1"/>
  <c r="K59" i="80" s="1"/>
  <c r="X17" i="82"/>
  <c r="X100" i="85"/>
  <c r="X87" i="80"/>
  <c r="M54" i="71"/>
  <c r="J55" i="71" s="1"/>
  <c r="F29" i="71"/>
  <c r="F34" i="71" s="1"/>
  <c r="F36" i="71" s="1"/>
  <c r="X21" i="78"/>
  <c r="W20" i="80"/>
  <c r="U21" i="80"/>
  <c r="W88" i="80"/>
  <c r="U89" i="80"/>
  <c r="Q67" i="84"/>
  <c r="U10" i="84"/>
  <c r="U11" i="84" s="1"/>
  <c r="U12" i="84" s="1"/>
  <c r="U13" i="84" s="1"/>
  <c r="U14" i="84" s="1"/>
  <c r="W9" i="84"/>
  <c r="W18" i="82"/>
  <c r="U19" i="82"/>
  <c r="W7" i="84"/>
  <c r="X7" i="84" s="1"/>
  <c r="K58" i="82"/>
  <c r="M58" i="82" s="1"/>
  <c r="W78" i="84"/>
  <c r="W86" i="84"/>
  <c r="W81" i="84"/>
  <c r="W82" i="84"/>
  <c r="W84" i="84"/>
  <c r="W77" i="84"/>
  <c r="W80" i="84"/>
  <c r="W90" i="84"/>
  <c r="W89" i="84"/>
  <c r="W76" i="84"/>
  <c r="W85" i="84"/>
  <c r="W79" i="84"/>
  <c r="W83" i="84"/>
  <c r="W88" i="84"/>
  <c r="W8" i="84"/>
  <c r="W87" i="84"/>
  <c r="W75" i="84"/>
  <c r="X75" i="84" s="1"/>
  <c r="U92" i="84"/>
  <c r="W91" i="84"/>
  <c r="U102" i="85"/>
  <c r="W101" i="85"/>
  <c r="U95" i="78"/>
  <c r="W94" i="78"/>
  <c r="U23" i="78"/>
  <c r="W22" i="78"/>
  <c r="K54" i="63"/>
  <c r="K67" i="63" s="1"/>
  <c r="D29" i="63" s="1"/>
  <c r="J62" i="78" l="1"/>
  <c r="K62" i="78" s="1"/>
  <c r="X76" i="67"/>
  <c r="X77" i="67" s="1"/>
  <c r="X78" i="67" s="1"/>
  <c r="X79" i="67" s="1"/>
  <c r="X80" i="67" s="1"/>
  <c r="X81" i="67" s="1"/>
  <c r="X82" i="67" s="1"/>
  <c r="X83" i="67" s="1"/>
  <c r="X84" i="67" s="1"/>
  <c r="X85" i="67" s="1"/>
  <c r="X86" i="67" s="1"/>
  <c r="X87" i="67" s="1"/>
  <c r="X88" i="67" s="1"/>
  <c r="X76" i="72"/>
  <c r="X77" i="72" s="1"/>
  <c r="X78" i="72" s="1"/>
  <c r="X79" i="72" s="1"/>
  <c r="X80" i="72" s="1"/>
  <c r="X81" i="72" s="1"/>
  <c r="X82" i="72" s="1"/>
  <c r="X83" i="72" s="1"/>
  <c r="X84" i="72" s="1"/>
  <c r="X85" i="72" s="1"/>
  <c r="X86" i="72" s="1"/>
  <c r="X87" i="72" s="1"/>
  <c r="M56" i="84"/>
  <c r="L57" i="84" s="1"/>
  <c r="R57" i="84" s="1"/>
  <c r="M57" i="72"/>
  <c r="J58" i="72" s="1"/>
  <c r="W88" i="72"/>
  <c r="U89" i="72"/>
  <c r="U9" i="72"/>
  <c r="W8" i="72"/>
  <c r="X8" i="72" s="1"/>
  <c r="X23" i="85"/>
  <c r="M58" i="85"/>
  <c r="J59" i="85" s="1"/>
  <c r="W24" i="85"/>
  <c r="U25" i="85"/>
  <c r="P43" i="23"/>
  <c r="Q43" i="23" s="1"/>
  <c r="S43" i="23" s="1"/>
  <c r="P41" i="23"/>
  <c r="Q41" i="23" s="1"/>
  <c r="S41" i="23" s="1"/>
  <c r="O48" i="23"/>
  <c r="P42" i="23"/>
  <c r="Q42" i="23" s="1"/>
  <c r="S42" i="23" s="1"/>
  <c r="X94" i="78"/>
  <c r="X20" i="80"/>
  <c r="M57" i="67"/>
  <c r="L58" i="67" s="1"/>
  <c r="R58" i="67" s="1"/>
  <c r="X8" i="67"/>
  <c r="X9" i="67" s="1"/>
  <c r="X10" i="67" s="1"/>
  <c r="X11" i="67" s="1"/>
  <c r="X12" i="67" s="1"/>
  <c r="W13" i="67"/>
  <c r="U14" i="67"/>
  <c r="W89" i="67"/>
  <c r="U90" i="67"/>
  <c r="L59" i="80"/>
  <c r="R59" i="80" s="1"/>
  <c r="X18" i="82"/>
  <c r="X101" i="85"/>
  <c r="X22" i="78"/>
  <c r="X88" i="80"/>
  <c r="L55" i="71"/>
  <c r="R55" i="71" s="1"/>
  <c r="G29" i="71"/>
  <c r="G34" i="71" s="1"/>
  <c r="G36" i="71" s="1"/>
  <c r="F35" i="71"/>
  <c r="F42" i="71"/>
  <c r="D46" i="23" s="1"/>
  <c r="H73" i="23" s="1"/>
  <c r="K55" i="71"/>
  <c r="X8" i="84"/>
  <c r="X9" i="84" s="1"/>
  <c r="U90" i="80"/>
  <c r="W89" i="80"/>
  <c r="W11" i="84"/>
  <c r="W21" i="80"/>
  <c r="U22" i="80"/>
  <c r="W10" i="84"/>
  <c r="W12" i="84"/>
  <c r="W13" i="84"/>
  <c r="J57" i="84"/>
  <c r="K57" i="84" s="1"/>
  <c r="M57" i="84" s="1"/>
  <c r="J58" i="84" s="1"/>
  <c r="U15" i="84"/>
  <c r="W14" i="84"/>
  <c r="U20" i="82"/>
  <c r="W19" i="82"/>
  <c r="X76" i="84"/>
  <c r="X77" i="84" s="1"/>
  <c r="X78" i="84" s="1"/>
  <c r="X79" i="84" s="1"/>
  <c r="X80" i="84" s="1"/>
  <c r="X81" i="84" s="1"/>
  <c r="X82" i="84" s="1"/>
  <c r="X83" i="84" s="1"/>
  <c r="X84" i="84" s="1"/>
  <c r="X85" i="84" s="1"/>
  <c r="X86" i="84" s="1"/>
  <c r="X87" i="84" s="1"/>
  <c r="X88" i="84" s="1"/>
  <c r="X89" i="84" s="1"/>
  <c r="X90" i="84" s="1"/>
  <c r="X91" i="84" s="1"/>
  <c r="L59" i="82"/>
  <c r="R59" i="82" s="1"/>
  <c r="J59" i="82"/>
  <c r="W92" i="84"/>
  <c r="U93" i="84"/>
  <c r="U103" i="85"/>
  <c r="W102" i="85"/>
  <c r="W23" i="78"/>
  <c r="U24" i="78"/>
  <c r="W95" i="78"/>
  <c r="U96" i="78"/>
  <c r="M54" i="63"/>
  <c r="L55" i="63" s="1"/>
  <c r="R55" i="63" s="1"/>
  <c r="F29" i="63"/>
  <c r="F34" i="63" s="1"/>
  <c r="F36" i="63" s="1"/>
  <c r="M62" i="78" l="1"/>
  <c r="J63" i="78" s="1"/>
  <c r="L58" i="72"/>
  <c r="R58" i="72" s="1"/>
  <c r="L59" i="85"/>
  <c r="R59" i="85" s="1"/>
  <c r="U10" i="72"/>
  <c r="W9" i="72"/>
  <c r="X9" i="72" s="1"/>
  <c r="X88" i="72"/>
  <c r="W89" i="72"/>
  <c r="U90" i="72"/>
  <c r="X24" i="85"/>
  <c r="K58" i="72"/>
  <c r="M58" i="72" s="1"/>
  <c r="U26" i="85"/>
  <c r="W25" i="85"/>
  <c r="K59" i="85"/>
  <c r="M59" i="85" s="1"/>
  <c r="Y43" i="23"/>
  <c r="W43" i="23"/>
  <c r="Z43" i="23" s="1"/>
  <c r="X95" i="78"/>
  <c r="M55" i="71"/>
  <c r="L56" i="71" s="1"/>
  <c r="R56" i="71" s="1"/>
  <c r="Y42" i="23"/>
  <c r="W42" i="23"/>
  <c r="Z42" i="23" s="1"/>
  <c r="P48" i="23"/>
  <c r="Q48" i="23" s="1"/>
  <c r="S48" i="23" s="1"/>
  <c r="Y48" i="23" s="1"/>
  <c r="O44" i="23"/>
  <c r="W41" i="23"/>
  <c r="Z41" i="23" s="1"/>
  <c r="Y41" i="23"/>
  <c r="J58" i="67"/>
  <c r="K58" i="67" s="1"/>
  <c r="M58" i="67" s="1"/>
  <c r="X21" i="80"/>
  <c r="X19" i="82"/>
  <c r="X23" i="78"/>
  <c r="X89" i="67"/>
  <c r="U91" i="67"/>
  <c r="W90" i="67"/>
  <c r="X13" i="67"/>
  <c r="W14" i="67"/>
  <c r="U15" i="67"/>
  <c r="M59" i="80"/>
  <c r="X102" i="85"/>
  <c r="X89" i="80"/>
  <c r="G42" i="71"/>
  <c r="G35" i="71"/>
  <c r="X10" i="84"/>
  <c r="X11" i="84" s="1"/>
  <c r="X12" i="84" s="1"/>
  <c r="X13" i="84" s="1"/>
  <c r="X14" i="84" s="1"/>
  <c r="W22" i="80"/>
  <c r="U23" i="80"/>
  <c r="U91" i="80"/>
  <c r="W90" i="80"/>
  <c r="L58" i="84"/>
  <c r="R58" i="84" s="1"/>
  <c r="U16" i="84"/>
  <c r="W15" i="84"/>
  <c r="L63" i="78"/>
  <c r="R63" i="78" s="1"/>
  <c r="W20" i="82"/>
  <c r="U21" i="82"/>
  <c r="K59" i="82"/>
  <c r="M59" i="82" s="1"/>
  <c r="K58" i="84"/>
  <c r="W93" i="84"/>
  <c r="U94" i="84"/>
  <c r="X92" i="84"/>
  <c r="U104" i="85"/>
  <c r="W103" i="85"/>
  <c r="U97" i="78"/>
  <c r="W96" i="78"/>
  <c r="U25" i="78"/>
  <c r="W24" i="78"/>
  <c r="J55" i="63"/>
  <c r="K55" i="63" s="1"/>
  <c r="F42" i="63"/>
  <c r="D47" i="23" s="1"/>
  <c r="H74" i="23" s="1"/>
  <c r="I74" i="23" s="1"/>
  <c r="F35" i="63"/>
  <c r="G29" i="63"/>
  <c r="G34" i="63" s="1"/>
  <c r="G36" i="63" s="1"/>
  <c r="C37" i="98" l="1"/>
  <c r="C37" i="102"/>
  <c r="C23" i="102"/>
  <c r="C35" i="102"/>
  <c r="C11" i="102"/>
  <c r="C47" i="102"/>
  <c r="C44" i="102"/>
  <c r="C32" i="102"/>
  <c r="L59" i="72"/>
  <c r="R59" i="72" s="1"/>
  <c r="J59" i="72"/>
  <c r="K59" i="72" s="1"/>
  <c r="W90" i="72"/>
  <c r="U91" i="72"/>
  <c r="X89" i="72"/>
  <c r="X25" i="85"/>
  <c r="W10" i="72"/>
  <c r="X10" i="72" s="1"/>
  <c r="U11" i="72"/>
  <c r="C11" i="98"/>
  <c r="H11" i="98" s="1"/>
  <c r="C47" i="98"/>
  <c r="C35" i="98"/>
  <c r="C32" i="98"/>
  <c r="J56" i="71"/>
  <c r="L60" i="85"/>
  <c r="R60" i="85" s="1"/>
  <c r="J60" i="85"/>
  <c r="X96" i="78"/>
  <c r="U27" i="85"/>
  <c r="W26" i="85"/>
  <c r="C23" i="98"/>
  <c r="Q114" i="71"/>
  <c r="F46" i="23"/>
  <c r="W48" i="23"/>
  <c r="Z48" i="23" s="1"/>
  <c r="P44" i="23"/>
  <c r="Q44" i="23" s="1"/>
  <c r="S44" i="23" s="1"/>
  <c r="X20" i="82"/>
  <c r="X22" i="80"/>
  <c r="X24" i="78"/>
  <c r="X14" i="67"/>
  <c r="J59" i="67"/>
  <c r="L59" i="67"/>
  <c r="R59" i="67" s="1"/>
  <c r="W15" i="67"/>
  <c r="U16" i="67"/>
  <c r="W91" i="67"/>
  <c r="U92" i="67"/>
  <c r="X90" i="67"/>
  <c r="L60" i="80"/>
  <c r="R60" i="80" s="1"/>
  <c r="J60" i="80"/>
  <c r="X103" i="85"/>
  <c r="X90" i="80"/>
  <c r="Q32" i="71"/>
  <c r="Q53" i="71"/>
  <c r="Q9" i="71"/>
  <c r="Q52" i="71"/>
  <c r="Q35" i="71"/>
  <c r="Q39" i="71"/>
  <c r="Q10" i="71"/>
  <c r="Q42" i="71"/>
  <c r="Q56" i="71"/>
  <c r="Q15" i="71"/>
  <c r="Q50" i="71"/>
  <c r="Q24" i="71"/>
  <c r="Q65" i="71"/>
  <c r="Q20" i="71"/>
  <c r="Q49" i="71"/>
  <c r="Q12" i="71"/>
  <c r="Q37" i="71"/>
  <c r="Q44" i="71"/>
  <c r="Q51" i="71"/>
  <c r="Q40" i="71"/>
  <c r="Q118" i="71"/>
  <c r="Q119" i="71"/>
  <c r="Q117" i="71"/>
  <c r="M58" i="84"/>
  <c r="J59" i="84" s="1"/>
  <c r="Q8" i="71"/>
  <c r="Q29" i="71"/>
  <c r="Q36" i="71"/>
  <c r="Q115" i="71"/>
  <c r="Q61" i="71"/>
  <c r="Q66" i="71"/>
  <c r="Q55" i="71"/>
  <c r="Q30" i="71"/>
  <c r="Q121" i="71"/>
  <c r="Q120" i="71"/>
  <c r="Q14" i="71"/>
  <c r="Q63" i="71"/>
  <c r="Q23" i="71"/>
  <c r="Q60" i="71"/>
  <c r="Q57" i="71"/>
  <c r="Q43" i="71"/>
  <c r="Q116" i="71"/>
  <c r="Q19" i="71"/>
  <c r="Q112" i="71"/>
  <c r="Q11" i="71"/>
  <c r="G43" i="71"/>
  <c r="H46" i="23" s="1"/>
  <c r="I73" i="23" s="1"/>
  <c r="Q28" i="71"/>
  <c r="Q17" i="71"/>
  <c r="Q34" i="71"/>
  <c r="Q22" i="71"/>
  <c r="Q31" i="71"/>
  <c r="Q33" i="71"/>
  <c r="Q27" i="71"/>
  <c r="Q25" i="71"/>
  <c r="Q38" i="71"/>
  <c r="K56" i="71"/>
  <c r="M56" i="71" s="1"/>
  <c r="Q64" i="71"/>
  <c r="Q92" i="71"/>
  <c r="Q81" i="71"/>
  <c r="Q89" i="71"/>
  <c r="Q88" i="71"/>
  <c r="Q107" i="71"/>
  <c r="Q90" i="71"/>
  <c r="Q83" i="71"/>
  <c r="Q104" i="71"/>
  <c r="Q110" i="71"/>
  <c r="Q91" i="71"/>
  <c r="Q100" i="71"/>
  <c r="Q75" i="71"/>
  <c r="U75" i="71" s="1"/>
  <c r="Q95" i="71"/>
  <c r="Q84" i="71"/>
  <c r="Q97" i="71"/>
  <c r="Q85" i="71"/>
  <c r="Q93" i="71"/>
  <c r="Q109" i="71"/>
  <c r="Q76" i="71"/>
  <c r="Q106" i="71"/>
  <c r="Q82" i="71"/>
  <c r="Q98" i="71"/>
  <c r="Q80" i="71"/>
  <c r="Q96" i="71"/>
  <c r="Q103" i="71"/>
  <c r="Q108" i="71"/>
  <c r="Q101" i="71"/>
  <c r="Q105" i="71"/>
  <c r="Q94" i="71"/>
  <c r="Q87" i="71"/>
  <c r="Q79" i="71"/>
  <c r="Q78" i="71"/>
  <c r="Q77" i="71"/>
  <c r="Q102" i="71"/>
  <c r="Q86" i="71"/>
  <c r="Q99" i="71"/>
  <c r="Q21" i="71"/>
  <c r="Q41" i="71"/>
  <c r="Q46" i="71"/>
  <c r="Q59" i="71"/>
  <c r="Q111" i="71"/>
  <c r="Q7" i="71"/>
  <c r="Q16" i="71"/>
  <c r="Q58" i="71"/>
  <c r="Q122" i="71"/>
  <c r="Q113" i="71"/>
  <c r="Q48" i="71"/>
  <c r="Q54" i="71"/>
  <c r="Q18" i="71"/>
  <c r="Q13" i="71"/>
  <c r="Q47" i="71"/>
  <c r="Q26" i="71"/>
  <c r="Q45" i="71"/>
  <c r="Q62" i="71"/>
  <c r="U24" i="80"/>
  <c r="W23" i="80"/>
  <c r="W91" i="80"/>
  <c r="U92" i="80"/>
  <c r="K63" i="78"/>
  <c r="M63" i="78" s="1"/>
  <c r="U17" i="84"/>
  <c r="W16" i="84"/>
  <c r="X15" i="84"/>
  <c r="W21" i="82"/>
  <c r="U22" i="82"/>
  <c r="L60" i="82"/>
  <c r="R60" i="82" s="1"/>
  <c r="J60" i="82"/>
  <c r="W94" i="84"/>
  <c r="U95" i="84"/>
  <c r="X93" i="84"/>
  <c r="U105" i="85"/>
  <c r="W104" i="85"/>
  <c r="W25" i="78"/>
  <c r="U26" i="78"/>
  <c r="W97" i="78"/>
  <c r="U98" i="78"/>
  <c r="M55" i="63"/>
  <c r="L56" i="63" s="1"/>
  <c r="R56" i="63" s="1"/>
  <c r="G35" i="63"/>
  <c r="G42" i="63"/>
  <c r="H37" i="102" l="1"/>
  <c r="F37" i="102"/>
  <c r="I37" i="102" s="1"/>
  <c r="H37" i="98"/>
  <c r="F37" i="98"/>
  <c r="I37" i="98" s="1"/>
  <c r="M59" i="72"/>
  <c r="J60" i="72" s="1"/>
  <c r="H32" i="102"/>
  <c r="F32" i="102"/>
  <c r="I32" i="102" s="1"/>
  <c r="H44" i="102"/>
  <c r="F44" i="102"/>
  <c r="I44" i="102" s="1"/>
  <c r="H47" i="102"/>
  <c r="F47" i="102"/>
  <c r="I47" i="102" s="1"/>
  <c r="H11" i="102"/>
  <c r="F11" i="102"/>
  <c r="I11" i="102" s="1"/>
  <c r="H35" i="102"/>
  <c r="F35" i="102"/>
  <c r="I35" i="102" s="1"/>
  <c r="H23" i="102"/>
  <c r="F23" i="102"/>
  <c r="I23" i="102" s="1"/>
  <c r="X90" i="72"/>
  <c r="W11" i="72"/>
  <c r="X11" i="72" s="1"/>
  <c r="U12" i="72"/>
  <c r="W91" i="72"/>
  <c r="U92" i="72"/>
  <c r="X97" i="78"/>
  <c r="X26" i="85"/>
  <c r="F11" i="98"/>
  <c r="I11" i="98" s="1"/>
  <c r="H32" i="98"/>
  <c r="F32" i="98"/>
  <c r="I32" i="98" s="1"/>
  <c r="H44" i="98"/>
  <c r="F44" i="98"/>
  <c r="I44" i="98" s="1"/>
  <c r="H35" i="98"/>
  <c r="F35" i="98"/>
  <c r="I35" i="98" s="1"/>
  <c r="H47" i="98"/>
  <c r="F47" i="98"/>
  <c r="I47" i="98" s="1"/>
  <c r="U28" i="85"/>
  <c r="W27" i="85"/>
  <c r="K60" i="85"/>
  <c r="M60" i="85" s="1"/>
  <c r="Q60" i="63"/>
  <c r="F47" i="23"/>
  <c r="H23" i="98"/>
  <c r="F23" i="98"/>
  <c r="I23" i="98" s="1"/>
  <c r="X91" i="80"/>
  <c r="X25" i="78"/>
  <c r="X21" i="82"/>
  <c r="O46" i="23"/>
  <c r="X23" i="80"/>
  <c r="Y44" i="23"/>
  <c r="W44" i="23"/>
  <c r="Z44" i="23" s="1"/>
  <c r="L59" i="84"/>
  <c r="R59" i="84" s="1"/>
  <c r="X91" i="67"/>
  <c r="X15" i="67"/>
  <c r="U93" i="67"/>
  <c r="W92" i="67"/>
  <c r="K59" i="67"/>
  <c r="M59" i="67" s="1"/>
  <c r="W16" i="67"/>
  <c r="U17" i="67"/>
  <c r="X104" i="85"/>
  <c r="K60" i="80"/>
  <c r="M60" i="80" s="1"/>
  <c r="L57" i="71"/>
  <c r="R57" i="71" s="1"/>
  <c r="J57" i="71"/>
  <c r="W75" i="71"/>
  <c r="X75" i="71" s="1"/>
  <c r="U76" i="71"/>
  <c r="Q67" i="71"/>
  <c r="U7" i="71"/>
  <c r="U8" i="71" s="1"/>
  <c r="U93" i="80"/>
  <c r="W92" i="80"/>
  <c r="U25" i="80"/>
  <c r="W24" i="80"/>
  <c r="X16" i="84"/>
  <c r="U18" i="84"/>
  <c r="W17" i="84"/>
  <c r="L64" i="78"/>
  <c r="R64" i="78" s="1"/>
  <c r="J64" i="78"/>
  <c r="K64" i="78" s="1"/>
  <c r="U23" i="82"/>
  <c r="W22" i="82"/>
  <c r="J56" i="63"/>
  <c r="K56" i="63" s="1"/>
  <c r="Q116" i="63"/>
  <c r="Q46" i="63"/>
  <c r="Q65" i="63"/>
  <c r="K60" i="82"/>
  <c r="M60" i="82" s="1"/>
  <c r="Q43" i="63"/>
  <c r="Q30" i="63"/>
  <c r="Q59" i="63"/>
  <c r="Q48" i="63"/>
  <c r="Q112" i="63"/>
  <c r="Q22" i="63"/>
  <c r="Q27" i="63"/>
  <c r="Q32" i="63"/>
  <c r="Q42" i="63"/>
  <c r="Q55" i="63"/>
  <c r="Q66" i="63"/>
  <c r="Q47" i="63"/>
  <c r="Q28" i="63"/>
  <c r="Q26" i="63"/>
  <c r="Q51" i="63"/>
  <c r="Q11" i="63"/>
  <c r="Q18" i="63"/>
  <c r="Q44" i="63"/>
  <c r="Q40" i="63"/>
  <c r="Q115" i="63"/>
  <c r="Q113" i="63"/>
  <c r="Q52" i="63"/>
  <c r="Q24" i="63"/>
  <c r="Q31" i="63"/>
  <c r="Q10" i="63"/>
  <c r="Q34" i="63"/>
  <c r="Q117" i="63"/>
  <c r="Q54" i="63"/>
  <c r="Q120" i="63"/>
  <c r="Q13" i="63"/>
  <c r="Q33" i="63"/>
  <c r="X94" i="84"/>
  <c r="K59" i="84"/>
  <c r="Q45" i="63"/>
  <c r="Q15" i="63"/>
  <c r="Q56" i="63"/>
  <c r="Q122" i="63"/>
  <c r="Q17" i="63"/>
  <c r="Q121" i="63"/>
  <c r="Q39" i="63"/>
  <c r="Q63" i="63"/>
  <c r="Q111" i="63"/>
  <c r="Q49" i="63"/>
  <c r="U96" i="84"/>
  <c r="W95" i="84"/>
  <c r="G43" i="63"/>
  <c r="H47" i="23" s="1"/>
  <c r="Q21" i="63"/>
  <c r="Q41" i="63"/>
  <c r="U106" i="85"/>
  <c r="W105" i="85"/>
  <c r="Q29" i="63"/>
  <c r="Q53" i="63"/>
  <c r="Q119" i="63"/>
  <c r="Q36" i="63"/>
  <c r="Q19" i="63"/>
  <c r="Q8" i="63"/>
  <c r="Q50" i="63"/>
  <c r="Q14" i="63"/>
  <c r="Q25" i="63"/>
  <c r="Q37" i="63"/>
  <c r="Q7" i="63"/>
  <c r="U7" i="63" s="1"/>
  <c r="U8" i="63" s="1"/>
  <c r="U9" i="63" s="1"/>
  <c r="U10" i="63" s="1"/>
  <c r="U11" i="63" s="1"/>
  <c r="U12" i="63" s="1"/>
  <c r="U13" i="63" s="1"/>
  <c r="U14" i="63" s="1"/>
  <c r="U15" i="63" s="1"/>
  <c r="U16" i="63" s="1"/>
  <c r="U17" i="63" s="1"/>
  <c r="U18" i="63" s="1"/>
  <c r="U19" i="63" s="1"/>
  <c r="Q35" i="63"/>
  <c r="Q64" i="63"/>
  <c r="Q57" i="63"/>
  <c r="Q118" i="63"/>
  <c r="Q12" i="63"/>
  <c r="Q38" i="63"/>
  <c r="Q58" i="63"/>
  <c r="Q114" i="63"/>
  <c r="Q61" i="63"/>
  <c r="Q62" i="63"/>
  <c r="W98" i="78"/>
  <c r="U99" i="78"/>
  <c r="U27" i="78"/>
  <c r="W26" i="78"/>
  <c r="Q16" i="63"/>
  <c r="Q23" i="63"/>
  <c r="Q9" i="63"/>
  <c r="Q20" i="63"/>
  <c r="Q91" i="63"/>
  <c r="Q109" i="63"/>
  <c r="Q88" i="63"/>
  <c r="Q107" i="63"/>
  <c r="Q106" i="63"/>
  <c r="Q96" i="63"/>
  <c r="Q75" i="63"/>
  <c r="Q94" i="63"/>
  <c r="Q104" i="63"/>
  <c r="Q97" i="63"/>
  <c r="Q100" i="63"/>
  <c r="Q90" i="63"/>
  <c r="Q110" i="63"/>
  <c r="Q89" i="63"/>
  <c r="Q103" i="63"/>
  <c r="Q84" i="63"/>
  <c r="Q92" i="63"/>
  <c r="Q105" i="63"/>
  <c r="Q95" i="63"/>
  <c r="Q108" i="63"/>
  <c r="Q80" i="63"/>
  <c r="Q77" i="63"/>
  <c r="Q93" i="63"/>
  <c r="Q101" i="63"/>
  <c r="Q99" i="63"/>
  <c r="Q79" i="63"/>
  <c r="Q82" i="63"/>
  <c r="Q86" i="63"/>
  <c r="Q83" i="63"/>
  <c r="Q87" i="63"/>
  <c r="Q85" i="63"/>
  <c r="Q76" i="63"/>
  <c r="Q78" i="63"/>
  <c r="Q81" i="63"/>
  <c r="Q98" i="63"/>
  <c r="Q102" i="63"/>
  <c r="L60" i="72" l="1"/>
  <c r="R60" i="72" s="1"/>
  <c r="C48" i="102"/>
  <c r="C25" i="102"/>
  <c r="C36" i="102"/>
  <c r="C13" i="102"/>
  <c r="X91" i="72"/>
  <c r="X98" i="78"/>
  <c r="K60" i="72"/>
  <c r="M60" i="72" s="1"/>
  <c r="W92" i="72"/>
  <c r="U93" i="72"/>
  <c r="X27" i="85"/>
  <c r="W12" i="72"/>
  <c r="X12" i="72" s="1"/>
  <c r="U13" i="72"/>
  <c r="C48" i="98"/>
  <c r="C36" i="98"/>
  <c r="J61" i="85"/>
  <c r="L61" i="85"/>
  <c r="R61" i="85" s="1"/>
  <c r="W28" i="85"/>
  <c r="U29" i="85"/>
  <c r="X22" i="82"/>
  <c r="X92" i="80"/>
  <c r="C13" i="98"/>
  <c r="C25" i="98"/>
  <c r="M59" i="84"/>
  <c r="J60" i="84" s="1"/>
  <c r="X26" i="78"/>
  <c r="O47" i="23"/>
  <c r="O50" i="23"/>
  <c r="X24" i="80"/>
  <c r="O51" i="23"/>
  <c r="P46" i="23"/>
  <c r="Q46" i="23" s="1"/>
  <c r="S46" i="23" s="1"/>
  <c r="Y46" i="23" s="1"/>
  <c r="O49" i="23"/>
  <c r="X105" i="85"/>
  <c r="X16" i="67"/>
  <c r="X92" i="67"/>
  <c r="J60" i="67"/>
  <c r="L60" i="67"/>
  <c r="R60" i="67" s="1"/>
  <c r="W93" i="67"/>
  <c r="U94" i="67"/>
  <c r="W17" i="67"/>
  <c r="U18" i="67"/>
  <c r="L61" i="80"/>
  <c r="R61" i="80" s="1"/>
  <c r="J61" i="80"/>
  <c r="K61" i="80" s="1"/>
  <c r="W7" i="71"/>
  <c r="X7" i="71" s="1"/>
  <c r="U9" i="71"/>
  <c r="W8" i="71"/>
  <c r="W76" i="71"/>
  <c r="X76" i="71" s="1"/>
  <c r="U77" i="71"/>
  <c r="K57" i="71"/>
  <c r="M57" i="71" s="1"/>
  <c r="W25" i="80"/>
  <c r="U26" i="80"/>
  <c r="U94" i="80"/>
  <c r="W93" i="80"/>
  <c r="X17" i="84"/>
  <c r="M64" i="78"/>
  <c r="U19" i="84"/>
  <c r="W18" i="84"/>
  <c r="M56" i="63"/>
  <c r="J57" i="63" s="1"/>
  <c r="K57" i="63" s="1"/>
  <c r="U24" i="82"/>
  <c r="W23" i="82"/>
  <c r="J61" i="82"/>
  <c r="K61" i="82" s="1"/>
  <c r="L61" i="82"/>
  <c r="R61" i="82" s="1"/>
  <c r="Q67" i="63"/>
  <c r="W96" i="84"/>
  <c r="U97" i="84"/>
  <c r="X95" i="84"/>
  <c r="U107" i="85"/>
  <c r="W106" i="85"/>
  <c r="U28" i="78"/>
  <c r="W27" i="78"/>
  <c r="U100" i="78"/>
  <c r="W99" i="78"/>
  <c r="X99" i="78" s="1"/>
  <c r="W11" i="63"/>
  <c r="W8" i="63"/>
  <c r="W12" i="63"/>
  <c r="W17" i="63"/>
  <c r="W13" i="63"/>
  <c r="W10" i="63"/>
  <c r="W16" i="63"/>
  <c r="W18" i="63"/>
  <c r="U20" i="63"/>
  <c r="W19" i="63"/>
  <c r="W9" i="63"/>
  <c r="W7" i="63"/>
  <c r="X7" i="63" s="1"/>
  <c r="U75" i="63"/>
  <c r="W75" i="63" s="1"/>
  <c r="X75" i="63" s="1"/>
  <c r="W15" i="63"/>
  <c r="W14" i="63"/>
  <c r="X92" i="72" l="1"/>
  <c r="H13" i="102"/>
  <c r="F13" i="102"/>
  <c r="I13" i="102" s="1"/>
  <c r="H36" i="102"/>
  <c r="F36" i="102"/>
  <c r="I36" i="102" s="1"/>
  <c r="H25" i="102"/>
  <c r="F25" i="102"/>
  <c r="I25" i="102" s="1"/>
  <c r="H48" i="102"/>
  <c r="F48" i="102"/>
  <c r="I48" i="102" s="1"/>
  <c r="X23" i="82"/>
  <c r="X28" i="85"/>
  <c r="U94" i="72"/>
  <c r="W93" i="72"/>
  <c r="L61" i="72"/>
  <c r="R61" i="72" s="1"/>
  <c r="J61" i="72"/>
  <c r="K61" i="72" s="1"/>
  <c r="U14" i="72"/>
  <c r="W13" i="72"/>
  <c r="X13" i="72" s="1"/>
  <c r="H48" i="98"/>
  <c r="F48" i="98"/>
  <c r="I48" i="98" s="1"/>
  <c r="X93" i="80"/>
  <c r="U30" i="85"/>
  <c r="W29" i="85"/>
  <c r="X29" i="85" s="1"/>
  <c r="K61" i="85"/>
  <c r="M61" i="85" s="1"/>
  <c r="L60" i="84"/>
  <c r="R60" i="84" s="1"/>
  <c r="X27" i="78"/>
  <c r="F36" i="98"/>
  <c r="I36" i="98" s="1"/>
  <c r="H36" i="98"/>
  <c r="H25" i="98"/>
  <c r="F25" i="98"/>
  <c r="I25" i="98" s="1"/>
  <c r="H13" i="98"/>
  <c r="F13" i="98"/>
  <c r="I13" i="98" s="1"/>
  <c r="W46" i="23"/>
  <c r="Z46" i="23" s="1"/>
  <c r="X25" i="80"/>
  <c r="P51" i="23"/>
  <c r="Q51" i="23" s="1"/>
  <c r="S51" i="23" s="1"/>
  <c r="P50" i="23"/>
  <c r="Q50" i="23" s="1"/>
  <c r="S50" i="23" s="1"/>
  <c r="Y50" i="23" s="1"/>
  <c r="P49" i="23"/>
  <c r="Q49" i="23" s="1"/>
  <c r="S49" i="23" s="1"/>
  <c r="Y49" i="23" s="1"/>
  <c r="P47" i="23"/>
  <c r="Q47" i="23" s="1"/>
  <c r="S47" i="23" s="1"/>
  <c r="Y47" i="23" s="1"/>
  <c r="X106" i="85"/>
  <c r="X17" i="67"/>
  <c r="X93" i="67"/>
  <c r="U19" i="67"/>
  <c r="W18" i="67"/>
  <c r="W94" i="67"/>
  <c r="U95" i="67"/>
  <c r="K60" i="67"/>
  <c r="M60" i="67" s="1"/>
  <c r="M61" i="80"/>
  <c r="L62" i="80" s="1"/>
  <c r="R62" i="80" s="1"/>
  <c r="X8" i="71"/>
  <c r="J58" i="71"/>
  <c r="L58" i="71"/>
  <c r="R58" i="71" s="1"/>
  <c r="U10" i="71"/>
  <c r="W9" i="71"/>
  <c r="U78" i="71"/>
  <c r="W77" i="71"/>
  <c r="X77" i="71" s="1"/>
  <c r="W94" i="80"/>
  <c r="U95" i="80"/>
  <c r="W26" i="80"/>
  <c r="U27" i="80"/>
  <c r="X18" i="84"/>
  <c r="J65" i="78"/>
  <c r="K65" i="78" s="1"/>
  <c r="L65" i="78"/>
  <c r="R65" i="78" s="1"/>
  <c r="U20" i="84"/>
  <c r="W19" i="84"/>
  <c r="M61" i="82"/>
  <c r="J62" i="82" s="1"/>
  <c r="K62" i="82" s="1"/>
  <c r="L57" i="63"/>
  <c r="R57" i="63" s="1"/>
  <c r="U25" i="82"/>
  <c r="W24" i="82"/>
  <c r="X24" i="82" s="1"/>
  <c r="U98" i="84"/>
  <c r="W97" i="84"/>
  <c r="X96" i="84"/>
  <c r="K60" i="84"/>
  <c r="U108" i="85"/>
  <c r="W107" i="85"/>
  <c r="U29" i="78"/>
  <c r="W28" i="78"/>
  <c r="W100" i="78"/>
  <c r="X100" i="78" s="1"/>
  <c r="U101" i="78"/>
  <c r="X8" i="63"/>
  <c r="X9" i="63" s="1"/>
  <c r="X10" i="63" s="1"/>
  <c r="X11" i="63" s="1"/>
  <c r="X12" i="63" s="1"/>
  <c r="X13" i="63" s="1"/>
  <c r="X14" i="63" s="1"/>
  <c r="X15" i="63" s="1"/>
  <c r="X16" i="63" s="1"/>
  <c r="X17" i="63" s="1"/>
  <c r="X18" i="63" s="1"/>
  <c r="X19" i="63" s="1"/>
  <c r="U21" i="63"/>
  <c r="W20" i="63"/>
  <c r="U76" i="63"/>
  <c r="X93" i="72" l="1"/>
  <c r="X94" i="80"/>
  <c r="C12" i="102"/>
  <c r="C24" i="102"/>
  <c r="M61" i="72"/>
  <c r="L62" i="72" s="1"/>
  <c r="R62" i="72" s="1"/>
  <c r="W14" i="72"/>
  <c r="X14" i="72" s="1"/>
  <c r="U15" i="72"/>
  <c r="W94" i="72"/>
  <c r="X94" i="72" s="1"/>
  <c r="U95" i="72"/>
  <c r="L62" i="85"/>
  <c r="R62" i="85" s="1"/>
  <c r="J62" i="85"/>
  <c r="M60" i="84"/>
  <c r="J61" i="84" s="1"/>
  <c r="K61" i="84" s="1"/>
  <c r="U31" i="85"/>
  <c r="W30" i="85"/>
  <c r="X30" i="85" s="1"/>
  <c r="X28" i="78"/>
  <c r="C24" i="98"/>
  <c r="C12" i="98"/>
  <c r="W47" i="23"/>
  <c r="Z47" i="23" s="1"/>
  <c r="X26" i="80"/>
  <c r="X107" i="85"/>
  <c r="W50" i="23"/>
  <c r="Z50" i="23" s="1"/>
  <c r="X18" i="67"/>
  <c r="W49" i="23"/>
  <c r="Z49" i="23" s="1"/>
  <c r="Y51" i="23"/>
  <c r="W51" i="23"/>
  <c r="Z51" i="23" s="1"/>
  <c r="O52" i="23"/>
  <c r="X94" i="67"/>
  <c r="J62" i="80"/>
  <c r="K62" i="80" s="1"/>
  <c r="J61" i="67"/>
  <c r="L61" i="67"/>
  <c r="R61" i="67" s="1"/>
  <c r="W19" i="67"/>
  <c r="U20" i="67"/>
  <c r="W95" i="67"/>
  <c r="U96" i="67"/>
  <c r="X9" i="71"/>
  <c r="X19" i="84"/>
  <c r="U11" i="71"/>
  <c r="W10" i="71"/>
  <c r="U79" i="71"/>
  <c r="W78" i="71"/>
  <c r="X78" i="71" s="1"/>
  <c r="K58" i="71"/>
  <c r="M58" i="71" s="1"/>
  <c r="U96" i="80"/>
  <c r="W95" i="80"/>
  <c r="W27" i="80"/>
  <c r="U28" i="80"/>
  <c r="M65" i="78"/>
  <c r="L62" i="82"/>
  <c r="R62" i="82" s="1"/>
  <c r="U21" i="84"/>
  <c r="W20" i="84"/>
  <c r="U26" i="82"/>
  <c r="W25" i="82"/>
  <c r="X25" i="82" s="1"/>
  <c r="M57" i="63"/>
  <c r="X97" i="84"/>
  <c r="U99" i="84"/>
  <c r="W98" i="84"/>
  <c r="U109" i="85"/>
  <c r="W108" i="85"/>
  <c r="U102" i="78"/>
  <c r="W101" i="78"/>
  <c r="X101" i="78" s="1"/>
  <c r="X20" i="63"/>
  <c r="U30" i="78"/>
  <c r="W29" i="78"/>
  <c r="U77" i="63"/>
  <c r="W76" i="63"/>
  <c r="X76" i="63" s="1"/>
  <c r="U22" i="63"/>
  <c r="W21" i="63"/>
  <c r="X95" i="80" l="1"/>
  <c r="H24" i="102"/>
  <c r="F24" i="102"/>
  <c r="I24" i="102" s="1"/>
  <c r="H12" i="102"/>
  <c r="F12" i="102"/>
  <c r="I12" i="102" s="1"/>
  <c r="J62" i="72"/>
  <c r="K62" i="72" s="1"/>
  <c r="U96" i="72"/>
  <c r="W95" i="72"/>
  <c r="X95" i="72" s="1"/>
  <c r="U16" i="72"/>
  <c r="W15" i="72"/>
  <c r="X15" i="72" s="1"/>
  <c r="L61" i="84"/>
  <c r="R61" i="84" s="1"/>
  <c r="U32" i="85"/>
  <c r="W31" i="85"/>
  <c r="X31" i="85" s="1"/>
  <c r="K62" i="85"/>
  <c r="M62" i="85" s="1"/>
  <c r="X29" i="78"/>
  <c r="F12" i="98"/>
  <c r="I12" i="98" s="1"/>
  <c r="H12" i="98"/>
  <c r="X27" i="80"/>
  <c r="H24" i="98"/>
  <c r="F24" i="98"/>
  <c r="I24" i="98" s="1"/>
  <c r="X19" i="67"/>
  <c r="X108" i="85"/>
  <c r="P52" i="23"/>
  <c r="Q52" i="23" s="1"/>
  <c r="S52" i="23" s="1"/>
  <c r="X95" i="67"/>
  <c r="M62" i="80"/>
  <c r="L63" i="80" s="1"/>
  <c r="R63" i="80" s="1"/>
  <c r="W96" i="67"/>
  <c r="U97" i="67"/>
  <c r="K61" i="67"/>
  <c r="M61" i="67" s="1"/>
  <c r="U21" i="67"/>
  <c r="W20" i="67"/>
  <c r="X10" i="71"/>
  <c r="X20" i="84"/>
  <c r="L59" i="71"/>
  <c r="R59" i="71" s="1"/>
  <c r="J59" i="71"/>
  <c r="K59" i="71" s="1"/>
  <c r="U80" i="71"/>
  <c r="W79" i="71"/>
  <c r="X79" i="71" s="1"/>
  <c r="U12" i="71"/>
  <c r="W11" i="71"/>
  <c r="U97" i="80"/>
  <c r="W96" i="80"/>
  <c r="U29" i="80"/>
  <c r="W28" i="80"/>
  <c r="J66" i="78"/>
  <c r="K66" i="78" s="1"/>
  <c r="L66" i="78"/>
  <c r="R66" i="78" s="1"/>
  <c r="M62" i="82"/>
  <c r="J63" i="82" s="1"/>
  <c r="K63" i="82" s="1"/>
  <c r="U22" i="84"/>
  <c r="W21" i="84"/>
  <c r="J58" i="63"/>
  <c r="L58" i="63"/>
  <c r="R58" i="63" s="1"/>
  <c r="U27" i="82"/>
  <c r="W26" i="82"/>
  <c r="X26" i="82" s="1"/>
  <c r="X98" i="84"/>
  <c r="X21" i="63"/>
  <c r="U100" i="84"/>
  <c r="W99" i="84"/>
  <c r="U110" i="85"/>
  <c r="W109" i="85"/>
  <c r="U31" i="78"/>
  <c r="W30" i="78"/>
  <c r="W102" i="78"/>
  <c r="X102" i="78" s="1"/>
  <c r="U103" i="78"/>
  <c r="U23" i="63"/>
  <c r="W22" i="63"/>
  <c r="U78" i="63"/>
  <c r="W77" i="63"/>
  <c r="X77" i="63" s="1"/>
  <c r="X96" i="80" l="1"/>
  <c r="M62" i="72"/>
  <c r="L63" i="72" s="1"/>
  <c r="R63" i="72" s="1"/>
  <c r="W16" i="72"/>
  <c r="X16" i="72" s="1"/>
  <c r="U17" i="72"/>
  <c r="U97" i="72"/>
  <c r="W96" i="72"/>
  <c r="X96" i="72" s="1"/>
  <c r="M61" i="84"/>
  <c r="L62" i="84" s="1"/>
  <c r="R62" i="84" s="1"/>
  <c r="J63" i="85"/>
  <c r="L63" i="85"/>
  <c r="R63" i="85" s="1"/>
  <c r="X30" i="78"/>
  <c r="X28" i="80"/>
  <c r="W32" i="85"/>
  <c r="X32" i="85" s="1"/>
  <c r="U33" i="85"/>
  <c r="X20" i="67"/>
  <c r="X109" i="85"/>
  <c r="Y52" i="23"/>
  <c r="W52" i="23"/>
  <c r="Z52" i="23" s="1"/>
  <c r="X96" i="67"/>
  <c r="J63" i="80"/>
  <c r="L62" i="67"/>
  <c r="R62" i="67" s="1"/>
  <c r="J62" i="67"/>
  <c r="K62" i="67" s="1"/>
  <c r="U98" i="67"/>
  <c r="W97" i="67"/>
  <c r="U22" i="67"/>
  <c r="W21" i="67"/>
  <c r="X21" i="84"/>
  <c r="X11" i="71"/>
  <c r="U81" i="71"/>
  <c r="W80" i="71"/>
  <c r="X80" i="71" s="1"/>
  <c r="M59" i="71"/>
  <c r="U13" i="71"/>
  <c r="W12" i="71"/>
  <c r="W29" i="80"/>
  <c r="U30" i="80"/>
  <c r="W97" i="80"/>
  <c r="U98" i="80"/>
  <c r="M66" i="78"/>
  <c r="L63" i="82"/>
  <c r="U23" i="84"/>
  <c r="W22" i="84"/>
  <c r="U28" i="82"/>
  <c r="W27" i="82"/>
  <c r="X27" i="82" s="1"/>
  <c r="K58" i="63"/>
  <c r="M58" i="63" s="1"/>
  <c r="X99" i="84"/>
  <c r="X22" i="63"/>
  <c r="U101" i="84"/>
  <c r="W100" i="84"/>
  <c r="U111" i="85"/>
  <c r="W110" i="85"/>
  <c r="U32" i="78"/>
  <c r="W31" i="78"/>
  <c r="U104" i="78"/>
  <c r="W103" i="78"/>
  <c r="X103" i="78" s="1"/>
  <c r="U79" i="63"/>
  <c r="W78" i="63"/>
  <c r="X78" i="63" s="1"/>
  <c r="U24" i="63"/>
  <c r="W23" i="63"/>
  <c r="X97" i="80" l="1"/>
  <c r="J63" i="72"/>
  <c r="K63" i="72" s="1"/>
  <c r="M63" i="72" s="1"/>
  <c r="J64" i="72" s="1"/>
  <c r="J62" i="84"/>
  <c r="K62" i="84" s="1"/>
  <c r="M62" i="84" s="1"/>
  <c r="U18" i="72"/>
  <c r="W17" i="72"/>
  <c r="X17" i="72" s="1"/>
  <c r="W97" i="72"/>
  <c r="X97" i="72" s="1"/>
  <c r="U98" i="72"/>
  <c r="X31" i="78"/>
  <c r="X29" i="80"/>
  <c r="X110" i="85"/>
  <c r="U34" i="85"/>
  <c r="W33" i="85"/>
  <c r="X33" i="85" s="1"/>
  <c r="X21" i="67"/>
  <c r="K63" i="85"/>
  <c r="M63" i="85" s="1"/>
  <c r="X22" i="84"/>
  <c r="X97" i="67"/>
  <c r="K63" i="80"/>
  <c r="M63" i="80" s="1"/>
  <c r="M62" i="67"/>
  <c r="L63" i="67" s="1"/>
  <c r="R63" i="67" s="1"/>
  <c r="X12" i="71"/>
  <c r="W98" i="67"/>
  <c r="U99" i="67"/>
  <c r="U23" i="67"/>
  <c r="W22" i="67"/>
  <c r="U14" i="71"/>
  <c r="W13" i="71"/>
  <c r="J60" i="71"/>
  <c r="K60" i="71" s="1"/>
  <c r="L60" i="71"/>
  <c r="R60" i="71" s="1"/>
  <c r="W81" i="71"/>
  <c r="X81" i="71" s="1"/>
  <c r="U82" i="71"/>
  <c r="W98" i="80"/>
  <c r="X98" i="80" s="1"/>
  <c r="U99" i="80"/>
  <c r="U31" i="80"/>
  <c r="W30" i="80"/>
  <c r="X30" i="80" s="1"/>
  <c r="R63" i="82"/>
  <c r="M63" i="82"/>
  <c r="U24" i="84"/>
  <c r="W23" i="84"/>
  <c r="J59" i="63"/>
  <c r="L59" i="63"/>
  <c r="R59" i="63" s="1"/>
  <c r="W28" i="82"/>
  <c r="X28" i="82" s="1"/>
  <c r="U29" i="82"/>
  <c r="X100" i="84"/>
  <c r="X23" i="63"/>
  <c r="W101" i="84"/>
  <c r="U102" i="84"/>
  <c r="U112" i="85"/>
  <c r="W111" i="85"/>
  <c r="W104" i="78"/>
  <c r="X104" i="78" s="1"/>
  <c r="U105" i="78"/>
  <c r="U33" i="78"/>
  <c r="W32" i="78"/>
  <c r="W24" i="63"/>
  <c r="U25" i="63"/>
  <c r="U80" i="63"/>
  <c r="W79" i="63"/>
  <c r="X79" i="63" s="1"/>
  <c r="L64" i="72" l="1"/>
  <c r="R64" i="72" s="1"/>
  <c r="K64" i="72"/>
  <c r="X32" i="78"/>
  <c r="W98" i="72"/>
  <c r="X98" i="72" s="1"/>
  <c r="U99" i="72"/>
  <c r="W18" i="72"/>
  <c r="X18" i="72" s="1"/>
  <c r="U19" i="72"/>
  <c r="X111" i="85"/>
  <c r="L64" i="85"/>
  <c r="R64" i="85" s="1"/>
  <c r="J64" i="85"/>
  <c r="K64" i="85" s="1"/>
  <c r="X22" i="67"/>
  <c r="W34" i="85"/>
  <c r="X34" i="85" s="1"/>
  <c r="U35" i="85"/>
  <c r="X23" i="84"/>
  <c r="X98" i="67"/>
  <c r="O54" i="23"/>
  <c r="J63" i="67"/>
  <c r="K63" i="67" s="1"/>
  <c r="M63" i="67" s="1"/>
  <c r="X13" i="71"/>
  <c r="J64" i="80"/>
  <c r="L64" i="80"/>
  <c r="R64" i="80" s="1"/>
  <c r="U100" i="67"/>
  <c r="W99" i="67"/>
  <c r="U24" i="67"/>
  <c r="W23" i="67"/>
  <c r="M60" i="71"/>
  <c r="J61" i="71" s="1"/>
  <c r="K61" i="71" s="1"/>
  <c r="U83" i="71"/>
  <c r="W82" i="71"/>
  <c r="X82" i="71" s="1"/>
  <c r="W14" i="71"/>
  <c r="U15" i="71"/>
  <c r="U32" i="80"/>
  <c r="W31" i="80"/>
  <c r="X31" i="80" s="1"/>
  <c r="W99" i="80"/>
  <c r="X99" i="80" s="1"/>
  <c r="U100" i="80"/>
  <c r="J64" i="82"/>
  <c r="L64" i="82"/>
  <c r="R64" i="82" s="1"/>
  <c r="U25" i="84"/>
  <c r="W24" i="84"/>
  <c r="X24" i="63"/>
  <c r="K59" i="63"/>
  <c r="M59" i="63" s="1"/>
  <c r="U30" i="82"/>
  <c r="W29" i="82"/>
  <c r="X29" i="82" s="1"/>
  <c r="X101" i="84"/>
  <c r="U103" i="84"/>
  <c r="W102" i="84"/>
  <c r="L63" i="84"/>
  <c r="R63" i="84" s="1"/>
  <c r="J63" i="84"/>
  <c r="K63" i="84" s="1"/>
  <c r="U113" i="85"/>
  <c r="W112" i="85"/>
  <c r="W105" i="78"/>
  <c r="X105" i="78" s="1"/>
  <c r="U106" i="78"/>
  <c r="W33" i="78"/>
  <c r="X33" i="78" s="1"/>
  <c r="U34" i="78"/>
  <c r="U81" i="63"/>
  <c r="W80" i="63"/>
  <c r="X80" i="63" s="1"/>
  <c r="U26" i="63"/>
  <c r="W25" i="63"/>
  <c r="M64" i="72" l="1"/>
  <c r="L65" i="72"/>
  <c r="R65" i="72" s="1"/>
  <c r="J65" i="72"/>
  <c r="K65" i="72" s="1"/>
  <c r="X24" i="84"/>
  <c r="U100" i="72"/>
  <c r="W99" i="72"/>
  <c r="X99" i="72" s="1"/>
  <c r="W19" i="72"/>
  <c r="X19" i="72" s="1"/>
  <c r="U20" i="72"/>
  <c r="X112" i="85"/>
  <c r="M64" i="85"/>
  <c r="L65" i="85" s="1"/>
  <c r="R65" i="85" s="1"/>
  <c r="X23" i="67"/>
  <c r="U36" i="85"/>
  <c r="W35" i="85"/>
  <c r="X35" i="85" s="1"/>
  <c r="X99" i="67"/>
  <c r="P54" i="23"/>
  <c r="Q54" i="23" s="1"/>
  <c r="S54" i="23" s="1"/>
  <c r="O53" i="23"/>
  <c r="X14" i="71"/>
  <c r="K64" i="80"/>
  <c r="M64" i="80" s="1"/>
  <c r="W24" i="67"/>
  <c r="U25" i="67"/>
  <c r="U101" i="67"/>
  <c r="W100" i="67"/>
  <c r="L64" i="67"/>
  <c r="R64" i="67" s="1"/>
  <c r="J64" i="67"/>
  <c r="O56" i="23"/>
  <c r="L61" i="71"/>
  <c r="R61" i="71" s="1"/>
  <c r="W15" i="71"/>
  <c r="U16" i="71"/>
  <c r="U84" i="71"/>
  <c r="W83" i="71"/>
  <c r="X83" i="71" s="1"/>
  <c r="W100" i="80"/>
  <c r="X100" i="80" s="1"/>
  <c r="U101" i="80"/>
  <c r="W32" i="80"/>
  <c r="X32" i="80" s="1"/>
  <c r="U33" i="80"/>
  <c r="K64" i="82"/>
  <c r="M64" i="82" s="1"/>
  <c r="X25" i="63"/>
  <c r="X102" i="84"/>
  <c r="U26" i="84"/>
  <c r="W25" i="84"/>
  <c r="X25" i="84" s="1"/>
  <c r="J60" i="63"/>
  <c r="L60" i="63"/>
  <c r="R60" i="63" s="1"/>
  <c r="U31" i="82"/>
  <c r="W30" i="82"/>
  <c r="X30" i="82" s="1"/>
  <c r="U104" i="84"/>
  <c r="W103" i="84"/>
  <c r="M63" i="84"/>
  <c r="U114" i="85"/>
  <c r="W113" i="85"/>
  <c r="U35" i="78"/>
  <c r="W34" i="78"/>
  <c r="X34" i="78" s="1"/>
  <c r="U107" i="78"/>
  <c r="W106" i="78"/>
  <c r="X106" i="78" s="1"/>
  <c r="U82" i="63"/>
  <c r="W81" i="63"/>
  <c r="X81" i="63" s="1"/>
  <c r="W26" i="63"/>
  <c r="U27" i="63"/>
  <c r="M65" i="72" l="1"/>
  <c r="U21" i="72"/>
  <c r="W20" i="72"/>
  <c r="X20" i="72" s="1"/>
  <c r="J65" i="85"/>
  <c r="K65" i="85" s="1"/>
  <c r="X24" i="67"/>
  <c r="U101" i="72"/>
  <c r="W100" i="72"/>
  <c r="X100" i="72" s="1"/>
  <c r="X113" i="85"/>
  <c r="U37" i="85"/>
  <c r="W36" i="85"/>
  <c r="X36" i="85" s="1"/>
  <c r="X100" i="67"/>
  <c r="X15" i="71"/>
  <c r="P56" i="23"/>
  <c r="Q56" i="23" s="1"/>
  <c r="S56" i="23" s="1"/>
  <c r="Y56" i="23" s="1"/>
  <c r="P53" i="23"/>
  <c r="Q53" i="23" s="1"/>
  <c r="S53" i="23" s="1"/>
  <c r="Y54" i="23"/>
  <c r="W54" i="23"/>
  <c r="Z54" i="23" s="1"/>
  <c r="L65" i="80"/>
  <c r="R65" i="80" s="1"/>
  <c r="J65" i="80"/>
  <c r="K65" i="80" s="1"/>
  <c r="W101" i="67"/>
  <c r="U102" i="67"/>
  <c r="K64" i="67"/>
  <c r="M64" i="67" s="1"/>
  <c r="U26" i="67"/>
  <c r="W25" i="67"/>
  <c r="M61" i="71"/>
  <c r="J62" i="71" s="1"/>
  <c r="W16" i="71"/>
  <c r="U17" i="71"/>
  <c r="U85" i="71"/>
  <c r="W84" i="71"/>
  <c r="X84" i="71" s="1"/>
  <c r="W101" i="80"/>
  <c r="X101" i="80" s="1"/>
  <c r="U102" i="80"/>
  <c r="U34" i="80"/>
  <c r="W33" i="80"/>
  <c r="X33" i="80" s="1"/>
  <c r="X103" i="84"/>
  <c r="J65" i="82"/>
  <c r="L65" i="82"/>
  <c r="R65" i="82" s="1"/>
  <c r="X26" i="63"/>
  <c r="U27" i="84"/>
  <c r="W26" i="84"/>
  <c r="X26" i="84" s="1"/>
  <c r="U32" i="82"/>
  <c r="W31" i="82"/>
  <c r="X31" i="82" s="1"/>
  <c r="K60" i="63"/>
  <c r="M60" i="63" s="1"/>
  <c r="W104" i="84"/>
  <c r="U105" i="84"/>
  <c r="J64" i="84"/>
  <c r="L64" i="84"/>
  <c r="R64" i="84" s="1"/>
  <c r="U115" i="85"/>
  <c r="W114" i="85"/>
  <c r="U108" i="78"/>
  <c r="W107" i="78"/>
  <c r="X107" i="78" s="1"/>
  <c r="U36" i="78"/>
  <c r="W35" i="78"/>
  <c r="X35" i="78" s="1"/>
  <c r="W27" i="63"/>
  <c r="U28" i="63"/>
  <c r="U83" i="63"/>
  <c r="W82" i="63"/>
  <c r="X82" i="63" s="1"/>
  <c r="L66" i="72" l="1"/>
  <c r="R66" i="72" s="1"/>
  <c r="J66" i="72"/>
  <c r="X114" i="85"/>
  <c r="U102" i="72"/>
  <c r="W101" i="72"/>
  <c r="X101" i="72" s="1"/>
  <c r="M65" i="85"/>
  <c r="J66" i="85" s="1"/>
  <c r="W21" i="72"/>
  <c r="X21" i="72" s="1"/>
  <c r="U22" i="72"/>
  <c r="X25" i="67"/>
  <c r="W37" i="85"/>
  <c r="X37" i="85" s="1"/>
  <c r="U38" i="85"/>
  <c r="X101" i="67"/>
  <c r="X16" i="71"/>
  <c r="Y53" i="23"/>
  <c r="W53" i="23"/>
  <c r="Z53" i="23" s="1"/>
  <c r="M65" i="80"/>
  <c r="L66" i="80" s="1"/>
  <c r="R66" i="80" s="1"/>
  <c r="J65" i="67"/>
  <c r="L65" i="67"/>
  <c r="R65" i="67" s="1"/>
  <c r="W102" i="67"/>
  <c r="U103" i="67"/>
  <c r="U27" i="67"/>
  <c r="W26" i="67"/>
  <c r="W56" i="23"/>
  <c r="Z56" i="23" s="1"/>
  <c r="L62" i="71"/>
  <c r="R62" i="71" s="1"/>
  <c r="W85" i="71"/>
  <c r="X85" i="71" s="1"/>
  <c r="U86" i="71"/>
  <c r="U18" i="71"/>
  <c r="W17" i="71"/>
  <c r="K62" i="71"/>
  <c r="X27" i="63"/>
  <c r="X104" i="84"/>
  <c r="U35" i="80"/>
  <c r="W34" i="80"/>
  <c r="X34" i="80" s="1"/>
  <c r="W102" i="80"/>
  <c r="X102" i="80" s="1"/>
  <c r="U103" i="80"/>
  <c r="K65" i="82"/>
  <c r="M65" i="82" s="1"/>
  <c r="U28" i="84"/>
  <c r="W27" i="84"/>
  <c r="X27" i="84" s="1"/>
  <c r="J61" i="63"/>
  <c r="K61" i="63" s="1"/>
  <c r="L61" i="63"/>
  <c r="R61" i="63" s="1"/>
  <c r="W32" i="82"/>
  <c r="X32" i="82" s="1"/>
  <c r="U33" i="82"/>
  <c r="K64" i="84"/>
  <c r="M64" i="84" s="1"/>
  <c r="W105" i="84"/>
  <c r="U106" i="84"/>
  <c r="U116" i="85"/>
  <c r="W115" i="85"/>
  <c r="X115" i="85" s="1"/>
  <c r="U109" i="78"/>
  <c r="W108" i="78"/>
  <c r="X108" i="78" s="1"/>
  <c r="U37" i="78"/>
  <c r="W36" i="78"/>
  <c r="X36" i="78" s="1"/>
  <c r="U84" i="63"/>
  <c r="W83" i="63"/>
  <c r="X83" i="63" s="1"/>
  <c r="U29" i="63"/>
  <c r="W28" i="63"/>
  <c r="K66" i="72" l="1"/>
  <c r="M66" i="72" s="1"/>
  <c r="L66" i="85"/>
  <c r="R66" i="85" s="1"/>
  <c r="X26" i="67"/>
  <c r="U23" i="72"/>
  <c r="W22" i="72"/>
  <c r="X22" i="72" s="1"/>
  <c r="U103" i="72"/>
  <c r="W102" i="72"/>
  <c r="X102" i="72" s="1"/>
  <c r="X17" i="71"/>
  <c r="U39" i="85"/>
  <c r="W38" i="85"/>
  <c r="X38" i="85" s="1"/>
  <c r="K66" i="85"/>
  <c r="M66" i="85" s="1"/>
  <c r="X102" i="67"/>
  <c r="J66" i="80"/>
  <c r="K66" i="80" s="1"/>
  <c r="M66" i="80" s="1"/>
  <c r="W103" i="67"/>
  <c r="U104" i="67"/>
  <c r="W27" i="67"/>
  <c r="U28" i="67"/>
  <c r="K65" i="67"/>
  <c r="M65" i="67" s="1"/>
  <c r="M62" i="71"/>
  <c r="J63" i="71" s="1"/>
  <c r="X105" i="84"/>
  <c r="X28" i="63"/>
  <c r="W18" i="71"/>
  <c r="U19" i="71"/>
  <c r="U87" i="71"/>
  <c r="W86" i="71"/>
  <c r="X86" i="71" s="1"/>
  <c r="W103" i="80"/>
  <c r="X103" i="80" s="1"/>
  <c r="U104" i="80"/>
  <c r="W35" i="80"/>
  <c r="X35" i="80" s="1"/>
  <c r="U36" i="80"/>
  <c r="J66" i="82"/>
  <c r="L66" i="82"/>
  <c r="R66" i="82" s="1"/>
  <c r="W28" i="84"/>
  <c r="X28" i="84" s="1"/>
  <c r="U29" i="84"/>
  <c r="M61" i="63"/>
  <c r="J62" i="63" s="1"/>
  <c r="K62" i="63" s="1"/>
  <c r="W33" i="82"/>
  <c r="X33" i="82" s="1"/>
  <c r="U34" i="82"/>
  <c r="J65" i="84"/>
  <c r="K65" i="84" s="1"/>
  <c r="L65" i="84"/>
  <c r="R65" i="84" s="1"/>
  <c r="W106" i="84"/>
  <c r="U107" i="84"/>
  <c r="U117" i="85"/>
  <c r="W116" i="85"/>
  <c r="X116" i="85" s="1"/>
  <c r="U38" i="78"/>
  <c r="W37" i="78"/>
  <c r="X37" i="78" s="1"/>
  <c r="W109" i="78"/>
  <c r="X109" i="78" s="1"/>
  <c r="U110" i="78"/>
  <c r="U85" i="63"/>
  <c r="W84" i="63"/>
  <c r="X84" i="63" s="1"/>
  <c r="W29" i="63"/>
  <c r="U30" i="63"/>
  <c r="X27" i="67" l="1"/>
  <c r="U104" i="72"/>
  <c r="W103" i="72"/>
  <c r="X103" i="72" s="1"/>
  <c r="W23" i="72"/>
  <c r="X23" i="72" s="1"/>
  <c r="U24" i="72"/>
  <c r="X18" i="71"/>
  <c r="X103" i="67"/>
  <c r="U40" i="85"/>
  <c r="W39" i="85"/>
  <c r="X39" i="85" s="1"/>
  <c r="L66" i="67"/>
  <c r="R66" i="67" s="1"/>
  <c r="J66" i="67"/>
  <c r="K66" i="67" s="1"/>
  <c r="U105" i="67"/>
  <c r="W104" i="67"/>
  <c r="W28" i="67"/>
  <c r="U29" i="67"/>
  <c r="X106" i="84"/>
  <c r="L63" i="71"/>
  <c r="R63" i="71" s="1"/>
  <c r="X29" i="63"/>
  <c r="U88" i="71"/>
  <c r="W87" i="71"/>
  <c r="X87" i="71" s="1"/>
  <c r="K63" i="71"/>
  <c r="W19" i="71"/>
  <c r="X19" i="71" s="1"/>
  <c r="U20" i="71"/>
  <c r="U37" i="80"/>
  <c r="W36" i="80"/>
  <c r="X36" i="80" s="1"/>
  <c r="U105" i="80"/>
  <c r="W104" i="80"/>
  <c r="X104" i="80" s="1"/>
  <c r="K66" i="82"/>
  <c r="M66" i="82" s="1"/>
  <c r="L62" i="63"/>
  <c r="R62" i="63" s="1"/>
  <c r="W29" i="84"/>
  <c r="X29" i="84" s="1"/>
  <c r="U30" i="84"/>
  <c r="W34" i="82"/>
  <c r="X34" i="82" s="1"/>
  <c r="U35" i="82"/>
  <c r="W107" i="84"/>
  <c r="U108" i="84"/>
  <c r="M65" i="84"/>
  <c r="U118" i="85"/>
  <c r="W117" i="85"/>
  <c r="X117" i="85" s="1"/>
  <c r="U111" i="78"/>
  <c r="W110" i="78"/>
  <c r="X110" i="78" s="1"/>
  <c r="W38" i="78"/>
  <c r="X38" i="78" s="1"/>
  <c r="U39" i="78"/>
  <c r="U31" i="63"/>
  <c r="W30" i="63"/>
  <c r="U86" i="63"/>
  <c r="W85" i="63"/>
  <c r="X85" i="63" s="1"/>
  <c r="X28" i="67" l="1"/>
  <c r="X104" i="67"/>
  <c r="W24" i="72"/>
  <c r="X24" i="72" s="1"/>
  <c r="U25" i="72"/>
  <c r="U105" i="72"/>
  <c r="W104" i="72"/>
  <c r="X104" i="72" s="1"/>
  <c r="U41" i="85"/>
  <c r="W40" i="85"/>
  <c r="X40" i="85" s="1"/>
  <c r="M66" i="67"/>
  <c r="X107" i="84"/>
  <c r="W105" i="67"/>
  <c r="X105" i="67" s="1"/>
  <c r="U106" i="67"/>
  <c r="W29" i="67"/>
  <c r="U30" i="67"/>
  <c r="M63" i="71"/>
  <c r="J64" i="71" s="1"/>
  <c r="X30" i="63"/>
  <c r="U21" i="71"/>
  <c r="W20" i="71"/>
  <c r="X20" i="71" s="1"/>
  <c r="U89" i="71"/>
  <c r="W88" i="71"/>
  <c r="X88" i="71" s="1"/>
  <c r="M62" i="63"/>
  <c r="L63" i="63" s="1"/>
  <c r="R63" i="63" s="1"/>
  <c r="W105" i="80"/>
  <c r="X105" i="80" s="1"/>
  <c r="U106" i="80"/>
  <c r="U38" i="80"/>
  <c r="W37" i="80"/>
  <c r="X37" i="80" s="1"/>
  <c r="W30" i="84"/>
  <c r="X30" i="84" s="1"/>
  <c r="U31" i="84"/>
  <c r="U36" i="82"/>
  <c r="W35" i="82"/>
  <c r="X35" i="82" s="1"/>
  <c r="L66" i="84"/>
  <c r="R66" i="84" s="1"/>
  <c r="J66" i="84"/>
  <c r="U109" i="84"/>
  <c r="W108" i="84"/>
  <c r="U119" i="85"/>
  <c r="W118" i="85"/>
  <c r="X118" i="85" s="1"/>
  <c r="W39" i="78"/>
  <c r="X39" i="78" s="1"/>
  <c r="U40" i="78"/>
  <c r="U112" i="78"/>
  <c r="W111" i="78"/>
  <c r="X111" i="78" s="1"/>
  <c r="U87" i="63"/>
  <c r="W86" i="63"/>
  <c r="X86" i="63" s="1"/>
  <c r="W31" i="63"/>
  <c r="U32" i="63"/>
  <c r="X29" i="67" l="1"/>
  <c r="W105" i="72"/>
  <c r="X105" i="72" s="1"/>
  <c r="U106" i="72"/>
  <c r="W25" i="72"/>
  <c r="X25" i="72" s="1"/>
  <c r="U26" i="72"/>
  <c r="U42" i="85"/>
  <c r="W41" i="85"/>
  <c r="X41" i="85" s="1"/>
  <c r="X108" i="84"/>
  <c r="W30" i="67"/>
  <c r="X30" i="67" s="1"/>
  <c r="U31" i="67"/>
  <c r="U107" i="67"/>
  <c r="W106" i="67"/>
  <c r="X106" i="67" s="1"/>
  <c r="L64" i="71"/>
  <c r="R64" i="71" s="1"/>
  <c r="X31" i="63"/>
  <c r="U22" i="71"/>
  <c r="W21" i="71"/>
  <c r="X21" i="71" s="1"/>
  <c r="W89" i="71"/>
  <c r="X89" i="71" s="1"/>
  <c r="U90" i="71"/>
  <c r="K64" i="71"/>
  <c r="J63" i="63"/>
  <c r="K63" i="63" s="1"/>
  <c r="M63" i="63" s="1"/>
  <c r="U39" i="80"/>
  <c r="W38" i="80"/>
  <c r="X38" i="80" s="1"/>
  <c r="W106" i="80"/>
  <c r="X106" i="80" s="1"/>
  <c r="U107" i="80"/>
  <c r="W31" i="84"/>
  <c r="X31" i="84" s="1"/>
  <c r="U32" i="84"/>
  <c r="W36" i="82"/>
  <c r="X36" i="82" s="1"/>
  <c r="U37" i="82"/>
  <c r="K66" i="84"/>
  <c r="M66" i="84" s="1"/>
  <c r="W109" i="84"/>
  <c r="U110" i="84"/>
  <c r="U120" i="85"/>
  <c r="W119" i="85"/>
  <c r="X119" i="85" s="1"/>
  <c r="W112" i="78"/>
  <c r="X112" i="78" s="1"/>
  <c r="U113" i="78"/>
  <c r="U41" i="78"/>
  <c r="W40" i="78"/>
  <c r="X40" i="78" s="1"/>
  <c r="U33" i="63"/>
  <c r="W32" i="63"/>
  <c r="U88" i="63"/>
  <c r="W87" i="63"/>
  <c r="X87" i="63" s="1"/>
  <c r="W26" i="72" l="1"/>
  <c r="X26" i="72" s="1"/>
  <c r="U27" i="72"/>
  <c r="W106" i="72"/>
  <c r="X106" i="72" s="1"/>
  <c r="U107" i="72"/>
  <c r="U43" i="85"/>
  <c r="W42" i="85"/>
  <c r="X42" i="85" s="1"/>
  <c r="M64" i="71"/>
  <c r="L65" i="71" s="1"/>
  <c r="R65" i="71" s="1"/>
  <c r="X109" i="84"/>
  <c r="X32" i="63"/>
  <c r="U108" i="67"/>
  <c r="W107" i="67"/>
  <c r="X107" i="67" s="1"/>
  <c r="W31" i="67"/>
  <c r="X31" i="67" s="1"/>
  <c r="U32" i="67"/>
  <c r="U23" i="71"/>
  <c r="W22" i="71"/>
  <c r="X22" i="71" s="1"/>
  <c r="U91" i="71"/>
  <c r="W90" i="71"/>
  <c r="X90" i="71" s="1"/>
  <c r="U108" i="80"/>
  <c r="W107" i="80"/>
  <c r="X107" i="80" s="1"/>
  <c r="U40" i="80"/>
  <c r="W39" i="80"/>
  <c r="X39" i="80" s="1"/>
  <c r="W32" i="84"/>
  <c r="X32" i="84" s="1"/>
  <c r="U33" i="84"/>
  <c r="J64" i="63"/>
  <c r="L64" i="63"/>
  <c r="R64" i="63" s="1"/>
  <c r="U38" i="82"/>
  <c r="W37" i="82"/>
  <c r="X37" i="82" s="1"/>
  <c r="W110" i="84"/>
  <c r="U111" i="84"/>
  <c r="U121" i="85"/>
  <c r="W120" i="85"/>
  <c r="X120" i="85" s="1"/>
  <c r="U42" i="78"/>
  <c r="W41" i="78"/>
  <c r="X41" i="78" s="1"/>
  <c r="U114" i="78"/>
  <c r="W113" i="78"/>
  <c r="X113" i="78" s="1"/>
  <c r="U34" i="63"/>
  <c r="W33" i="63"/>
  <c r="U89" i="63"/>
  <c r="W88" i="63"/>
  <c r="X88" i="63" s="1"/>
  <c r="U108" i="72" l="1"/>
  <c r="W107" i="72"/>
  <c r="X107" i="72" s="1"/>
  <c r="W27" i="72"/>
  <c r="X27" i="72" s="1"/>
  <c r="U28" i="72"/>
  <c r="J65" i="71"/>
  <c r="K65" i="71" s="1"/>
  <c r="M65" i="71" s="1"/>
  <c r="X110" i="84"/>
  <c r="U44" i="85"/>
  <c r="W43" i="85"/>
  <c r="X43" i="85" s="1"/>
  <c r="X33" i="63"/>
  <c r="U33" i="67"/>
  <c r="W32" i="67"/>
  <c r="X32" i="67" s="1"/>
  <c r="W108" i="67"/>
  <c r="X108" i="67" s="1"/>
  <c r="U109" i="67"/>
  <c r="W23" i="71"/>
  <c r="X23" i="71" s="1"/>
  <c r="U24" i="71"/>
  <c r="U92" i="71"/>
  <c r="W91" i="71"/>
  <c r="X91" i="71" s="1"/>
  <c r="W40" i="80"/>
  <c r="X40" i="80" s="1"/>
  <c r="U41" i="80"/>
  <c r="U109" i="80"/>
  <c r="W108" i="80"/>
  <c r="X108" i="80" s="1"/>
  <c r="U34" i="84"/>
  <c r="W33" i="84"/>
  <c r="X33" i="84" s="1"/>
  <c r="U39" i="82"/>
  <c r="W38" i="82"/>
  <c r="X38" i="82" s="1"/>
  <c r="K64" i="63"/>
  <c r="M64" i="63" s="1"/>
  <c r="U112" i="84"/>
  <c r="W111" i="84"/>
  <c r="U122" i="85"/>
  <c r="W121" i="85"/>
  <c r="X121" i="85" s="1"/>
  <c r="W114" i="78"/>
  <c r="X114" i="78" s="1"/>
  <c r="U115" i="78"/>
  <c r="U43" i="78"/>
  <c r="W42" i="78"/>
  <c r="X42" i="78" s="1"/>
  <c r="U90" i="63"/>
  <c r="W89" i="63"/>
  <c r="X89" i="63" s="1"/>
  <c r="U35" i="63"/>
  <c r="W34" i="63"/>
  <c r="W28" i="72" l="1"/>
  <c r="X28" i="72" s="1"/>
  <c r="U29" i="72"/>
  <c r="W108" i="72"/>
  <c r="X108" i="72" s="1"/>
  <c r="U109" i="72"/>
  <c r="X111" i="84"/>
  <c r="X34" i="63"/>
  <c r="U45" i="85"/>
  <c r="W44" i="85"/>
  <c r="X44" i="85" s="1"/>
  <c r="W109" i="67"/>
  <c r="X109" i="67" s="1"/>
  <c r="U110" i="67"/>
  <c r="W33" i="67"/>
  <c r="X33" i="67" s="1"/>
  <c r="U34" i="67"/>
  <c r="J66" i="71"/>
  <c r="L66" i="71"/>
  <c r="R66" i="71" s="1"/>
  <c r="U93" i="71"/>
  <c r="W92" i="71"/>
  <c r="X92" i="71" s="1"/>
  <c r="U25" i="71"/>
  <c r="W24" i="71"/>
  <c r="X24" i="71" s="1"/>
  <c r="U110" i="80"/>
  <c r="W109" i="80"/>
  <c r="X109" i="80" s="1"/>
  <c r="U42" i="80"/>
  <c r="W41" i="80"/>
  <c r="X41" i="80" s="1"/>
  <c r="W34" i="84"/>
  <c r="X34" i="84" s="1"/>
  <c r="U35" i="84"/>
  <c r="L65" i="63"/>
  <c r="R65" i="63" s="1"/>
  <c r="J65" i="63"/>
  <c r="U40" i="82"/>
  <c r="W39" i="82"/>
  <c r="X39" i="82" s="1"/>
  <c r="U113" i="84"/>
  <c r="W112" i="84"/>
  <c r="X112" i="84" s="1"/>
  <c r="U123" i="85"/>
  <c r="W122" i="85"/>
  <c r="X122" i="85" s="1"/>
  <c r="W115" i="78"/>
  <c r="X115" i="78" s="1"/>
  <c r="U116" i="78"/>
  <c r="W43" i="78"/>
  <c r="X43" i="78" s="1"/>
  <c r="U44" i="78"/>
  <c r="U36" i="63"/>
  <c r="W35" i="63"/>
  <c r="U91" i="63"/>
  <c r="W90" i="63"/>
  <c r="X90" i="63" s="1"/>
  <c r="U110" i="72" l="1"/>
  <c r="W109" i="72"/>
  <c r="X109" i="72" s="1"/>
  <c r="X35" i="63"/>
  <c r="W29" i="72"/>
  <c r="X29" i="72" s="1"/>
  <c r="U30" i="72"/>
  <c r="W45" i="85"/>
  <c r="X45" i="85" s="1"/>
  <c r="U46" i="85"/>
  <c r="U35" i="67"/>
  <c r="W34" i="67"/>
  <c r="X34" i="67" s="1"/>
  <c r="U111" i="67"/>
  <c r="W110" i="67"/>
  <c r="X110" i="67" s="1"/>
  <c r="U94" i="71"/>
  <c r="W93" i="71"/>
  <c r="X93" i="71" s="1"/>
  <c r="W25" i="71"/>
  <c r="X25" i="71" s="1"/>
  <c r="U26" i="71"/>
  <c r="K66" i="71"/>
  <c r="M66" i="71" s="1"/>
  <c r="W42" i="80"/>
  <c r="X42" i="80" s="1"/>
  <c r="U43" i="80"/>
  <c r="W110" i="80"/>
  <c r="X110" i="80" s="1"/>
  <c r="U111" i="80"/>
  <c r="W35" i="84"/>
  <c r="X35" i="84" s="1"/>
  <c r="U36" i="84"/>
  <c r="U41" i="82"/>
  <c r="W40" i="82"/>
  <c r="X40" i="82" s="1"/>
  <c r="K65" i="63"/>
  <c r="M65" i="63" s="1"/>
  <c r="U114" i="84"/>
  <c r="W113" i="84"/>
  <c r="X113" i="84" s="1"/>
  <c r="U124" i="85"/>
  <c r="W123" i="85"/>
  <c r="X123" i="85" s="1"/>
  <c r="W44" i="78"/>
  <c r="X44" i="78" s="1"/>
  <c r="U45" i="78"/>
  <c r="U117" i="78"/>
  <c r="W116" i="78"/>
  <c r="X116" i="78" s="1"/>
  <c r="U92" i="63"/>
  <c r="W91" i="63"/>
  <c r="X91" i="63" s="1"/>
  <c r="U37" i="63"/>
  <c r="W36" i="63"/>
  <c r="X36" i="63" s="1"/>
  <c r="W30" i="72" l="1"/>
  <c r="X30" i="72" s="1"/>
  <c r="U31" i="72"/>
  <c r="W110" i="72"/>
  <c r="X110" i="72" s="1"/>
  <c r="U111" i="72"/>
  <c r="W46" i="85"/>
  <c r="X46" i="85" s="1"/>
  <c r="U47" i="85"/>
  <c r="W111" i="67"/>
  <c r="X111" i="67" s="1"/>
  <c r="U112" i="67"/>
  <c r="W35" i="67"/>
  <c r="X35" i="67" s="1"/>
  <c r="U36" i="67"/>
  <c r="U95" i="71"/>
  <c r="W94" i="71"/>
  <c r="X94" i="71" s="1"/>
  <c r="W26" i="71"/>
  <c r="X26" i="71" s="1"/>
  <c r="U27" i="71"/>
  <c r="W43" i="80"/>
  <c r="X43" i="80" s="1"/>
  <c r="U44" i="80"/>
  <c r="W111" i="80"/>
  <c r="X111" i="80" s="1"/>
  <c r="U112" i="80"/>
  <c r="W36" i="84"/>
  <c r="X36" i="84" s="1"/>
  <c r="U37" i="84"/>
  <c r="L66" i="63"/>
  <c r="R66" i="63" s="1"/>
  <c r="J66" i="63"/>
  <c r="U42" i="82"/>
  <c r="W41" i="82"/>
  <c r="X41" i="82" s="1"/>
  <c r="U115" i="84"/>
  <c r="W114" i="84"/>
  <c r="X114" i="84" s="1"/>
  <c r="U125" i="85"/>
  <c r="W124" i="85"/>
  <c r="X124" i="85" s="1"/>
  <c r="U46" i="78"/>
  <c r="W45" i="78"/>
  <c r="X45" i="78" s="1"/>
  <c r="W117" i="78"/>
  <c r="X117" i="78" s="1"/>
  <c r="U118" i="78"/>
  <c r="U93" i="63"/>
  <c r="W92" i="63"/>
  <c r="X92" i="63" s="1"/>
  <c r="W37" i="63"/>
  <c r="X37" i="63" s="1"/>
  <c r="U38" i="63"/>
  <c r="W111" i="72" l="1"/>
  <c r="X111" i="72" s="1"/>
  <c r="U112" i="72"/>
  <c r="U32" i="72"/>
  <c r="W31" i="72"/>
  <c r="X31" i="72" s="1"/>
  <c r="W47" i="85"/>
  <c r="X47" i="85" s="1"/>
  <c r="U48" i="85"/>
  <c r="U113" i="67"/>
  <c r="W112" i="67"/>
  <c r="X112" i="67" s="1"/>
  <c r="W36" i="67"/>
  <c r="X36" i="67" s="1"/>
  <c r="U37" i="67"/>
  <c r="W27" i="71"/>
  <c r="X27" i="71" s="1"/>
  <c r="U28" i="71"/>
  <c r="U96" i="71"/>
  <c r="W95" i="71"/>
  <c r="X95" i="71" s="1"/>
  <c r="W112" i="80"/>
  <c r="X112" i="80" s="1"/>
  <c r="U113" i="80"/>
  <c r="W44" i="80"/>
  <c r="X44" i="80" s="1"/>
  <c r="U45" i="80"/>
  <c r="W37" i="84"/>
  <c r="X37" i="84" s="1"/>
  <c r="U38" i="84"/>
  <c r="W42" i="82"/>
  <c r="X42" i="82" s="1"/>
  <c r="U43" i="82"/>
  <c r="K66" i="63"/>
  <c r="M66" i="63" s="1"/>
  <c r="U116" i="84"/>
  <c r="W115" i="84"/>
  <c r="X115" i="84" s="1"/>
  <c r="U126" i="85"/>
  <c r="W125" i="85"/>
  <c r="X125" i="85" s="1"/>
  <c r="W46" i="78"/>
  <c r="X46" i="78" s="1"/>
  <c r="U47" i="78"/>
  <c r="U119" i="78"/>
  <c r="W118" i="78"/>
  <c r="X118" i="78" s="1"/>
  <c r="W38" i="63"/>
  <c r="X38" i="63" s="1"/>
  <c r="U39" i="63"/>
  <c r="U94" i="63"/>
  <c r="W93" i="63"/>
  <c r="X93" i="63" s="1"/>
  <c r="W32" i="72" l="1"/>
  <c r="X32" i="72" s="1"/>
  <c r="U33" i="72"/>
  <c r="U113" i="72"/>
  <c r="W112" i="72"/>
  <c r="X112" i="72" s="1"/>
  <c r="W48" i="85"/>
  <c r="X48" i="85" s="1"/>
  <c r="U49" i="85"/>
  <c r="U38" i="67"/>
  <c r="W37" i="67"/>
  <c r="X37" i="67" s="1"/>
  <c r="U114" i="67"/>
  <c r="W113" i="67"/>
  <c r="X113" i="67" s="1"/>
  <c r="U97" i="71"/>
  <c r="W96" i="71"/>
  <c r="X96" i="71" s="1"/>
  <c r="U29" i="71"/>
  <c r="W28" i="71"/>
  <c r="X28" i="71" s="1"/>
  <c r="W45" i="80"/>
  <c r="X45" i="80" s="1"/>
  <c r="U46" i="80"/>
  <c r="W113" i="80"/>
  <c r="X113" i="80" s="1"/>
  <c r="U114" i="80"/>
  <c r="W38" i="84"/>
  <c r="X38" i="84" s="1"/>
  <c r="U39" i="84"/>
  <c r="W43" i="82"/>
  <c r="X43" i="82" s="1"/>
  <c r="U44" i="82"/>
  <c r="U117" i="84"/>
  <c r="W116" i="84"/>
  <c r="X116" i="84" s="1"/>
  <c r="W126" i="85"/>
  <c r="X126" i="85" s="1"/>
  <c r="U127" i="85"/>
  <c r="W47" i="78"/>
  <c r="X47" i="78" s="1"/>
  <c r="U48" i="78"/>
  <c r="W119" i="78"/>
  <c r="X119" i="78" s="1"/>
  <c r="U120" i="78"/>
  <c r="U95" i="63"/>
  <c r="W94" i="63"/>
  <c r="X94" i="63" s="1"/>
  <c r="U40" i="63"/>
  <c r="W39" i="63"/>
  <c r="X39" i="63" s="1"/>
  <c r="U114" i="72" l="1"/>
  <c r="W113" i="72"/>
  <c r="X113" i="72" s="1"/>
  <c r="W33" i="72"/>
  <c r="X33" i="72" s="1"/>
  <c r="U34" i="72"/>
  <c r="U50" i="85"/>
  <c r="W49" i="85"/>
  <c r="X49" i="85" s="1"/>
  <c r="U115" i="67"/>
  <c r="W114" i="67"/>
  <c r="X114" i="67" s="1"/>
  <c r="W38" i="67"/>
  <c r="X38" i="67" s="1"/>
  <c r="U39" i="67"/>
  <c r="U30" i="71"/>
  <c r="W29" i="71"/>
  <c r="X29" i="71" s="1"/>
  <c r="W97" i="71"/>
  <c r="X97" i="71" s="1"/>
  <c r="U98" i="71"/>
  <c r="U115" i="80"/>
  <c r="W114" i="80"/>
  <c r="X114" i="80" s="1"/>
  <c r="W46" i="80"/>
  <c r="X46" i="80" s="1"/>
  <c r="U47" i="80"/>
  <c r="W39" i="84"/>
  <c r="X39" i="84" s="1"/>
  <c r="U40" i="84"/>
  <c r="W44" i="82"/>
  <c r="X44" i="82" s="1"/>
  <c r="U45" i="82"/>
  <c r="W117" i="84"/>
  <c r="X117" i="84" s="1"/>
  <c r="U118" i="84"/>
  <c r="W120" i="78"/>
  <c r="X120" i="78" s="1"/>
  <c r="U121" i="78"/>
  <c r="U49" i="78"/>
  <c r="W48" i="78"/>
  <c r="X48" i="78" s="1"/>
  <c r="W40" i="63"/>
  <c r="X40" i="63" s="1"/>
  <c r="U41" i="63"/>
  <c r="U96" i="63"/>
  <c r="W95" i="63"/>
  <c r="X95" i="63" s="1"/>
  <c r="W34" i="72" l="1"/>
  <c r="X34" i="72" s="1"/>
  <c r="U35" i="72"/>
  <c r="W114" i="72"/>
  <c r="X114" i="72" s="1"/>
  <c r="U115" i="72"/>
  <c r="U51" i="85"/>
  <c r="W50" i="85"/>
  <c r="X50" i="85" s="1"/>
  <c r="U40" i="67"/>
  <c r="W39" i="67"/>
  <c r="X39" i="67" s="1"/>
  <c r="W115" i="67"/>
  <c r="X115" i="67" s="1"/>
  <c r="U116" i="67"/>
  <c r="U99" i="71"/>
  <c r="W98" i="71"/>
  <c r="X98" i="71" s="1"/>
  <c r="U31" i="71"/>
  <c r="W30" i="71"/>
  <c r="X30" i="71" s="1"/>
  <c r="W47" i="80"/>
  <c r="X47" i="80" s="1"/>
  <c r="U48" i="80"/>
  <c r="W115" i="80"/>
  <c r="X115" i="80" s="1"/>
  <c r="U116" i="80"/>
  <c r="U41" i="84"/>
  <c r="W40" i="84"/>
  <c r="X40" i="84" s="1"/>
  <c r="U46" i="82"/>
  <c r="W45" i="82"/>
  <c r="X45" i="82" s="1"/>
  <c r="U119" i="84"/>
  <c r="W118" i="84"/>
  <c r="X118" i="84" s="1"/>
  <c r="W49" i="78"/>
  <c r="X49" i="78" s="1"/>
  <c r="U50" i="78"/>
  <c r="W121" i="78"/>
  <c r="X121" i="78" s="1"/>
  <c r="U122" i="78"/>
  <c r="U97" i="63"/>
  <c r="W96" i="63"/>
  <c r="X96" i="63" s="1"/>
  <c r="U42" i="63"/>
  <c r="W41" i="63"/>
  <c r="X41" i="63" s="1"/>
  <c r="U116" i="72" l="1"/>
  <c r="W115" i="72"/>
  <c r="X115" i="72" s="1"/>
  <c r="W35" i="72"/>
  <c r="X35" i="72" s="1"/>
  <c r="U36" i="72"/>
  <c r="U52" i="85"/>
  <c r="W51" i="85"/>
  <c r="X51" i="85" s="1"/>
  <c r="W116" i="67"/>
  <c r="X116" i="67" s="1"/>
  <c r="U117" i="67"/>
  <c r="U41" i="67"/>
  <c r="W40" i="67"/>
  <c r="X40" i="67" s="1"/>
  <c r="W31" i="71"/>
  <c r="X31" i="71" s="1"/>
  <c r="U32" i="71"/>
  <c r="W99" i="71"/>
  <c r="X99" i="71" s="1"/>
  <c r="U100" i="71"/>
  <c r="U117" i="80"/>
  <c r="W116" i="80"/>
  <c r="X116" i="80" s="1"/>
  <c r="U49" i="80"/>
  <c r="W48" i="80"/>
  <c r="X48" i="80" s="1"/>
  <c r="U42" i="84"/>
  <c r="W41" i="84"/>
  <c r="X41" i="84" s="1"/>
  <c r="U47" i="82"/>
  <c r="W46" i="82"/>
  <c r="X46" i="82" s="1"/>
  <c r="U120" i="84"/>
  <c r="W119" i="84"/>
  <c r="X119" i="84" s="1"/>
  <c r="U123" i="78"/>
  <c r="W122" i="78"/>
  <c r="X122" i="78" s="1"/>
  <c r="U51" i="78"/>
  <c r="W50" i="78"/>
  <c r="X50" i="78" s="1"/>
  <c r="U43" i="63"/>
  <c r="W42" i="63"/>
  <c r="X42" i="63" s="1"/>
  <c r="U98" i="63"/>
  <c r="W97" i="63"/>
  <c r="X97" i="63" s="1"/>
  <c r="W36" i="72" l="1"/>
  <c r="X36" i="72" s="1"/>
  <c r="U37" i="72"/>
  <c r="W116" i="72"/>
  <c r="X116" i="72" s="1"/>
  <c r="U117" i="72"/>
  <c r="U53" i="85"/>
  <c r="W52" i="85"/>
  <c r="X52" i="85" s="1"/>
  <c r="U42" i="67"/>
  <c r="W41" i="67"/>
  <c r="X41" i="67" s="1"/>
  <c r="W117" i="67"/>
  <c r="X117" i="67" s="1"/>
  <c r="U118" i="67"/>
  <c r="W100" i="71"/>
  <c r="X100" i="71" s="1"/>
  <c r="U101" i="71"/>
  <c r="U33" i="71"/>
  <c r="W32" i="71"/>
  <c r="X32" i="71" s="1"/>
  <c r="U50" i="80"/>
  <c r="W49" i="80"/>
  <c r="X49" i="80" s="1"/>
  <c r="W117" i="80"/>
  <c r="X117" i="80" s="1"/>
  <c r="U118" i="80"/>
  <c r="W42" i="84"/>
  <c r="X42" i="84" s="1"/>
  <c r="U43" i="84"/>
  <c r="U48" i="82"/>
  <c r="W47" i="82"/>
  <c r="X47" i="82" s="1"/>
  <c r="U121" i="84"/>
  <c r="W120" i="84"/>
  <c r="X120" i="84" s="1"/>
  <c r="W51" i="78"/>
  <c r="X51" i="78" s="1"/>
  <c r="U52" i="78"/>
  <c r="U124" i="78"/>
  <c r="W123" i="78"/>
  <c r="X123" i="78" s="1"/>
  <c r="U99" i="63"/>
  <c r="W98" i="63"/>
  <c r="X98" i="63" s="1"/>
  <c r="U44" i="63"/>
  <c r="W43" i="63"/>
  <c r="X43" i="63" s="1"/>
  <c r="U118" i="72" l="1"/>
  <c r="W117" i="72"/>
  <c r="X117" i="72" s="1"/>
  <c r="U38" i="72"/>
  <c r="W37" i="72"/>
  <c r="X37" i="72" s="1"/>
  <c r="U54" i="85"/>
  <c r="W53" i="85"/>
  <c r="X53" i="85" s="1"/>
  <c r="U119" i="67"/>
  <c r="W118" i="67"/>
  <c r="X118" i="67" s="1"/>
  <c r="U43" i="67"/>
  <c r="W42" i="67"/>
  <c r="X42" i="67" s="1"/>
  <c r="U34" i="71"/>
  <c r="W33" i="71"/>
  <c r="X33" i="71" s="1"/>
  <c r="W101" i="71"/>
  <c r="X101" i="71" s="1"/>
  <c r="U102" i="71"/>
  <c r="W118" i="80"/>
  <c r="X118" i="80" s="1"/>
  <c r="U119" i="80"/>
  <c r="U51" i="80"/>
  <c r="W50" i="80"/>
  <c r="X50" i="80" s="1"/>
  <c r="U44" i="84"/>
  <c r="W43" i="84"/>
  <c r="X43" i="84" s="1"/>
  <c r="U49" i="82"/>
  <c r="W48" i="82"/>
  <c r="X48" i="82" s="1"/>
  <c r="U122" i="84"/>
  <c r="W121" i="84"/>
  <c r="X121" i="84" s="1"/>
  <c r="W52" i="78"/>
  <c r="X52" i="78" s="1"/>
  <c r="U53" i="78"/>
  <c r="U125" i="78"/>
  <c r="W124" i="78"/>
  <c r="X124" i="78" s="1"/>
  <c r="U100" i="63"/>
  <c r="W99" i="63"/>
  <c r="X99" i="63" s="1"/>
  <c r="U45" i="63"/>
  <c r="W44" i="63"/>
  <c r="X44" i="63" s="1"/>
  <c r="W38" i="72" l="1"/>
  <c r="X38" i="72" s="1"/>
  <c r="U39" i="72"/>
  <c r="W118" i="72"/>
  <c r="X118" i="72" s="1"/>
  <c r="U119" i="72"/>
  <c r="U67" i="85"/>
  <c r="Q68" i="85" s="1"/>
  <c r="U55" i="85"/>
  <c r="W54" i="85"/>
  <c r="X54" i="85" s="1"/>
  <c r="W43" i="67"/>
  <c r="X43" i="67" s="1"/>
  <c r="U44" i="67"/>
  <c r="U120" i="67"/>
  <c r="W119" i="67"/>
  <c r="X119" i="67" s="1"/>
  <c r="U103" i="71"/>
  <c r="W102" i="71"/>
  <c r="X102" i="71" s="1"/>
  <c r="W34" i="71"/>
  <c r="X34" i="71" s="1"/>
  <c r="U35" i="71"/>
  <c r="U52" i="80"/>
  <c r="W51" i="80"/>
  <c r="X51" i="80" s="1"/>
  <c r="W119" i="80"/>
  <c r="X119" i="80" s="1"/>
  <c r="U120" i="80"/>
  <c r="U45" i="84"/>
  <c r="W44" i="84"/>
  <c r="X44" i="84" s="1"/>
  <c r="W49" i="82"/>
  <c r="X49" i="82" s="1"/>
  <c r="U50" i="82"/>
  <c r="U123" i="84"/>
  <c r="W122" i="84"/>
  <c r="X122" i="84" s="1"/>
  <c r="U126" i="78"/>
  <c r="W125" i="78"/>
  <c r="X125" i="78" s="1"/>
  <c r="W53" i="78"/>
  <c r="X53" i="78" s="1"/>
  <c r="U54" i="78"/>
  <c r="W45" i="63"/>
  <c r="X45" i="63" s="1"/>
  <c r="U46" i="63"/>
  <c r="U101" i="63"/>
  <c r="W100" i="63"/>
  <c r="X100" i="63" s="1"/>
  <c r="U120" i="72" l="1"/>
  <c r="W119" i="72"/>
  <c r="X119" i="72" s="1"/>
  <c r="W39" i="72"/>
  <c r="X39" i="72" s="1"/>
  <c r="U40" i="72"/>
  <c r="W55" i="85"/>
  <c r="X55" i="85" s="1"/>
  <c r="U56" i="85"/>
  <c r="U121" i="67"/>
  <c r="W120" i="67"/>
  <c r="X120" i="67" s="1"/>
  <c r="U45" i="67"/>
  <c r="W44" i="67"/>
  <c r="X44" i="67" s="1"/>
  <c r="U36" i="71"/>
  <c r="W35" i="71"/>
  <c r="X35" i="71" s="1"/>
  <c r="U104" i="71"/>
  <c r="W103" i="71"/>
  <c r="X103" i="71" s="1"/>
  <c r="U121" i="80"/>
  <c r="W120" i="80"/>
  <c r="X120" i="80" s="1"/>
  <c r="W52" i="80"/>
  <c r="X52" i="80" s="1"/>
  <c r="U53" i="80"/>
  <c r="U46" i="84"/>
  <c r="W45" i="84"/>
  <c r="X45" i="84" s="1"/>
  <c r="U51" i="82"/>
  <c r="W50" i="82"/>
  <c r="X50" i="82" s="1"/>
  <c r="U55" i="78"/>
  <c r="U67" i="78"/>
  <c r="Q68" i="78" s="1"/>
  <c r="W54" i="78"/>
  <c r="X54" i="78" s="1"/>
  <c r="W126" i="78"/>
  <c r="X126" i="78" s="1"/>
  <c r="U127" i="78"/>
  <c r="U102" i="63"/>
  <c r="W101" i="63"/>
  <c r="X101" i="63" s="1"/>
  <c r="W46" i="63"/>
  <c r="X46" i="63" s="1"/>
  <c r="U47" i="63"/>
  <c r="U41" i="72" l="1"/>
  <c r="W40" i="72"/>
  <c r="X40" i="72" s="1"/>
  <c r="W120" i="72"/>
  <c r="X120" i="72" s="1"/>
  <c r="U121" i="72"/>
  <c r="W56" i="85"/>
  <c r="X56" i="85" s="1"/>
  <c r="U57" i="85"/>
  <c r="W45" i="67"/>
  <c r="X45" i="67" s="1"/>
  <c r="U46" i="67"/>
  <c r="W121" i="67"/>
  <c r="X121" i="67" s="1"/>
  <c r="U122" i="67"/>
  <c r="U105" i="71"/>
  <c r="W104" i="71"/>
  <c r="X104" i="71" s="1"/>
  <c r="W36" i="71"/>
  <c r="X36" i="71" s="1"/>
  <c r="U37" i="71"/>
  <c r="U54" i="80"/>
  <c r="U67" i="80" s="1"/>
  <c r="Q68" i="80" s="1"/>
  <c r="W53" i="80"/>
  <c r="X53" i="80" s="1"/>
  <c r="U122" i="80"/>
  <c r="W121" i="80"/>
  <c r="X121" i="80" s="1"/>
  <c r="W46" i="84"/>
  <c r="X46" i="84" s="1"/>
  <c r="U47" i="84"/>
  <c r="W51" i="82"/>
  <c r="X51" i="82" s="1"/>
  <c r="U52" i="82"/>
  <c r="U56" i="78"/>
  <c r="W55" i="78"/>
  <c r="X55" i="78" s="1"/>
  <c r="W47" i="63"/>
  <c r="X47" i="63" s="1"/>
  <c r="U48" i="63"/>
  <c r="U103" i="63"/>
  <c r="W102" i="63"/>
  <c r="X102" i="63" s="1"/>
  <c r="W121" i="72" l="1"/>
  <c r="X121" i="72" s="1"/>
  <c r="U122" i="72"/>
  <c r="W41" i="72"/>
  <c r="X41" i="72" s="1"/>
  <c r="U42" i="72"/>
  <c r="W57" i="85"/>
  <c r="X57" i="85" s="1"/>
  <c r="U58" i="85"/>
  <c r="W122" i="67"/>
  <c r="X122" i="67" s="1"/>
  <c r="U123" i="67"/>
  <c r="U47" i="67"/>
  <c r="W46" i="67"/>
  <c r="X46" i="67" s="1"/>
  <c r="W37" i="71"/>
  <c r="X37" i="71" s="1"/>
  <c r="U38" i="71"/>
  <c r="U106" i="71"/>
  <c r="W105" i="71"/>
  <c r="X105" i="71" s="1"/>
  <c r="W122" i="80"/>
  <c r="X122" i="80" s="1"/>
  <c r="U123" i="80"/>
  <c r="W54" i="80"/>
  <c r="X54" i="80" s="1"/>
  <c r="U55" i="80"/>
  <c r="U48" i="84"/>
  <c r="W47" i="84"/>
  <c r="X47" i="84" s="1"/>
  <c r="W52" i="82"/>
  <c r="X52" i="82" s="1"/>
  <c r="U53" i="82"/>
  <c r="W56" i="78"/>
  <c r="X56" i="78" s="1"/>
  <c r="U57" i="78"/>
  <c r="U104" i="63"/>
  <c r="W103" i="63"/>
  <c r="X103" i="63" s="1"/>
  <c r="U49" i="63"/>
  <c r="W48" i="63"/>
  <c r="X48" i="63" s="1"/>
  <c r="W42" i="72" l="1"/>
  <c r="X42" i="72" s="1"/>
  <c r="U43" i="72"/>
  <c r="W122" i="72"/>
  <c r="X122" i="72" s="1"/>
  <c r="U123" i="72"/>
  <c r="U59" i="85"/>
  <c r="W58" i="85"/>
  <c r="X58" i="85" s="1"/>
  <c r="U48" i="67"/>
  <c r="W47" i="67"/>
  <c r="X47" i="67" s="1"/>
  <c r="W106" i="71"/>
  <c r="X106" i="71" s="1"/>
  <c r="U107" i="71"/>
  <c r="W38" i="71"/>
  <c r="X38" i="71" s="1"/>
  <c r="U39" i="71"/>
  <c r="U56" i="80"/>
  <c r="W55" i="80"/>
  <c r="X55" i="80" s="1"/>
  <c r="W48" i="84"/>
  <c r="X48" i="84" s="1"/>
  <c r="U49" i="84"/>
  <c r="U54" i="82"/>
  <c r="W53" i="82"/>
  <c r="X53" i="82" s="1"/>
  <c r="W57" i="78"/>
  <c r="X57" i="78" s="1"/>
  <c r="U58" i="78"/>
  <c r="U105" i="63"/>
  <c r="W104" i="63"/>
  <c r="X104" i="63" s="1"/>
  <c r="W49" i="63"/>
  <c r="X49" i="63" s="1"/>
  <c r="U50" i="63"/>
  <c r="W43" i="72" l="1"/>
  <c r="X43" i="72" s="1"/>
  <c r="U44" i="72"/>
  <c r="W59" i="85"/>
  <c r="X59" i="85" s="1"/>
  <c r="U60" i="85"/>
  <c r="W48" i="67"/>
  <c r="X48" i="67" s="1"/>
  <c r="U49" i="67"/>
  <c r="U40" i="71"/>
  <c r="W39" i="71"/>
  <c r="X39" i="71" s="1"/>
  <c r="U108" i="71"/>
  <c r="W107" i="71"/>
  <c r="X107" i="71" s="1"/>
  <c r="U57" i="80"/>
  <c r="W56" i="80"/>
  <c r="X56" i="80" s="1"/>
  <c r="U50" i="84"/>
  <c r="W49" i="84"/>
  <c r="X49" i="84" s="1"/>
  <c r="W54" i="82"/>
  <c r="X54" i="82" s="1"/>
  <c r="U55" i="82"/>
  <c r="U67" i="82"/>
  <c r="Q68" i="82" s="1"/>
  <c r="W58" i="78"/>
  <c r="X58" i="78" s="1"/>
  <c r="U59" i="78"/>
  <c r="U106" i="63"/>
  <c r="W105" i="63"/>
  <c r="X105" i="63" s="1"/>
  <c r="U51" i="63"/>
  <c r="W50" i="63"/>
  <c r="X50" i="63" s="1"/>
  <c r="U45" i="72" l="1"/>
  <c r="W44" i="72"/>
  <c r="X44" i="72" s="1"/>
  <c r="U61" i="85"/>
  <c r="W60" i="85"/>
  <c r="X60" i="85" s="1"/>
  <c r="W49" i="67"/>
  <c r="X49" i="67" s="1"/>
  <c r="U50" i="67"/>
  <c r="W108" i="71"/>
  <c r="X108" i="71" s="1"/>
  <c r="U109" i="71"/>
  <c r="U41" i="71"/>
  <c r="W40" i="71"/>
  <c r="X40" i="71" s="1"/>
  <c r="W57" i="80"/>
  <c r="X57" i="80" s="1"/>
  <c r="U58" i="80"/>
  <c r="W50" i="84"/>
  <c r="X50" i="84" s="1"/>
  <c r="U51" i="84"/>
  <c r="U56" i="82"/>
  <c r="W55" i="82"/>
  <c r="X55" i="82" s="1"/>
  <c r="W59" i="78"/>
  <c r="X59" i="78" s="1"/>
  <c r="U60" i="78"/>
  <c r="W51" i="63"/>
  <c r="X51" i="63" s="1"/>
  <c r="U52" i="63"/>
  <c r="U107" i="63"/>
  <c r="W106" i="63"/>
  <c r="X106" i="63" s="1"/>
  <c r="W45" i="72" l="1"/>
  <c r="X45" i="72" s="1"/>
  <c r="U46" i="72"/>
  <c r="U64" i="85"/>
  <c r="W64" i="85" s="1"/>
  <c r="W61" i="85"/>
  <c r="X61" i="85" s="1"/>
  <c r="U62" i="85"/>
  <c r="U63" i="85"/>
  <c r="W63" i="85" s="1"/>
  <c r="U51" i="67"/>
  <c r="W50" i="67"/>
  <c r="X50" i="67" s="1"/>
  <c r="W41" i="71"/>
  <c r="X41" i="71" s="1"/>
  <c r="U42" i="71"/>
  <c r="W109" i="71"/>
  <c r="X109" i="71" s="1"/>
  <c r="U110" i="71"/>
  <c r="W58" i="80"/>
  <c r="X58" i="80" s="1"/>
  <c r="U59" i="80"/>
  <c r="U52" i="84"/>
  <c r="W51" i="84"/>
  <c r="X51" i="84" s="1"/>
  <c r="W56" i="82"/>
  <c r="X56" i="82" s="1"/>
  <c r="U57" i="82"/>
  <c r="U61" i="78"/>
  <c r="W60" i="78"/>
  <c r="X60" i="78" s="1"/>
  <c r="U108" i="63"/>
  <c r="W107" i="63"/>
  <c r="X107" i="63" s="1"/>
  <c r="W52" i="63"/>
  <c r="X52" i="63" s="1"/>
  <c r="U53" i="63"/>
  <c r="U47" i="72" l="1"/>
  <c r="W46" i="72"/>
  <c r="X46" i="72" s="1"/>
  <c r="U65" i="85"/>
  <c r="W65" i="85" s="1"/>
  <c r="U66" i="85"/>
  <c r="W66" i="85" s="1"/>
  <c r="W62" i="85"/>
  <c r="X62" i="85" s="1"/>
  <c r="X64" i="85"/>
  <c r="X63" i="85"/>
  <c r="W51" i="67"/>
  <c r="X51" i="67" s="1"/>
  <c r="U52" i="67"/>
  <c r="U111" i="71"/>
  <c r="W110" i="71"/>
  <c r="X110" i="71" s="1"/>
  <c r="W42" i="71"/>
  <c r="X42" i="71" s="1"/>
  <c r="U43" i="71"/>
  <c r="W59" i="80"/>
  <c r="X59" i="80" s="1"/>
  <c r="U60" i="80"/>
  <c r="U53" i="84"/>
  <c r="W52" i="84"/>
  <c r="X52" i="84" s="1"/>
  <c r="W57" i="82"/>
  <c r="X57" i="82" s="1"/>
  <c r="U58" i="82"/>
  <c r="U62" i="78"/>
  <c r="W61" i="78"/>
  <c r="X61" i="78" s="1"/>
  <c r="U64" i="78"/>
  <c r="W64" i="78" s="1"/>
  <c r="U63" i="78"/>
  <c r="W63" i="78" s="1"/>
  <c r="U109" i="63"/>
  <c r="W108" i="63"/>
  <c r="X108" i="63" s="1"/>
  <c r="U54" i="63"/>
  <c r="W53" i="63"/>
  <c r="X53" i="63" s="1"/>
  <c r="W47" i="72" l="1"/>
  <c r="X47" i="72" s="1"/>
  <c r="U48" i="72"/>
  <c r="X66" i="85"/>
  <c r="X65" i="85"/>
  <c r="U53" i="67"/>
  <c r="W52" i="67"/>
  <c r="X52" i="67" s="1"/>
  <c r="W43" i="71"/>
  <c r="X43" i="71" s="1"/>
  <c r="U44" i="71"/>
  <c r="U112" i="71"/>
  <c r="W111" i="71"/>
  <c r="X111" i="71" s="1"/>
  <c r="U61" i="80"/>
  <c r="W60" i="80"/>
  <c r="X60" i="80" s="1"/>
  <c r="W53" i="84"/>
  <c r="X53" i="84" s="1"/>
  <c r="U54" i="84"/>
  <c r="U59" i="82"/>
  <c r="W58" i="82"/>
  <c r="X58" i="82" s="1"/>
  <c r="X64" i="78"/>
  <c r="X63" i="78"/>
  <c r="U65" i="78"/>
  <c r="W65" i="78" s="1"/>
  <c r="U66" i="78"/>
  <c r="W66" i="78" s="1"/>
  <c r="W62" i="78"/>
  <c r="X62" i="78" s="1"/>
  <c r="U55" i="63"/>
  <c r="U67" i="63"/>
  <c r="Q68" i="63" s="1"/>
  <c r="W54" i="63"/>
  <c r="X54" i="63" s="1"/>
  <c r="U110" i="63"/>
  <c r="W109" i="63"/>
  <c r="X109" i="63" s="1"/>
  <c r="W48" i="72" l="1"/>
  <c r="X48" i="72" s="1"/>
  <c r="U49" i="72"/>
  <c r="W53" i="67"/>
  <c r="X53" i="67" s="1"/>
  <c r="U54" i="67"/>
  <c r="W112" i="71"/>
  <c r="X112" i="71" s="1"/>
  <c r="U113" i="71"/>
  <c r="U45" i="71"/>
  <c r="W44" i="71"/>
  <c r="X44" i="71" s="1"/>
  <c r="W61" i="80"/>
  <c r="X61" i="80" s="1"/>
  <c r="U63" i="80"/>
  <c r="W63" i="80" s="1"/>
  <c r="U62" i="80"/>
  <c r="U64" i="80"/>
  <c r="W64" i="80" s="1"/>
  <c r="U55" i="84"/>
  <c r="W54" i="84"/>
  <c r="X54" i="84" s="1"/>
  <c r="U67" i="84"/>
  <c r="Q68" i="84" s="1"/>
  <c r="W59" i="82"/>
  <c r="X59" i="82" s="1"/>
  <c r="U60" i="82"/>
  <c r="X65" i="78"/>
  <c r="X66" i="78"/>
  <c r="U56" i="63"/>
  <c r="W55" i="63"/>
  <c r="X55" i="63" s="1"/>
  <c r="U111" i="63"/>
  <c r="W110" i="63"/>
  <c r="X110" i="63" s="1"/>
  <c r="W49" i="72" l="1"/>
  <c r="X49" i="72" s="1"/>
  <c r="U50" i="72"/>
  <c r="W54" i="67"/>
  <c r="X54" i="67" s="1"/>
  <c r="U55" i="67"/>
  <c r="U67" i="67"/>
  <c r="Q68" i="67" s="1"/>
  <c r="U46" i="71"/>
  <c r="W45" i="71"/>
  <c r="X45" i="71" s="1"/>
  <c r="U114" i="71"/>
  <c r="W113" i="71"/>
  <c r="X113" i="71" s="1"/>
  <c r="W62" i="80"/>
  <c r="X62" i="80" s="1"/>
  <c r="U66" i="80"/>
  <c r="W66" i="80" s="1"/>
  <c r="U65" i="80"/>
  <c r="W65" i="80" s="1"/>
  <c r="X64" i="80"/>
  <c r="X63" i="80"/>
  <c r="U56" i="84"/>
  <c r="W55" i="84"/>
  <c r="X55" i="84" s="1"/>
  <c r="W60" i="82"/>
  <c r="X60" i="82" s="1"/>
  <c r="U61" i="82"/>
  <c r="W56" i="63"/>
  <c r="X56" i="63" s="1"/>
  <c r="U57" i="63"/>
  <c r="U112" i="63"/>
  <c r="W111" i="63"/>
  <c r="X111" i="63" s="1"/>
  <c r="U51" i="72" l="1"/>
  <c r="W50" i="72"/>
  <c r="X50" i="72" s="1"/>
  <c r="U56" i="67"/>
  <c r="W55" i="67"/>
  <c r="X55" i="67" s="1"/>
  <c r="U115" i="71"/>
  <c r="W114" i="71"/>
  <c r="X114" i="71" s="1"/>
  <c r="U47" i="71"/>
  <c r="W46" i="71"/>
  <c r="X46" i="71" s="1"/>
  <c r="X65" i="80"/>
  <c r="X66" i="80"/>
  <c r="W56" i="84"/>
  <c r="X56" i="84" s="1"/>
  <c r="U57" i="84"/>
  <c r="W61" i="82"/>
  <c r="X61" i="82" s="1"/>
  <c r="U62" i="82"/>
  <c r="U63" i="82"/>
  <c r="W63" i="82" s="1"/>
  <c r="U64" i="82"/>
  <c r="W64" i="82" s="1"/>
  <c r="U113" i="63"/>
  <c r="W112" i="63"/>
  <c r="X112" i="63" s="1"/>
  <c r="W57" i="63"/>
  <c r="X57" i="63" s="1"/>
  <c r="U58" i="63"/>
  <c r="U52" i="72" l="1"/>
  <c r="W51" i="72"/>
  <c r="X51" i="72" s="1"/>
  <c r="W56" i="67"/>
  <c r="X56" i="67" s="1"/>
  <c r="U57" i="67"/>
  <c r="W47" i="71"/>
  <c r="X47" i="71" s="1"/>
  <c r="U48" i="71"/>
  <c r="W115" i="71"/>
  <c r="X115" i="71" s="1"/>
  <c r="U116" i="71"/>
  <c r="U58" i="84"/>
  <c r="W57" i="84"/>
  <c r="X57" i="84" s="1"/>
  <c r="W62" i="82"/>
  <c r="X62" i="82" s="1"/>
  <c r="U66" i="82"/>
  <c r="W66" i="82" s="1"/>
  <c r="U65" i="82"/>
  <c r="W65" i="82" s="1"/>
  <c r="X64" i="82"/>
  <c r="X63" i="82"/>
  <c r="U59" i="63"/>
  <c r="W58" i="63"/>
  <c r="X58" i="63" s="1"/>
  <c r="U114" i="63"/>
  <c r="W113" i="63"/>
  <c r="X113" i="63" s="1"/>
  <c r="U53" i="72" l="1"/>
  <c r="W52" i="72"/>
  <c r="X52" i="72" s="1"/>
  <c r="U58" i="67"/>
  <c r="W57" i="67"/>
  <c r="X57" i="67" s="1"/>
  <c r="U117" i="71"/>
  <c r="W116" i="71"/>
  <c r="X116" i="71" s="1"/>
  <c r="U49" i="71"/>
  <c r="W48" i="71"/>
  <c r="X48" i="71" s="1"/>
  <c r="W58" i="84"/>
  <c r="X58" i="84" s="1"/>
  <c r="U59" i="84"/>
  <c r="X66" i="82"/>
  <c r="X65" i="82"/>
  <c r="W59" i="63"/>
  <c r="X59" i="63" s="1"/>
  <c r="U60" i="63"/>
  <c r="U115" i="63"/>
  <c r="W114" i="63"/>
  <c r="X114" i="63" s="1"/>
  <c r="W53" i="72" l="1"/>
  <c r="X53" i="72" s="1"/>
  <c r="U54" i="72"/>
  <c r="W58" i="67"/>
  <c r="X58" i="67" s="1"/>
  <c r="U59" i="67"/>
  <c r="U50" i="71"/>
  <c r="W49" i="71"/>
  <c r="X49" i="71" s="1"/>
  <c r="W117" i="71"/>
  <c r="X117" i="71" s="1"/>
  <c r="U118" i="71"/>
  <c r="W59" i="84"/>
  <c r="X59" i="84" s="1"/>
  <c r="U60" i="84"/>
  <c r="U116" i="63"/>
  <c r="W115" i="63"/>
  <c r="X115" i="63" s="1"/>
  <c r="U61" i="63"/>
  <c r="W60" i="63"/>
  <c r="X60" i="63" s="1"/>
  <c r="U55" i="72" l="1"/>
  <c r="U67" i="72"/>
  <c r="Q68" i="72" s="1"/>
  <c r="W54" i="72"/>
  <c r="X54" i="72" s="1"/>
  <c r="U60" i="67"/>
  <c r="W59" i="67"/>
  <c r="X59" i="67" s="1"/>
  <c r="U119" i="71"/>
  <c r="W118" i="71"/>
  <c r="X118" i="71" s="1"/>
  <c r="U51" i="71"/>
  <c r="W50" i="71"/>
  <c r="X50" i="71" s="1"/>
  <c r="W60" i="84"/>
  <c r="X60" i="84" s="1"/>
  <c r="U61" i="84"/>
  <c r="U117" i="63"/>
  <c r="W116" i="63"/>
  <c r="X116" i="63" s="1"/>
  <c r="U62" i="63"/>
  <c r="U63" i="63"/>
  <c r="W63" i="63" s="1"/>
  <c r="W61" i="63"/>
  <c r="X61" i="63" s="1"/>
  <c r="U64" i="63"/>
  <c r="W64" i="63" s="1"/>
  <c r="W55" i="72" l="1"/>
  <c r="X55" i="72" s="1"/>
  <c r="U56" i="72"/>
  <c r="U61" i="67"/>
  <c r="W60" i="67"/>
  <c r="X60" i="67" s="1"/>
  <c r="U52" i="71"/>
  <c r="W51" i="71"/>
  <c r="X51" i="71" s="1"/>
  <c r="U120" i="71"/>
  <c r="W119" i="71"/>
  <c r="X119" i="71" s="1"/>
  <c r="W61" i="84"/>
  <c r="X61" i="84" s="1"/>
  <c r="U63" i="84"/>
  <c r="W63" i="84" s="1"/>
  <c r="U62" i="84"/>
  <c r="U64" i="84"/>
  <c r="W64" i="84" s="1"/>
  <c r="W62" i="63"/>
  <c r="X62" i="63" s="1"/>
  <c r="U66" i="63"/>
  <c r="W66" i="63" s="1"/>
  <c r="U65" i="63"/>
  <c r="W65" i="63" s="1"/>
  <c r="X64" i="63"/>
  <c r="X63" i="63"/>
  <c r="U118" i="63"/>
  <c r="W117" i="63"/>
  <c r="X117" i="63" s="1"/>
  <c r="U57" i="72" l="1"/>
  <c r="W56" i="72"/>
  <c r="X56" i="72" s="1"/>
  <c r="U63" i="67"/>
  <c r="W63" i="67" s="1"/>
  <c r="U62" i="67"/>
  <c r="W61" i="67"/>
  <c r="X61" i="67" s="1"/>
  <c r="U64" i="67"/>
  <c r="W64" i="67" s="1"/>
  <c r="U121" i="71"/>
  <c r="W120" i="71"/>
  <c r="X120" i="71" s="1"/>
  <c r="W52" i="71"/>
  <c r="X52" i="71" s="1"/>
  <c r="U53" i="71"/>
  <c r="U65" i="84"/>
  <c r="W65" i="84" s="1"/>
  <c r="U66" i="84"/>
  <c r="W66" i="84" s="1"/>
  <c r="W62" i="84"/>
  <c r="X62" i="84" s="1"/>
  <c r="X63" i="84"/>
  <c r="X64" i="84"/>
  <c r="U119" i="63"/>
  <c r="W118" i="63"/>
  <c r="X118" i="63" s="1"/>
  <c r="X65" i="63"/>
  <c r="X66" i="63"/>
  <c r="U58" i="72" l="1"/>
  <c r="W57" i="72"/>
  <c r="X57" i="72" s="1"/>
  <c r="X63" i="67"/>
  <c r="X64" i="67"/>
  <c r="U65" i="67"/>
  <c r="W65" i="67" s="1"/>
  <c r="U66" i="67"/>
  <c r="W66" i="67" s="1"/>
  <c r="W62" i="67"/>
  <c r="X62" i="67" s="1"/>
  <c r="U54" i="71"/>
  <c r="W53" i="71"/>
  <c r="X53" i="71" s="1"/>
  <c r="W121" i="71"/>
  <c r="X121" i="71" s="1"/>
  <c r="U122" i="71"/>
  <c r="X65" i="84"/>
  <c r="X66" i="84"/>
  <c r="U120" i="63"/>
  <c r="W119" i="63"/>
  <c r="X119" i="63" s="1"/>
  <c r="W58" i="72" l="1"/>
  <c r="X58" i="72" s="1"/>
  <c r="U59" i="72"/>
  <c r="X65" i="67"/>
  <c r="X66" i="67"/>
  <c r="W122" i="71"/>
  <c r="X122" i="71" s="1"/>
  <c r="U123" i="71"/>
  <c r="U67" i="71"/>
  <c r="Q68" i="71" s="1"/>
  <c r="U55" i="71"/>
  <c r="W54" i="71"/>
  <c r="X54" i="71" s="1"/>
  <c r="U121" i="63"/>
  <c r="W120" i="63"/>
  <c r="X120" i="63" s="1"/>
  <c r="U60" i="72" l="1"/>
  <c r="W59" i="72"/>
  <c r="X59" i="72" s="1"/>
  <c r="W55" i="71"/>
  <c r="X55" i="71" s="1"/>
  <c r="U56" i="71"/>
  <c r="U122" i="63"/>
  <c r="W121" i="63"/>
  <c r="X121" i="63" s="1"/>
  <c r="U61" i="72" l="1"/>
  <c r="W60" i="72"/>
  <c r="X60" i="72" s="1"/>
  <c r="U57" i="71"/>
  <c r="W56" i="71"/>
  <c r="X56" i="71" s="1"/>
  <c r="W122" i="63"/>
  <c r="X122" i="63" s="1"/>
  <c r="U123" i="63"/>
  <c r="U63" i="72" l="1"/>
  <c r="W63" i="72" s="1"/>
  <c r="U64" i="72"/>
  <c r="W64" i="72" s="1"/>
  <c r="W61" i="72"/>
  <c r="X61" i="72" s="1"/>
  <c r="U62" i="72"/>
  <c r="W57" i="71"/>
  <c r="X57" i="71" s="1"/>
  <c r="U58" i="71"/>
  <c r="X63" i="72" l="1"/>
  <c r="X64" i="72"/>
  <c r="U65" i="72"/>
  <c r="W65" i="72" s="1"/>
  <c r="W62" i="72"/>
  <c r="X62" i="72" s="1"/>
  <c r="U66" i="72"/>
  <c r="W66" i="72" s="1"/>
  <c r="U59" i="71"/>
  <c r="W58" i="71"/>
  <c r="X58" i="71" s="1"/>
  <c r="X65" i="72" l="1"/>
  <c r="X66" i="72"/>
  <c r="W59" i="71"/>
  <c r="X59" i="71" s="1"/>
  <c r="U60" i="71"/>
  <c r="U61" i="71" l="1"/>
  <c r="W60" i="71"/>
  <c r="X60" i="71" s="1"/>
  <c r="W61" i="71" l="1"/>
  <c r="X61" i="71" s="1"/>
  <c r="U62" i="71"/>
  <c r="U63" i="71"/>
  <c r="W63" i="71" s="1"/>
  <c r="U64" i="71"/>
  <c r="W64" i="71" s="1"/>
  <c r="U65" i="71" l="1"/>
  <c r="W65" i="71" s="1"/>
  <c r="U66" i="71"/>
  <c r="W66" i="71" s="1"/>
  <c r="W62" i="71"/>
  <c r="X62" i="71" s="1"/>
  <c r="X63" i="71"/>
  <c r="X64" i="71"/>
  <c r="X65" i="71" l="1"/>
  <c r="X66" i="71"/>
  <c r="O55" i="23" l="1"/>
  <c r="P55" i="23" l="1"/>
  <c r="Q55" i="23" s="1"/>
  <c r="S55" i="23" s="1"/>
  <c r="W55" i="23" l="1"/>
  <c r="Z55" i="23" s="1"/>
  <c r="Y55" i="23"/>
  <c r="R67" i="76" l="1"/>
  <c r="K67" i="76" l="1"/>
  <c r="D29" i="76" s="1"/>
  <c r="F29" i="76" l="1"/>
  <c r="F34" i="76" s="1"/>
  <c r="F36" i="76" s="1"/>
  <c r="F42" i="76" s="1"/>
  <c r="D38" i="23" s="1"/>
  <c r="H65" i="23" s="1"/>
  <c r="H77" i="23" s="1"/>
  <c r="G29" i="76" l="1"/>
  <c r="G34" i="76" s="1"/>
  <c r="G36" i="76" s="1"/>
  <c r="G42" i="76" s="1"/>
  <c r="F38" i="23" s="1"/>
  <c r="F35" i="76"/>
  <c r="O38" i="23" l="1"/>
  <c r="G43" i="76"/>
  <c r="H38" i="23" s="1"/>
  <c r="Q7" i="76"/>
  <c r="Q53" i="76"/>
  <c r="Q37" i="76"/>
  <c r="Q17" i="76"/>
  <c r="Q11" i="76"/>
  <c r="Q43" i="76"/>
  <c r="Q35" i="76"/>
  <c r="Q34" i="76"/>
  <c r="Q30" i="76"/>
  <c r="Q29" i="76"/>
  <c r="Q27" i="76"/>
  <c r="Q22" i="76"/>
  <c r="Q20" i="76"/>
  <c r="Q46" i="76"/>
  <c r="Q57" i="76"/>
  <c r="Q52" i="76"/>
  <c r="Q48" i="76"/>
  <c r="Q40" i="76"/>
  <c r="Q63" i="76"/>
  <c r="Q51" i="76"/>
  <c r="Q31" i="76"/>
  <c r="Q28" i="76"/>
  <c r="Q26" i="76"/>
  <c r="Q18" i="76"/>
  <c r="Q16" i="76"/>
  <c r="Q14" i="76"/>
  <c r="Q54" i="76"/>
  <c r="Q50" i="76"/>
  <c r="Q42" i="76"/>
  <c r="Q122" i="76"/>
  <c r="G35" i="76"/>
  <c r="H78" i="23" l="1"/>
  <c r="I65" i="23"/>
  <c r="P38" i="23"/>
  <c r="Q38" i="23" s="1"/>
  <c r="S38" i="23" s="1"/>
  <c r="O37" i="23"/>
  <c r="Q33" i="76"/>
  <c r="Q39" i="76"/>
  <c r="Q9" i="76"/>
  <c r="Q13" i="76"/>
  <c r="Q21" i="76"/>
  <c r="Q45" i="76"/>
  <c r="Q66" i="76"/>
  <c r="Q56" i="76"/>
  <c r="Q10" i="76"/>
  <c r="Q15" i="76"/>
  <c r="Q23" i="76"/>
  <c r="Q49" i="76"/>
  <c r="Q55" i="76"/>
  <c r="Q60" i="76"/>
  <c r="Q59" i="76"/>
  <c r="Q61" i="76"/>
  <c r="U7" i="76"/>
  <c r="U8" i="76" s="1"/>
  <c r="U9" i="76" s="1"/>
  <c r="U10" i="76" s="1"/>
  <c r="U11" i="76" s="1"/>
  <c r="U12" i="76" s="1"/>
  <c r="U13" i="76" s="1"/>
  <c r="U14" i="76" s="1"/>
  <c r="U15" i="76" s="1"/>
  <c r="U16" i="76" s="1"/>
  <c r="U17" i="76" s="1"/>
  <c r="U18" i="76" s="1"/>
  <c r="U19" i="76" s="1"/>
  <c r="U20" i="76" s="1"/>
  <c r="U21" i="76" s="1"/>
  <c r="U22" i="76" s="1"/>
  <c r="U23" i="76" s="1"/>
  <c r="U24" i="76" s="1"/>
  <c r="U25" i="76" s="1"/>
  <c r="U26" i="76" s="1"/>
  <c r="U27" i="76" s="1"/>
  <c r="U28" i="76" s="1"/>
  <c r="U29" i="76" s="1"/>
  <c r="U30" i="76" s="1"/>
  <c r="U31" i="76" s="1"/>
  <c r="U32" i="76" s="1"/>
  <c r="U33" i="76" s="1"/>
  <c r="U34" i="76" s="1"/>
  <c r="U35" i="76" s="1"/>
  <c r="U36" i="76" s="1"/>
  <c r="U37" i="76" s="1"/>
  <c r="U38" i="76" s="1"/>
  <c r="U39" i="76" s="1"/>
  <c r="U40" i="76" s="1"/>
  <c r="U41" i="76" s="1"/>
  <c r="U42" i="76" s="1"/>
  <c r="U43" i="76" s="1"/>
  <c r="U44" i="76" s="1"/>
  <c r="U45" i="76" s="1"/>
  <c r="U46" i="76" s="1"/>
  <c r="U47" i="76" s="1"/>
  <c r="U48" i="76" s="1"/>
  <c r="U49" i="76" s="1"/>
  <c r="U50" i="76" s="1"/>
  <c r="U51" i="76" s="1"/>
  <c r="U52" i="76" s="1"/>
  <c r="U53" i="76" s="1"/>
  <c r="U54" i="76" s="1"/>
  <c r="U55" i="76" s="1"/>
  <c r="U56" i="76" s="1"/>
  <c r="U57" i="76" s="1"/>
  <c r="U58" i="76" s="1"/>
  <c r="U59" i="76" s="1"/>
  <c r="U60" i="76" s="1"/>
  <c r="U61" i="76" s="1"/>
  <c r="Q58" i="76"/>
  <c r="Q24" i="76"/>
  <c r="Q47" i="76"/>
  <c r="Q44" i="76"/>
  <c r="Q38" i="76"/>
  <c r="Q25" i="76"/>
  <c r="Q32" i="76"/>
  <c r="Q36" i="76"/>
  <c r="Q8" i="76"/>
  <c r="Q12" i="76"/>
  <c r="Q19" i="76"/>
  <c r="Q41" i="76"/>
  <c r="Q62" i="76"/>
  <c r="Q64" i="76"/>
  <c r="Q65" i="76"/>
  <c r="Q79" i="76"/>
  <c r="Q94" i="76"/>
  <c r="Q102" i="76"/>
  <c r="Q106" i="76"/>
  <c r="Q110" i="76"/>
  <c r="Q114" i="76"/>
  <c r="Q125" i="76"/>
  <c r="Q83" i="76"/>
  <c r="Q87" i="76"/>
  <c r="Q99" i="76"/>
  <c r="Q111" i="76"/>
  <c r="Q126" i="76"/>
  <c r="Q91" i="76"/>
  <c r="Q95" i="76"/>
  <c r="Q103" i="76"/>
  <c r="Q107" i="76"/>
  <c r="Q115" i="76"/>
  <c r="Q119" i="76"/>
  <c r="Q123" i="76"/>
  <c r="Q84" i="76"/>
  <c r="Q100" i="76"/>
  <c r="Q112" i="76"/>
  <c r="Q116" i="76"/>
  <c r="Q120" i="76"/>
  <c r="Q124" i="76"/>
  <c r="Q80" i="76"/>
  <c r="Q88" i="76"/>
  <c r="Q92" i="76"/>
  <c r="Q96" i="76"/>
  <c r="Q104" i="76"/>
  <c r="Q108" i="76"/>
  <c r="Q97" i="76"/>
  <c r="Q109" i="76"/>
  <c r="Q113" i="76"/>
  <c r="Q121" i="76"/>
  <c r="Q81" i="76"/>
  <c r="Q85" i="76"/>
  <c r="Q89" i="76"/>
  <c r="Q93" i="76"/>
  <c r="Q101" i="76"/>
  <c r="Q105" i="76"/>
  <c r="Q117" i="76"/>
  <c r="Q82" i="76"/>
  <c r="Q86" i="76"/>
  <c r="Q90" i="76"/>
  <c r="Q98" i="76"/>
  <c r="Q118" i="76"/>
  <c r="I77" i="23" l="1"/>
  <c r="I78" i="23" s="1"/>
  <c r="Y38" i="23"/>
  <c r="C21" i="98" s="1"/>
  <c r="W38" i="23"/>
  <c r="Z38" i="23" s="1"/>
  <c r="P37" i="23"/>
  <c r="Q37" i="23" s="1"/>
  <c r="S37" i="23" s="1"/>
  <c r="Y37" i="23" s="1"/>
  <c r="W19" i="76"/>
  <c r="W12" i="76"/>
  <c r="W7" i="76"/>
  <c r="X7" i="76" s="1"/>
  <c r="W25" i="76"/>
  <c r="W8" i="76"/>
  <c r="W38" i="76"/>
  <c r="W58" i="76"/>
  <c r="W24" i="76"/>
  <c r="W31" i="76"/>
  <c r="W11" i="76"/>
  <c r="W18" i="76"/>
  <c r="W49" i="76"/>
  <c r="W43" i="76"/>
  <c r="W52" i="76"/>
  <c r="W56" i="76"/>
  <c r="W13" i="76"/>
  <c r="W27" i="76"/>
  <c r="W26" i="76"/>
  <c r="U64" i="76"/>
  <c r="W64" i="76" s="1"/>
  <c r="U62" i="76"/>
  <c r="U63" i="76"/>
  <c r="W63" i="76" s="1"/>
  <c r="W61" i="76"/>
  <c r="W35" i="76"/>
  <c r="W16" i="76"/>
  <c r="W23" i="76"/>
  <c r="W34" i="76"/>
  <c r="W9" i="76"/>
  <c r="W46" i="76"/>
  <c r="W14" i="76"/>
  <c r="W41" i="76"/>
  <c r="W36" i="76"/>
  <c r="W44" i="76"/>
  <c r="W37" i="76"/>
  <c r="W30" i="76"/>
  <c r="W59" i="76"/>
  <c r="W22" i="76"/>
  <c r="W60" i="76"/>
  <c r="W15" i="76"/>
  <c r="W29" i="76"/>
  <c r="W28" i="76"/>
  <c r="W45" i="76"/>
  <c r="W39" i="76"/>
  <c r="W48" i="76"/>
  <c r="W42" i="76"/>
  <c r="W32" i="76"/>
  <c r="W47" i="76"/>
  <c r="W17" i="76"/>
  <c r="W57" i="76"/>
  <c r="W53" i="76"/>
  <c r="W40" i="76"/>
  <c r="W55" i="76"/>
  <c r="W10" i="76"/>
  <c r="W20" i="76"/>
  <c r="W50" i="76"/>
  <c r="W21" i="76"/>
  <c r="W33" i="76"/>
  <c r="W51" i="76"/>
  <c r="W54" i="76"/>
  <c r="Q67" i="76"/>
  <c r="U79" i="76"/>
  <c r="C33" i="102" l="1"/>
  <c r="C78" i="102" s="1"/>
  <c r="C9" i="102"/>
  <c r="C73" i="102" s="1"/>
  <c r="C68" i="102"/>
  <c r="C45" i="98"/>
  <c r="H45" i="98" s="1"/>
  <c r="H49" i="98" s="1"/>
  <c r="N50" i="98" s="1"/>
  <c r="S50" i="98" s="1"/>
  <c r="C33" i="98"/>
  <c r="C9" i="98"/>
  <c r="W37" i="23"/>
  <c r="Z37" i="23" s="1"/>
  <c r="X8" i="76"/>
  <c r="X9" i="76" s="1"/>
  <c r="X10" i="76" s="1"/>
  <c r="X11" i="76" s="1"/>
  <c r="X12" i="76" s="1"/>
  <c r="X13" i="76" s="1"/>
  <c r="X14" i="76" s="1"/>
  <c r="X15" i="76" s="1"/>
  <c r="X16" i="76" s="1"/>
  <c r="X17" i="76" s="1"/>
  <c r="X18" i="76" s="1"/>
  <c r="X19" i="76" s="1"/>
  <c r="X20" i="76" s="1"/>
  <c r="X21" i="76" s="1"/>
  <c r="X22" i="76" s="1"/>
  <c r="X23" i="76" s="1"/>
  <c r="X24" i="76" s="1"/>
  <c r="X25" i="76" s="1"/>
  <c r="X26" i="76" s="1"/>
  <c r="X27" i="76" s="1"/>
  <c r="X28" i="76" s="1"/>
  <c r="X29" i="76" s="1"/>
  <c r="X30" i="76" s="1"/>
  <c r="X31" i="76" s="1"/>
  <c r="X32" i="76" s="1"/>
  <c r="X33" i="76" s="1"/>
  <c r="X34" i="76" s="1"/>
  <c r="X35" i="76" s="1"/>
  <c r="X36" i="76" s="1"/>
  <c r="X37" i="76" s="1"/>
  <c r="X38" i="76" s="1"/>
  <c r="X39" i="76" s="1"/>
  <c r="X40" i="76" s="1"/>
  <c r="X41" i="76" s="1"/>
  <c r="X42" i="76" s="1"/>
  <c r="X43" i="76" s="1"/>
  <c r="X44" i="76" s="1"/>
  <c r="X45" i="76" s="1"/>
  <c r="X46" i="76" s="1"/>
  <c r="X47" i="76" s="1"/>
  <c r="X48" i="76" s="1"/>
  <c r="X49" i="76" s="1"/>
  <c r="X50" i="76" s="1"/>
  <c r="X51" i="76" s="1"/>
  <c r="X52" i="76" s="1"/>
  <c r="X53" i="76" s="1"/>
  <c r="X54" i="76" s="1"/>
  <c r="X55" i="76" s="1"/>
  <c r="X56" i="76" s="1"/>
  <c r="X57" i="76" s="1"/>
  <c r="X58" i="76" s="1"/>
  <c r="X59" i="76" s="1"/>
  <c r="X60" i="76" s="1"/>
  <c r="X61" i="76" s="1"/>
  <c r="U65" i="76"/>
  <c r="W65" i="76" s="1"/>
  <c r="U66" i="76"/>
  <c r="W66" i="76" s="1"/>
  <c r="W62" i="76"/>
  <c r="U80" i="76"/>
  <c r="W79" i="76"/>
  <c r="X79" i="76" s="1"/>
  <c r="F45" i="98" l="1"/>
  <c r="I45" i="98" s="1"/>
  <c r="I49" i="98" s="1"/>
  <c r="O50" i="98" s="1"/>
  <c r="X50" i="98" s="1"/>
  <c r="X55" i="98" s="1"/>
  <c r="Z55" i="98" s="1"/>
  <c r="H45" i="102"/>
  <c r="H49" i="102" s="1"/>
  <c r="N50" i="102" s="1"/>
  <c r="S50" i="102" s="1"/>
  <c r="F45" i="102"/>
  <c r="I45" i="102" s="1"/>
  <c r="I49" i="102" s="1"/>
  <c r="O50" i="102" s="1"/>
  <c r="X50" i="102" s="1"/>
  <c r="X61" i="102" s="1"/>
  <c r="F21" i="102"/>
  <c r="I21" i="102" s="1"/>
  <c r="I26" i="102" s="1"/>
  <c r="O27" i="102" s="1"/>
  <c r="X27" i="102" s="1"/>
  <c r="X30" i="102" s="1"/>
  <c r="H21" i="102"/>
  <c r="H26" i="102" s="1"/>
  <c r="N27" i="102" s="1"/>
  <c r="S27" i="102" s="1"/>
  <c r="H9" i="102"/>
  <c r="H14" i="102" s="1"/>
  <c r="N15" i="102" s="1"/>
  <c r="S15" i="102" s="1"/>
  <c r="F9" i="102"/>
  <c r="I9" i="102" s="1"/>
  <c r="I14" i="102" s="1"/>
  <c r="O15" i="102" s="1"/>
  <c r="X15" i="102" s="1"/>
  <c r="X18" i="102" s="1"/>
  <c r="H33" i="102"/>
  <c r="F33" i="102"/>
  <c r="I33" i="102" s="1"/>
  <c r="H33" i="98"/>
  <c r="F33" i="98"/>
  <c r="I33" i="98" s="1"/>
  <c r="H9" i="98"/>
  <c r="H14" i="98" s="1"/>
  <c r="N15" i="98" s="1"/>
  <c r="S15" i="98" s="1"/>
  <c r="F9" i="98"/>
  <c r="I9" i="98" s="1"/>
  <c r="I14" i="98" s="1"/>
  <c r="O15" i="98" s="1"/>
  <c r="X15" i="98" s="1"/>
  <c r="X18" i="98" s="1"/>
  <c r="H21" i="98"/>
  <c r="H26" i="98" s="1"/>
  <c r="N27" i="98" s="1"/>
  <c r="F21" i="98"/>
  <c r="I21" i="98" s="1"/>
  <c r="I26" i="98" s="1"/>
  <c r="O27" i="98" s="1"/>
  <c r="X27" i="98" s="1"/>
  <c r="X30" i="98" s="1"/>
  <c r="X62" i="76"/>
  <c r="X63" i="76"/>
  <c r="X64" i="76"/>
  <c r="U81" i="76"/>
  <c r="W80" i="76"/>
  <c r="X80" i="76" s="1"/>
  <c r="V50" i="98" l="1"/>
  <c r="P50" i="98"/>
  <c r="H38" i="102"/>
  <c r="N39" i="102" s="1"/>
  <c r="S39" i="102" s="1"/>
  <c r="I38" i="102"/>
  <c r="O39" i="102" s="1"/>
  <c r="AC50" i="98"/>
  <c r="AE50" i="98" s="1"/>
  <c r="I38" i="98"/>
  <c r="O39" i="98" s="1"/>
  <c r="H38" i="98"/>
  <c r="N39" i="98" s="1"/>
  <c r="S39" i="98" s="1"/>
  <c r="Z30" i="102"/>
  <c r="AC27" i="102"/>
  <c r="AE27" i="102" s="1"/>
  <c r="Z18" i="102"/>
  <c r="AC15" i="102"/>
  <c r="AE15" i="102" s="1"/>
  <c r="Z61" i="102"/>
  <c r="AC50" i="102"/>
  <c r="AE50" i="102" s="1"/>
  <c r="Z30" i="98"/>
  <c r="AC27" i="98"/>
  <c r="AE27" i="98" s="1"/>
  <c r="Z18" i="98"/>
  <c r="AC15" i="98"/>
  <c r="V15" i="98"/>
  <c r="V27" i="102"/>
  <c r="X86" i="102" s="1"/>
  <c r="P27" i="102"/>
  <c r="V50" i="102"/>
  <c r="P50" i="102"/>
  <c r="H68" i="102"/>
  <c r="H70" i="102" s="1"/>
  <c r="N70" i="102" s="1"/>
  <c r="S70" i="102" s="1"/>
  <c r="F68" i="102"/>
  <c r="I68" i="102" s="1"/>
  <c r="I70" i="102" s="1"/>
  <c r="O70" i="102" s="1"/>
  <c r="P15" i="102"/>
  <c r="V15" i="102"/>
  <c r="D10" i="99"/>
  <c r="Z50" i="98"/>
  <c r="F10" i="99" s="1"/>
  <c r="Y50" i="98"/>
  <c r="Y55" i="98" s="1"/>
  <c r="H78" i="102"/>
  <c r="H80" i="102" s="1"/>
  <c r="N80" i="102" s="1"/>
  <c r="S80" i="102" s="1"/>
  <c r="F78" i="102"/>
  <c r="I78" i="102" s="1"/>
  <c r="I80" i="102" s="1"/>
  <c r="O80" i="102" s="1"/>
  <c r="V27" i="98"/>
  <c r="H73" i="102"/>
  <c r="H75" i="102" s="1"/>
  <c r="N75" i="102" s="1"/>
  <c r="S75" i="102" s="1"/>
  <c r="F73" i="102"/>
  <c r="I73" i="102" s="1"/>
  <c r="I75" i="102" s="1"/>
  <c r="O75" i="102" s="1"/>
  <c r="D9" i="99"/>
  <c r="Z27" i="98"/>
  <c r="F9" i="99" s="1"/>
  <c r="Y27" i="98"/>
  <c r="Y30" i="98" s="1"/>
  <c r="S27" i="98"/>
  <c r="P27" i="98"/>
  <c r="P15" i="98"/>
  <c r="X66" i="76"/>
  <c r="X65" i="76"/>
  <c r="U82" i="76"/>
  <c r="W81" i="76"/>
  <c r="X81" i="76" s="1"/>
  <c r="X39" i="102" l="1"/>
  <c r="X42" i="102" s="1"/>
  <c r="V39" i="102"/>
  <c r="P39" i="102"/>
  <c r="X39" i="98"/>
  <c r="X42" i="98" s="1"/>
  <c r="P39" i="98"/>
  <c r="U39" i="98" s="1"/>
  <c r="V39" i="98"/>
  <c r="P70" i="102"/>
  <c r="Q70" i="102" s="1"/>
  <c r="P75" i="102"/>
  <c r="T75" i="102" s="1"/>
  <c r="V75" i="102" s="1"/>
  <c r="W75" i="102" s="1"/>
  <c r="P80" i="102"/>
  <c r="T80" i="102" s="1"/>
  <c r="V80" i="102" s="1"/>
  <c r="W80" i="102" s="1"/>
  <c r="AA30" i="98"/>
  <c r="AD27" i="98"/>
  <c r="AF27" i="98" s="1"/>
  <c r="AD50" i="98"/>
  <c r="AF50" i="98" s="1"/>
  <c r="AA55" i="98"/>
  <c r="F13" i="99"/>
  <c r="D13" i="99"/>
  <c r="H13" i="99" s="1"/>
  <c r="K13" i="99" s="1"/>
  <c r="D24" i="99"/>
  <c r="Z50" i="102"/>
  <c r="F24" i="99" s="1"/>
  <c r="Y50" i="102"/>
  <c r="Y61" i="102" s="1"/>
  <c r="D23" i="99"/>
  <c r="Z27" i="102"/>
  <c r="F23" i="99" s="1"/>
  <c r="Y27" i="102"/>
  <c r="Y30" i="102" s="1"/>
  <c r="E10" i="99"/>
  <c r="AA50" i="98"/>
  <c r="G10" i="99" s="1"/>
  <c r="Z15" i="98"/>
  <c r="F6" i="99" s="1"/>
  <c r="Y15" i="98"/>
  <c r="Y18" i="98" s="1"/>
  <c r="D6" i="99"/>
  <c r="D20" i="99"/>
  <c r="Y15" i="102"/>
  <c r="Y18" i="102" s="1"/>
  <c r="Z15" i="102"/>
  <c r="F20" i="99" s="1"/>
  <c r="D21" i="99"/>
  <c r="Z39" i="102"/>
  <c r="F21" i="99" s="1"/>
  <c r="Y39" i="102"/>
  <c r="Y42" i="102" s="1"/>
  <c r="M10" i="99"/>
  <c r="O10" i="99"/>
  <c r="E9" i="99"/>
  <c r="M9" i="99"/>
  <c r="O9" i="99"/>
  <c r="AA27" i="98"/>
  <c r="G9" i="99" s="1"/>
  <c r="X56" i="98"/>
  <c r="U83" i="76"/>
  <c r="W82" i="76"/>
  <c r="X82" i="76" s="1"/>
  <c r="Z39" i="98" l="1"/>
  <c r="F7" i="99" s="1"/>
  <c r="D7" i="99"/>
  <c r="Y39" i="98"/>
  <c r="Y42" i="98" s="1"/>
  <c r="AA42" i="98" s="1"/>
  <c r="AC39" i="102"/>
  <c r="AE39" i="102" s="1"/>
  <c r="O21" i="99" s="1"/>
  <c r="Z42" i="102"/>
  <c r="Q75" i="102"/>
  <c r="AC39" i="98"/>
  <c r="AE39" i="98" s="1"/>
  <c r="O7" i="99" s="1"/>
  <c r="Z42" i="98"/>
  <c r="T70" i="102"/>
  <c r="V70" i="102" s="1"/>
  <c r="W70" i="102" s="1"/>
  <c r="Q80" i="102"/>
  <c r="AA30" i="102"/>
  <c r="AD27" i="102"/>
  <c r="AF27" i="102" s="1"/>
  <c r="AA18" i="102"/>
  <c r="AD15" i="102"/>
  <c r="AF15" i="102" s="1"/>
  <c r="AA42" i="102"/>
  <c r="AD39" i="102"/>
  <c r="AF39" i="102" s="1"/>
  <c r="AA61" i="102"/>
  <c r="AD50" i="102"/>
  <c r="AF50" i="102" s="1"/>
  <c r="E13" i="99"/>
  <c r="I13" i="99" s="1"/>
  <c r="M13" i="99"/>
  <c r="AD15" i="98"/>
  <c r="AA18" i="98"/>
  <c r="F27" i="99"/>
  <c r="D27" i="99"/>
  <c r="H27" i="99" s="1"/>
  <c r="K27" i="99" s="1"/>
  <c r="F26" i="99"/>
  <c r="D26" i="99"/>
  <c r="H26" i="99" s="1"/>
  <c r="K26" i="99" s="1"/>
  <c r="D12" i="99"/>
  <c r="H12" i="99" s="1"/>
  <c r="K12" i="99" s="1"/>
  <c r="G13" i="99"/>
  <c r="O13" i="99"/>
  <c r="E24" i="99"/>
  <c r="AA50" i="102"/>
  <c r="G24" i="99" s="1"/>
  <c r="O23" i="99"/>
  <c r="M23" i="99"/>
  <c r="O24" i="99"/>
  <c r="M24" i="99"/>
  <c r="F12" i="99"/>
  <c r="E7" i="99"/>
  <c r="AA39" i="98"/>
  <c r="G7" i="99" s="1"/>
  <c r="E20" i="99"/>
  <c r="AA15" i="102"/>
  <c r="G20" i="99" s="1"/>
  <c r="M6" i="99"/>
  <c r="AE15" i="98"/>
  <c r="O6" i="99" s="1"/>
  <c r="E23" i="99"/>
  <c r="AA27" i="102"/>
  <c r="G23" i="99" s="1"/>
  <c r="E6" i="99"/>
  <c r="AA15" i="98"/>
  <c r="G6" i="99" s="1"/>
  <c r="M20" i="99"/>
  <c r="O20" i="99"/>
  <c r="AA39" i="102"/>
  <c r="G21" i="99" s="1"/>
  <c r="E21" i="99"/>
  <c r="N10" i="99"/>
  <c r="P10" i="99"/>
  <c r="P9" i="99"/>
  <c r="N9" i="99"/>
  <c r="U84" i="76"/>
  <c r="W83" i="76"/>
  <c r="X83" i="76" s="1"/>
  <c r="J13" i="99" l="1"/>
  <c r="X18" i="99"/>
  <c r="Y18" i="99"/>
  <c r="U18" i="99"/>
  <c r="W18" i="99"/>
  <c r="V18" i="99"/>
  <c r="M21" i="99"/>
  <c r="M26" i="99" s="1"/>
  <c r="AD39" i="98"/>
  <c r="AF39" i="98" s="1"/>
  <c r="P7" i="99" s="1"/>
  <c r="M7" i="99"/>
  <c r="M12" i="99" s="1"/>
  <c r="G26" i="99"/>
  <c r="G27" i="99"/>
  <c r="E12" i="99"/>
  <c r="I12" i="99" s="1"/>
  <c r="N13" i="99"/>
  <c r="M27" i="99"/>
  <c r="O27" i="99"/>
  <c r="E27" i="99"/>
  <c r="I27" i="99" s="1"/>
  <c r="E26" i="99"/>
  <c r="I26" i="99" s="1"/>
  <c r="O26" i="99"/>
  <c r="P13" i="99"/>
  <c r="N20" i="99"/>
  <c r="N23" i="99"/>
  <c r="O12" i="99"/>
  <c r="AF15" i="98"/>
  <c r="P6" i="99" s="1"/>
  <c r="N6" i="99"/>
  <c r="P24" i="99"/>
  <c r="N24" i="99"/>
  <c r="P21" i="99"/>
  <c r="N21" i="99"/>
  <c r="G12" i="99"/>
  <c r="U85" i="76"/>
  <c r="W84" i="76"/>
  <c r="X84" i="76" s="1"/>
  <c r="Z18" i="99" l="1"/>
  <c r="V30" i="99"/>
  <c r="W30" i="99"/>
  <c r="X30" i="99"/>
  <c r="Y30" i="99"/>
  <c r="U30" i="99"/>
  <c r="Z30" i="99" s="1"/>
  <c r="J12" i="99"/>
  <c r="V19" i="99"/>
  <c r="X19" i="99"/>
  <c r="W19" i="99"/>
  <c r="Y19" i="99"/>
  <c r="U19" i="99"/>
  <c r="J26" i="99"/>
  <c r="W21" i="99"/>
  <c r="X21" i="99"/>
  <c r="Y21" i="99"/>
  <c r="U21" i="99"/>
  <c r="V21" i="99"/>
  <c r="J27" i="99"/>
  <c r="U20" i="99"/>
  <c r="Y20" i="99"/>
  <c r="V20" i="99"/>
  <c r="W20" i="99"/>
  <c r="X20" i="99"/>
  <c r="N7" i="99"/>
  <c r="N12" i="99" s="1"/>
  <c r="N27" i="99"/>
  <c r="N26" i="99"/>
  <c r="P23" i="99"/>
  <c r="P27" i="99" s="1"/>
  <c r="P12" i="99"/>
  <c r="P20" i="99"/>
  <c r="P26" i="99" s="1"/>
  <c r="U86" i="76"/>
  <c r="W85" i="76"/>
  <c r="X85" i="76" s="1"/>
  <c r="Z21" i="99" l="1"/>
  <c r="X23" i="99"/>
  <c r="X25" i="99" s="1"/>
  <c r="U23" i="99"/>
  <c r="Z19" i="99"/>
  <c r="Z20" i="99"/>
  <c r="V33" i="99"/>
  <c r="W33" i="99"/>
  <c r="X33" i="99"/>
  <c r="Y33" i="99"/>
  <c r="U33" i="99"/>
  <c r="Y31" i="99"/>
  <c r="U31" i="99"/>
  <c r="V31" i="99"/>
  <c r="W31" i="99"/>
  <c r="X31" i="99"/>
  <c r="V32" i="99"/>
  <c r="W32" i="99"/>
  <c r="X32" i="99"/>
  <c r="Y32" i="99"/>
  <c r="U32" i="99"/>
  <c r="W23" i="99"/>
  <c r="W25" i="99" s="1"/>
  <c r="V23" i="99"/>
  <c r="V25" i="99" s="1"/>
  <c r="Y23" i="99"/>
  <c r="Y25" i="99" s="1"/>
  <c r="U87" i="76"/>
  <c r="W86" i="76"/>
  <c r="X86" i="76" s="1"/>
  <c r="Z33" i="99" l="1"/>
  <c r="Z31" i="99"/>
  <c r="Z32" i="99"/>
  <c r="U34" i="99"/>
  <c r="Y34" i="99"/>
  <c r="Y36" i="99" s="1"/>
  <c r="Y37" i="99" s="1"/>
  <c r="U25" i="99"/>
  <c r="U27" i="99" s="1"/>
  <c r="Z23" i="99"/>
  <c r="Z25" i="99" s="1"/>
  <c r="V34" i="99"/>
  <c r="V36" i="99" s="1"/>
  <c r="V37" i="99" s="1"/>
  <c r="X34" i="99"/>
  <c r="X36" i="99" s="1"/>
  <c r="X37" i="99" s="1"/>
  <c r="W34" i="99"/>
  <c r="W36" i="99" s="1"/>
  <c r="W37" i="99" s="1"/>
  <c r="U88" i="76"/>
  <c r="W87" i="76"/>
  <c r="X87" i="76" s="1"/>
  <c r="U36" i="99" l="1"/>
  <c r="U37" i="99" s="1"/>
  <c r="Z34" i="99"/>
  <c r="Z36" i="99" s="1"/>
  <c r="Z37" i="99" s="1"/>
  <c r="U89" i="76"/>
  <c r="W88" i="76"/>
  <c r="X88" i="76" s="1"/>
  <c r="U90" i="76" l="1"/>
  <c r="W89" i="76"/>
  <c r="X89" i="76" s="1"/>
  <c r="U91" i="76" l="1"/>
  <c r="W90" i="76"/>
  <c r="X90" i="76" s="1"/>
  <c r="U92" i="76" l="1"/>
  <c r="W91" i="76"/>
  <c r="X91" i="76" s="1"/>
  <c r="U93" i="76" l="1"/>
  <c r="W92" i="76"/>
  <c r="X92" i="76" s="1"/>
  <c r="U94" i="76" l="1"/>
  <c r="W93" i="76"/>
  <c r="X93" i="76" s="1"/>
  <c r="U95" i="76" l="1"/>
  <c r="W94" i="76"/>
  <c r="X94" i="76" s="1"/>
  <c r="U96" i="76" l="1"/>
  <c r="W95" i="76"/>
  <c r="X95" i="76" s="1"/>
  <c r="U97" i="76" l="1"/>
  <c r="W96" i="76"/>
  <c r="X96" i="76" s="1"/>
  <c r="U98" i="76" l="1"/>
  <c r="W97" i="76"/>
  <c r="X97" i="76" s="1"/>
  <c r="U99" i="76" l="1"/>
  <c r="W98" i="76"/>
  <c r="X98" i="76" s="1"/>
  <c r="U100" i="76" l="1"/>
  <c r="W99" i="76"/>
  <c r="X99" i="76" s="1"/>
  <c r="U101" i="76" l="1"/>
  <c r="W100" i="76"/>
  <c r="X100" i="76" s="1"/>
  <c r="U102" i="76" l="1"/>
  <c r="W101" i="76"/>
  <c r="X101" i="76" s="1"/>
  <c r="U103" i="76" l="1"/>
  <c r="W102" i="76"/>
  <c r="X102" i="76" s="1"/>
  <c r="U104" i="76" l="1"/>
  <c r="W103" i="76"/>
  <c r="X103" i="76" s="1"/>
  <c r="U105" i="76" l="1"/>
  <c r="W104" i="76"/>
  <c r="X104" i="76" s="1"/>
  <c r="U106" i="76" l="1"/>
  <c r="W105" i="76"/>
  <c r="X105" i="76" s="1"/>
  <c r="U107" i="76" l="1"/>
  <c r="W106" i="76"/>
  <c r="X106" i="76" s="1"/>
  <c r="U108" i="76" l="1"/>
  <c r="W107" i="76"/>
  <c r="X107" i="76" s="1"/>
  <c r="U109" i="76" l="1"/>
  <c r="W108" i="76"/>
  <c r="X108" i="76" s="1"/>
  <c r="U110" i="76" l="1"/>
  <c r="W109" i="76"/>
  <c r="X109" i="76" s="1"/>
  <c r="U111" i="76" l="1"/>
  <c r="W110" i="76"/>
  <c r="X110" i="76" s="1"/>
  <c r="U112" i="76" l="1"/>
  <c r="W111" i="76"/>
  <c r="X111" i="76" s="1"/>
  <c r="U113" i="76" l="1"/>
  <c r="W112" i="76"/>
  <c r="X112" i="76" s="1"/>
  <c r="U114" i="76" l="1"/>
  <c r="W113" i="76"/>
  <c r="X113" i="76" s="1"/>
  <c r="U115" i="76" l="1"/>
  <c r="W114" i="76"/>
  <c r="X114" i="76" s="1"/>
  <c r="U116" i="76" l="1"/>
  <c r="W115" i="76"/>
  <c r="X115" i="76" s="1"/>
  <c r="U117" i="76" l="1"/>
  <c r="W116" i="76"/>
  <c r="X116" i="76" s="1"/>
  <c r="U118" i="76" l="1"/>
  <c r="W117" i="76"/>
  <c r="X117" i="76" s="1"/>
  <c r="U119" i="76" l="1"/>
  <c r="W118" i="76"/>
  <c r="X118" i="76" s="1"/>
  <c r="U120" i="76" l="1"/>
  <c r="W119" i="76"/>
  <c r="X119" i="76" s="1"/>
  <c r="U121" i="76" l="1"/>
  <c r="W120" i="76"/>
  <c r="X120" i="76" s="1"/>
  <c r="U122" i="76" l="1"/>
  <c r="W121" i="76"/>
  <c r="X121" i="76" s="1"/>
  <c r="U123" i="76" l="1"/>
  <c r="W122" i="76"/>
  <c r="X122" i="76" s="1"/>
  <c r="U124" i="76" l="1"/>
  <c r="W123" i="76"/>
  <c r="X123" i="76" s="1"/>
  <c r="U125" i="76" l="1"/>
  <c r="W124" i="76"/>
  <c r="X124" i="76" s="1"/>
  <c r="U126" i="76" l="1"/>
  <c r="W125" i="76"/>
  <c r="X125" i="76" s="1"/>
  <c r="U67" i="76" l="1"/>
  <c r="Q68" i="76" s="1"/>
  <c r="W126" i="76"/>
  <c r="X126" i="76" s="1"/>
  <c r="U127" i="7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tc={2D7FA715-869B-41D5-AF59-2F064AB0D80C}</author>
  </authors>
  <commentList>
    <comment ref="C106" authorId="0" shapeId="0" xr:uid="{2D7FA715-869B-41D5-AF59-2F064AB0D80C}">
      <text>
        <t>[Threaded comment]
Your version of Excel allows you to read this threaded comment; however, any edits to it will get removed if the file is opened in a newer version of Excel. Learn more: https://go.microsoft.com/fwlink/?linkid=870924
Comment:
    20 for LV, 40 Handheld, 5 base station and 53 Equipment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tc={253060E3-1417-4B93-B974-D562322D8F35}</author>
    <author>tc={96DE1D5C-7CA1-471B-91B0-E6DC5F3E8054}</author>
  </authors>
  <commentList>
    <comment ref="K75" authorId="0" shapeId="0" xr:uid="{253060E3-1417-4B93-B974-D562322D8F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Advised by Hassan
</t>
      </text>
    </comment>
    <comment ref="K96" authorId="1" shapeId="0" xr:uid="{96DE1D5C-7CA1-471B-91B0-E6DC5F3E80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Advised by Hassan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tc={3636FEFD-40D2-45A0-8FB6-D3C81613519D}</author>
    <author>tc={FE58CF79-4F18-476C-9123-E21783D82744}</author>
  </authors>
  <commentList>
    <comment ref="M15" authorId="0" shapeId="0" xr:uid="{3636FEFD-40D2-45A0-8FB6-D3C81613519D}">
      <text>
        <t>[Threaded comment]
Your version of Excel allows you to read this threaded comment; however, any edits to it will get removed if the file is opened in a newer version of Excel. Learn more: https://go.microsoft.com/fwlink/?linkid=870924
Comment:
    Allowed for low production due to: geological mapping, tight excavation area due to dilution control, hang time due to lack of trucks, floor clean up and angle of orebody</t>
      </text>
    </comment>
    <comment ref="M27" authorId="1" shapeId="0" xr:uid="{FE58CF79-4F18-476C-9123-E21783D82744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Conservative production rate for 70t Excavator, allowed for lower rate due to insufficient fragmentation, spillage and floor clean up and truck spot time</t>
      </text>
    </comment>
  </commentList>
</comments>
</file>

<file path=xl/sharedStrings.xml><?xml version="1.0" encoding="utf-8"?>
<sst xmlns="http://schemas.openxmlformats.org/spreadsheetml/2006/main" count="2747" uniqueCount="360">
  <si>
    <t>Item No.</t>
  </si>
  <si>
    <t>Description</t>
  </si>
  <si>
    <t>Plant Hire Rates Calculations</t>
  </si>
  <si>
    <t>Interest Rate</t>
  </si>
  <si>
    <t>Insurance Rate</t>
  </si>
  <si>
    <t>Overhead Rate</t>
  </si>
  <si>
    <t>Insurance</t>
  </si>
  <si>
    <t>Overheads</t>
  </si>
  <si>
    <t>Sub Total</t>
  </si>
  <si>
    <t>Baseline Information</t>
  </si>
  <si>
    <t>Values</t>
  </si>
  <si>
    <t>Purchase Price</t>
  </si>
  <si>
    <t>Residual Value</t>
  </si>
  <si>
    <t>No. of Payments</t>
  </si>
  <si>
    <t>No. of 1st Life Hours</t>
  </si>
  <si>
    <t>Month</t>
  </si>
  <si>
    <t>Capital Value</t>
  </si>
  <si>
    <t>Interest</t>
  </si>
  <si>
    <t>Payment</t>
  </si>
  <si>
    <t>Balance</t>
  </si>
  <si>
    <t>RV</t>
  </si>
  <si>
    <t>Theoretical Calculations</t>
  </si>
  <si>
    <t>Percentages</t>
  </si>
  <si>
    <t>Fixed Cost Portion</t>
  </si>
  <si>
    <t xml:space="preserve">Fixed Cost </t>
  </si>
  <si>
    <t>Variable Cost</t>
  </si>
  <si>
    <t>Undercarriage/ Tyres</t>
  </si>
  <si>
    <t>Maintainence</t>
  </si>
  <si>
    <t>Total</t>
  </si>
  <si>
    <t>Rate Analysis</t>
  </si>
  <si>
    <t>Montly Fixed and Variable Rates</t>
  </si>
  <si>
    <t>Hourly Rate Comparison</t>
  </si>
  <si>
    <t>Top up Oil</t>
  </si>
  <si>
    <t>Availability</t>
  </si>
  <si>
    <t>Interest Calculation Sheet</t>
  </si>
  <si>
    <t>Cashflow Calculation Sheet</t>
  </si>
  <si>
    <t>Revenue</t>
  </si>
  <si>
    <t>HP Payments</t>
  </si>
  <si>
    <t>Under Carriage</t>
  </si>
  <si>
    <t>Hours</t>
  </si>
  <si>
    <t>Net Cashflow per mth</t>
  </si>
  <si>
    <t>Insurance per mth</t>
  </si>
  <si>
    <t>Net Cumulative Cashflow</t>
  </si>
  <si>
    <t>NBV After so many years</t>
  </si>
  <si>
    <t>Year</t>
  </si>
  <si>
    <t>NBV</t>
  </si>
  <si>
    <t>MU</t>
  </si>
  <si>
    <t>Selling</t>
  </si>
  <si>
    <t>Months</t>
  </si>
  <si>
    <t>Plant Hire Rates - Summary Sheet</t>
  </si>
  <si>
    <t>Fixed Cost</t>
  </si>
  <si>
    <t>Effective Hourly Cost</t>
  </si>
  <si>
    <t>Taxes</t>
  </si>
  <si>
    <t>GET</t>
  </si>
  <si>
    <t>OPERATOR. EQHR</t>
  </si>
  <si>
    <t># hrs</t>
  </si>
  <si>
    <t>Fuel Cost</t>
  </si>
  <si>
    <t>Fuel Cap</t>
  </si>
  <si>
    <t>Mark Up Fuel Cap</t>
  </si>
  <si>
    <t>liter.hr</t>
  </si>
  <si>
    <t>$.hour</t>
  </si>
  <si>
    <t>CIF RSA</t>
  </si>
  <si>
    <t>CAPEX &amp; ESTABLISHMENT ITEMS</t>
  </si>
  <si>
    <t>Deposit</t>
  </si>
  <si>
    <t>Transport Inbound</t>
  </si>
  <si>
    <t>Transport to Site</t>
  </si>
  <si>
    <t>Customs &amp; Duties</t>
  </si>
  <si>
    <t>Mark-up Included</t>
  </si>
  <si>
    <t>Financed</t>
  </si>
  <si>
    <t>Trasnport Site</t>
  </si>
  <si>
    <t>Financed  Value</t>
  </si>
  <si>
    <t>NBV per month</t>
  </si>
  <si>
    <t>Intrest rate</t>
  </si>
  <si>
    <t>Insurance premium</t>
  </si>
  <si>
    <t>Overhead</t>
  </si>
  <si>
    <t>N° of Payments</t>
  </si>
  <si>
    <t>N° of 1st life hours</t>
  </si>
  <si>
    <t>Transport excluded</t>
  </si>
  <si>
    <t>Duties Excluded</t>
  </si>
  <si>
    <t>Deposit excluded</t>
  </si>
  <si>
    <t xml:space="preserve"> Tender Rates </t>
  </si>
  <si>
    <t>Undercarriage/ Tyres/Picks</t>
  </si>
  <si>
    <t>%</t>
  </si>
  <si>
    <t>CIF</t>
  </si>
  <si>
    <t>DRC</t>
  </si>
  <si>
    <t>\</t>
  </si>
  <si>
    <t>SMU hours Availability</t>
  </si>
  <si>
    <t>SMU hours total</t>
  </si>
  <si>
    <t>SMU average/month</t>
  </si>
  <si>
    <t>Maintenance</t>
  </si>
  <si>
    <t>Undercarriage /  overhaul</t>
  </si>
  <si>
    <t>Oil / Greace</t>
  </si>
  <si>
    <t xml:space="preserve"> Capex and Rest value - Fixed component</t>
  </si>
  <si>
    <t xml:space="preserve"> Capex and Rest value - Variable component</t>
  </si>
  <si>
    <t>HOURS /YEAR</t>
  </si>
  <si>
    <t>HOURS/MONTH</t>
  </si>
  <si>
    <t>Dry Rate EXCL OPERATOR</t>
  </si>
  <si>
    <t>Wet Rate EXCL OPERATOR</t>
  </si>
  <si>
    <t>DRY RATE INCL OPERATOR</t>
  </si>
  <si>
    <t>WET RATE INCL OPERATOR</t>
  </si>
  <si>
    <t>YES/NO</t>
  </si>
  <si>
    <t>USD</t>
  </si>
  <si>
    <t>Transport + shipping +duties</t>
  </si>
  <si>
    <t>SITE ASSEMBLY ? COMMISSIONING</t>
  </si>
  <si>
    <t>SITE ASSEMBLY / COMMISSIONING ( in days)</t>
  </si>
  <si>
    <t>Undercariage / Tyres / GET</t>
  </si>
  <si>
    <t>Consummables</t>
  </si>
  <si>
    <t>Oils &amp; Lubes</t>
  </si>
  <si>
    <t>All equipment prices are CIP</t>
  </si>
  <si>
    <t>Equipment import duties</t>
  </si>
  <si>
    <t>Overhead for equipment fixed cost</t>
  </si>
  <si>
    <t>Mark up on equipment capital cost</t>
  </si>
  <si>
    <t>Interest on loan</t>
  </si>
  <si>
    <t>Insurance cost</t>
  </si>
  <si>
    <t>Residual value</t>
  </si>
  <si>
    <t>months</t>
  </si>
  <si>
    <t>Loan term</t>
  </si>
  <si>
    <t>$/lit</t>
  </si>
  <si>
    <t>Diesel cost</t>
  </si>
  <si>
    <t>Availability (5 years ave)</t>
  </si>
  <si>
    <t>Deposit cash payment</t>
  </si>
  <si>
    <t>1st Cycle Life</t>
  </si>
  <si>
    <t>Hrs</t>
  </si>
  <si>
    <t>Excavators - CAT</t>
  </si>
  <si>
    <t>Trcuks - Mercedes</t>
  </si>
  <si>
    <t>Trucks - Tonly</t>
  </si>
  <si>
    <t>Dozer - CAT</t>
  </si>
  <si>
    <t>Grader - CAT</t>
  </si>
  <si>
    <t>Compactor - CAT</t>
  </si>
  <si>
    <t>Watercart - Merc</t>
  </si>
  <si>
    <t>Maintenance truck - Merc</t>
  </si>
  <si>
    <t>CAPEX fixed component</t>
  </si>
  <si>
    <t>Undercarriage/Overhaul</t>
  </si>
  <si>
    <t>Oil/Greese/Lubricant</t>
  </si>
  <si>
    <t>CAT D10 Dozer</t>
  </si>
  <si>
    <t>TONLY TLD90</t>
  </si>
  <si>
    <t>MERC 8X4</t>
  </si>
  <si>
    <t>CAT 14H Grader</t>
  </si>
  <si>
    <t>CAT 14t Compactor</t>
  </si>
  <si>
    <t>CAT 966 WL</t>
  </si>
  <si>
    <t>UOA - use of availability</t>
  </si>
  <si>
    <t xml:space="preserve">MERC Watercart </t>
  </si>
  <si>
    <t>ATLAS T45 Drill</t>
  </si>
  <si>
    <t>ATLAS T35 Drill</t>
  </si>
  <si>
    <t>Atlas Drill</t>
  </si>
  <si>
    <t>Bulk density</t>
  </si>
  <si>
    <t>Loose density</t>
  </si>
  <si>
    <t>$</t>
  </si>
  <si>
    <t>Salary of non operators</t>
  </si>
  <si>
    <t>Workshop ongoing cost</t>
  </si>
  <si>
    <t>Pumps</t>
  </si>
  <si>
    <t>Non production fuel cost</t>
  </si>
  <si>
    <t>Consumables</t>
  </si>
  <si>
    <t>RSE cost</t>
  </si>
  <si>
    <t>Accommodation</t>
  </si>
  <si>
    <t>Max number of staff</t>
  </si>
  <si>
    <t>#</t>
  </si>
  <si>
    <t>G&amp;A CAPEX</t>
  </si>
  <si>
    <t>Pumps X 2</t>
  </si>
  <si>
    <t>Lighting Plants X 10</t>
  </si>
  <si>
    <t>Electricity</t>
  </si>
  <si>
    <t>Staff transport</t>
  </si>
  <si>
    <t>Ambulance Contract</t>
  </si>
  <si>
    <t>Workshop: Mobile equipment, drill and blast, welding and electrical (Dome)</t>
  </si>
  <si>
    <t>Light Vehicles Leasing X 10</t>
  </si>
  <si>
    <t>Machine</t>
  </si>
  <si>
    <t>Dry</t>
  </si>
  <si>
    <t>Fuel l</t>
  </si>
  <si>
    <t>Fuel $</t>
  </si>
  <si>
    <t>Wet</t>
  </si>
  <si>
    <t>No Off</t>
  </si>
  <si>
    <t>Total Dry</t>
  </si>
  <si>
    <t>Total Wet</t>
  </si>
  <si>
    <t>Distance</t>
  </si>
  <si>
    <t>Hual</t>
  </si>
  <si>
    <t>Speed</t>
  </si>
  <si>
    <t>Return</t>
  </si>
  <si>
    <t>L&amp;E</t>
  </si>
  <si>
    <t>Spot</t>
  </si>
  <si>
    <t>D&amp;M</t>
  </si>
  <si>
    <t>Cycle Time</t>
  </si>
  <si>
    <t>Loads/hr</t>
  </si>
  <si>
    <t>EX345</t>
  </si>
  <si>
    <t>CAT D10</t>
  </si>
  <si>
    <t>Tonnes</t>
  </si>
  <si>
    <t>SG</t>
  </si>
  <si>
    <t>Cubes</t>
  </si>
  <si>
    <t>FF</t>
  </si>
  <si>
    <t>Tub</t>
  </si>
  <si>
    <t>CAT 14H</t>
  </si>
  <si>
    <t>MERC WC</t>
  </si>
  <si>
    <t>No off</t>
  </si>
  <si>
    <t>Prod BCM</t>
  </si>
  <si>
    <t>$/m3 dry</t>
  </si>
  <si>
    <t>R/m3 wet</t>
  </si>
  <si>
    <t>Diff</t>
  </si>
  <si>
    <t>Dry Sell</t>
  </si>
  <si>
    <t>FC MU</t>
  </si>
  <si>
    <t>FC Sell</t>
  </si>
  <si>
    <t>Wet Sell $/BCM</t>
  </si>
  <si>
    <t>Wet Sell $/t</t>
  </si>
  <si>
    <t>BULK_EXCAVATION    WASTE</t>
  </si>
  <si>
    <t>EX374</t>
  </si>
  <si>
    <t>Fuel R</t>
  </si>
  <si>
    <t>Overhaul Rates</t>
  </si>
  <si>
    <t>wet</t>
  </si>
  <si>
    <t>Total cost</t>
  </si>
  <si>
    <t>dry</t>
  </si>
  <si>
    <t>$/m3</t>
  </si>
  <si>
    <t>tub</t>
  </si>
  <si>
    <t>Prod 1.0km</t>
  </si>
  <si>
    <t>sell</t>
  </si>
  <si>
    <t>Wet sell</t>
  </si>
  <si>
    <t>100m rate</t>
  </si>
  <si>
    <t>100m FC</t>
  </si>
  <si>
    <t>Mark up on selling cost</t>
  </si>
  <si>
    <t>t</t>
  </si>
  <si>
    <t>Total Contract volume - Waste</t>
  </si>
  <si>
    <t>Total Contract volume - Ore</t>
  </si>
  <si>
    <t>Monthly Waste volume Ore</t>
  </si>
  <si>
    <t>Monthly Waste volume Waste</t>
  </si>
  <si>
    <t>Monthly Total</t>
  </si>
  <si>
    <t>bcm</t>
  </si>
  <si>
    <t>Q</t>
  </si>
  <si>
    <t>NON Core</t>
  </si>
  <si>
    <t xml:space="preserve">Monthly Fixed </t>
  </si>
  <si>
    <t xml:space="preserve">CAPEX USD </t>
  </si>
  <si>
    <t>Service Truck</t>
  </si>
  <si>
    <t>Rockbreaker</t>
  </si>
  <si>
    <t>MAD</t>
  </si>
  <si>
    <t>MERC Service Truck</t>
  </si>
  <si>
    <t>MERC SERVICE TRUCK</t>
  </si>
  <si>
    <t>Final Mark up</t>
  </si>
  <si>
    <t>Waste</t>
  </si>
  <si>
    <t>Ore</t>
  </si>
  <si>
    <t>Exchange rate</t>
  </si>
  <si>
    <t>$/t</t>
  </si>
  <si>
    <t>Operator per machine hour - 30% loading</t>
  </si>
  <si>
    <t>Non Drill Equipment - Maintenance allocation over life (variables)</t>
  </si>
  <si>
    <t>Non Drill Equipment - Maintenance allocation over life (fixed)</t>
  </si>
  <si>
    <t>ATLAS T35</t>
  </si>
  <si>
    <t>ATLAS T45</t>
  </si>
  <si>
    <t>Wet Sell MAD/t</t>
  </si>
  <si>
    <t>Diff $/M3</t>
  </si>
  <si>
    <t>ORE_EXCAVATION</t>
  </si>
  <si>
    <t>Mob Cost MAD</t>
  </si>
  <si>
    <t xml:space="preserve">Transport to site </t>
  </si>
  <si>
    <t>Mob</t>
  </si>
  <si>
    <t>Demob</t>
  </si>
  <si>
    <t>LOAD OUT AND HAULAGE    ORE 8X4 TRUCK</t>
  </si>
  <si>
    <t>LOAD OUT AND HAULAGE    WASTE 6X4 TRUCKS</t>
  </si>
  <si>
    <t>East Pit</t>
  </si>
  <si>
    <t>Main/South Pit</t>
  </si>
  <si>
    <t>CADEX G&amp;A fixed calculated - East Pit</t>
  </si>
  <si>
    <t>CADEX G&amp;A fixed calculated - South Pit</t>
  </si>
  <si>
    <t>G&amp;A OPEX Monthly East Pit</t>
  </si>
  <si>
    <t>G&amp;A OPEX Monthly South Pit</t>
  </si>
  <si>
    <t>Contingency 10%</t>
  </si>
  <si>
    <t>Only for MERC 8X4 changed to 20%</t>
  </si>
  <si>
    <t>Dispatch monthly cost</t>
  </si>
  <si>
    <t>Dispatch set cost _ Manual dispatch</t>
  </si>
  <si>
    <t>$/bcm</t>
  </si>
  <si>
    <t>CAT 350 - 50t Excav</t>
  </si>
  <si>
    <t>CAT 950 WL</t>
  </si>
  <si>
    <t>Ore Truck 50t</t>
  </si>
  <si>
    <t>Loading - Cost</t>
  </si>
  <si>
    <t>MAD/bcm</t>
  </si>
  <si>
    <t>MAD/t</t>
  </si>
  <si>
    <t>Transport - Cost</t>
  </si>
  <si>
    <t>Total Unit Cost</t>
  </si>
  <si>
    <t>EAST PIT</t>
  </si>
  <si>
    <t>G&amp;A</t>
  </si>
  <si>
    <t>Wet Sell $/bcm</t>
  </si>
  <si>
    <t>Wet Sell MAD/bcm</t>
  </si>
  <si>
    <t>All in Sell Price $</t>
  </si>
  <si>
    <t>All in Sell Price MAD</t>
  </si>
  <si>
    <t>Ore Loading</t>
  </si>
  <si>
    <t>Ore Transport</t>
  </si>
  <si>
    <t>Ore Total</t>
  </si>
  <si>
    <t>Waste Loading</t>
  </si>
  <si>
    <t>Waste Transport</t>
  </si>
  <si>
    <t>Waste Total</t>
  </si>
  <si>
    <t>EAST PIT LOAD AND HAUL RATES</t>
  </si>
  <si>
    <t>MAIN/SOUTH PIT LOAD AND HAUL RATES</t>
  </si>
  <si>
    <t>Cost Excluding G&amp;A</t>
  </si>
  <si>
    <t>Cost Including G&amp;A</t>
  </si>
  <si>
    <t>IT set up (Server, Hardwares, Internet, computers and laptops and phones)</t>
  </si>
  <si>
    <t>Radios (hand held and base stations and repreater)</t>
  </si>
  <si>
    <t>Non Core</t>
  </si>
  <si>
    <t>CAT950</t>
  </si>
  <si>
    <t>Wheel Loader/Tyre handler</t>
  </si>
  <si>
    <t>Generators X 2</t>
  </si>
  <si>
    <t>Generator Fuel</t>
  </si>
  <si>
    <t>Offices X 6 and set up</t>
  </si>
  <si>
    <t>Lighting plant fuel</t>
  </si>
  <si>
    <t>Toilets X 4</t>
  </si>
  <si>
    <t>Fuel bays - platform set up</t>
  </si>
  <si>
    <t>Admin cost - incl VPN cost plus simcard monthly charges</t>
  </si>
  <si>
    <t>$/bcm all</t>
  </si>
  <si>
    <t>$/t all</t>
  </si>
  <si>
    <t>MAD/t all</t>
  </si>
  <si>
    <t>CAT 14T Compactor</t>
  </si>
  <si>
    <t>Grader</t>
  </si>
  <si>
    <t>Watercart</t>
  </si>
  <si>
    <t>CONTINGENY 15%</t>
  </si>
  <si>
    <t>Operators</t>
  </si>
  <si>
    <t>South Pit</t>
  </si>
  <si>
    <t>MAD/bcm all</t>
  </si>
  <si>
    <t>Ancillary covered in rates</t>
  </si>
  <si>
    <t>Compactor</t>
  </si>
  <si>
    <t>EX-90 t</t>
  </si>
  <si>
    <t>DT-80t</t>
  </si>
  <si>
    <t>EXC 90t</t>
  </si>
  <si>
    <t>DT 80t</t>
  </si>
  <si>
    <t>m</t>
  </si>
  <si>
    <t>East Pit-Inpit distance</t>
  </si>
  <si>
    <t>South Pit-Inpit distance</t>
  </si>
  <si>
    <t>Tonly 6X4</t>
  </si>
  <si>
    <t>EXC 374</t>
  </si>
  <si>
    <t>Corporate overhead</t>
  </si>
  <si>
    <t>Sub-total</t>
  </si>
  <si>
    <t>Corporate overhead at 8%</t>
  </si>
  <si>
    <t>Total Monthly</t>
  </si>
  <si>
    <t>East Pit-Total Waste</t>
  </si>
  <si>
    <t>East Pit-Total Ore</t>
  </si>
  <si>
    <t>South Pit-Total Waste</t>
  </si>
  <si>
    <t>South Pit-Total Ore</t>
  </si>
  <si>
    <t>East Pit G&amp;A</t>
  </si>
  <si>
    <t>South Pit G&amp;A</t>
  </si>
  <si>
    <t>South Pit Ore Revenue</t>
  </si>
  <si>
    <t>East Pit Waste Cost</t>
  </si>
  <si>
    <t>East Pit Ore Cost</t>
  </si>
  <si>
    <t>South Pit Waste Cost</t>
  </si>
  <si>
    <t>$/t Annual</t>
  </si>
  <si>
    <t>W.Average $/t</t>
  </si>
  <si>
    <t>All in Costs</t>
  </si>
  <si>
    <t>Total Revenue</t>
  </si>
  <si>
    <t>EBIDTA</t>
  </si>
  <si>
    <t>East Pit-Monthly Waste</t>
  </si>
  <si>
    <t>East Pit-Monthly Ore</t>
  </si>
  <si>
    <t>South Pit-Monthly Waste</t>
  </si>
  <si>
    <t>South Pit-Monthly Ore</t>
  </si>
  <si>
    <t>East Pit-Daily Waste</t>
  </si>
  <si>
    <t>East Pit-Daily Ore</t>
  </si>
  <si>
    <t>South Pit-Daily Waste</t>
  </si>
  <si>
    <t>South Pit-Daily Ore</t>
  </si>
  <si>
    <t>East Pit Waste-EXC 90</t>
  </si>
  <si>
    <t>East Pit Ore-EXC 345</t>
  </si>
  <si>
    <t>South Pit Waste-EXC 374</t>
  </si>
  <si>
    <t>South Pit Ore-EXC 345</t>
  </si>
  <si>
    <t>EXC90</t>
  </si>
  <si>
    <t>EXC70</t>
  </si>
  <si>
    <t>EXC50</t>
  </si>
  <si>
    <t>passes</t>
  </si>
  <si>
    <t>min per truck</t>
  </si>
  <si>
    <t>t/hr</t>
  </si>
  <si>
    <t>bcm/hr</t>
  </si>
  <si>
    <t>t/day</t>
  </si>
  <si>
    <t>CALCS - SOUTH/MAIN PIT</t>
  </si>
  <si>
    <t>CALCS - L&amp;H - EAST 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</si>
</sst>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0.0000%"/>
    <numFmt numFmtId="169" formatCode="_ [$R-1C09]\ * #,##0.00_ ;_ [$R-1C09]\ * \-#,##0.00_ ;_ [$R-1C09]\ * &quot;-&quot;??_ ;_ @_ "/>
    <numFmt numFmtId="170" formatCode="0.000%"/>
    <numFmt numFmtId="171" formatCode="_(* #,##0_);_(* \(#,##0\);_(* &quot;-&quot;??_);_(@_)"/>
    <numFmt numFmtId="172" formatCode="_([$$-409]* #,##0.00_);_([$$-409]* \(#,##0.00\);_([$$-409]* &quot;-&quot;??_);_(@_)"/>
    <numFmt numFmtId="173" formatCode="_-[$$-409]* #,##0.00_ ;_-[$$-409]* \-#,##0.00\ ;_-[$$-409]* &quot;-&quot;??_ ;_-@_ "/>
    <numFmt numFmtId="174" formatCode="_-[$$-409]* #,##0_ ;_-[$$-409]* \-#,##0\ ;_-[$$-409]* &quot;-&quot;??_ ;_-@_ "/>
    <numFmt numFmtId="175" formatCode="_ * #,##0.00_ ;_ * \-#,##0.00_ ;_ * &quot;-&quot;??_ ;_ @_ "/>
    <numFmt numFmtId="176" formatCode="_ * #,##0_ ;_ * \-#,##0_ ;_ * &quot;-&quot;??_ ;_ @_ "/>
    <numFmt numFmtId="177" formatCode="_ * #,##0.0_ ;_ * \-#,##0.0_ ;_ * &quot;-&quot;??_ ;_ @_ "/>
    <numFmt numFmtId="178" formatCode="_ * #,##0.000_ ;_ * \-#,##0.000_ ;_ * &quot;-&quot;??_ ;_ @_ "/>
    <numFmt numFmtId="179" formatCode="0.000000000"/>
    <numFmt numFmtId="180" formatCode="_(&quot;$&quot;* #,##0_);_(&quot;$&quot;* \(#,##0\);_(&quot;$&quot;* &quot;-&quot;??_);_(@_)"/>
    <numFmt numFmtId="181" formatCode="_-[$MAD]\ * #,##0.00_-;\-[$MAD]\ * #,##0.00_-;_-[$MAD]\ * &quot;-&quot;??_-;_-@_-"/>
    <numFmt numFmtId="182" formatCode="_-[$MAD]\ * #,##0_-;\-[$MAD]\ * #,##0_-;_-[$MAD]\ * &quot;-&quot;??_-;_-@_-"/>
    <numFmt numFmtId="183" formatCode="_(* #,##0.000_);_(* \(#,##0.000\);_(* &quot;-&quot;??_);_(@_)"/>
    <numFmt numFmtId="184" formatCode="0.000"/>
  </numFmts>
  <fonts count="5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9"/>
      <color theme="5"/>
      <name val="Calibri"/>
      <family val="2"/>
      <scheme val="minor"/>
    </font>
    <font>
      <sz val="9"/>
      <color theme="5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trike/>
      <sz val="18"/>
      <color theme="1"/>
      <name val="Calibri"/>
      <family val="2"/>
      <scheme val="minor"/>
    </font>
    <font>
      <b/>
      <strike/>
      <sz val="24"/>
      <color theme="1"/>
      <name val="Calibri"/>
      <family val="2"/>
      <scheme val="minor"/>
    </font>
    <font>
      <b/>
      <i/>
      <strike/>
      <sz val="16"/>
      <color theme="1"/>
      <name val="Calibri"/>
      <family val="2"/>
      <scheme val="minor"/>
    </font>
    <font>
      <b/>
      <i/>
      <strike/>
      <sz val="18"/>
      <color theme="1"/>
      <name val="Calibri"/>
      <family val="2"/>
      <scheme val="minor"/>
    </font>
    <font>
      <b/>
      <i/>
      <strike/>
      <sz val="11"/>
      <color theme="1"/>
      <name val="Calibri"/>
      <family val="2"/>
      <scheme val="minor"/>
    </font>
    <font>
      <b/>
      <i/>
      <strike/>
      <sz val="12"/>
      <color theme="1"/>
      <name val="Calibri"/>
      <family val="2"/>
      <scheme val="minor"/>
    </font>
    <font>
      <b/>
      <i/>
      <strike/>
      <sz val="24"/>
      <color theme="1"/>
      <name val="Calibri"/>
      <family val="2"/>
      <scheme val="minor"/>
    </font>
    <font>
      <b/>
      <i/>
      <strike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trike/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6">
    <xf numFmtId="0" fontId="0" fillId="0" borderId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0" borderId="0"/>
    <xf numFmtId="0" fontId="25" fillId="0" borderId="0"/>
    <xf numFmtId="175" fontId="7" fillId="0" borderId="0" applyFont="0" applyFill="0" applyBorder="0" applyAlignment="0" applyProtection="0"/>
    <xf numFmtId="0" fontId="7" fillId="0" borderId="0"/>
    <xf numFmtId="43" fontId="26" fillId="0" borderId="0" applyFont="0" applyFill="0" applyBorder="0" applyAlignment="0" applyProtection="0"/>
    <xf numFmtId="0" fontId="26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50" fillId="0" borderId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26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9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69" fontId="2" fillId="0" borderId="8" xfId="0" applyNumberFormat="1" applyFont="1" applyBorder="1" applyAlignment="1">
      <alignment horizontal="center" vertical="center" wrapText="1"/>
    </xf>
    <xf numFmtId="169" fontId="2" fillId="0" borderId="9" xfId="0" applyNumberFormat="1" applyFont="1" applyBorder="1" applyAlignment="1">
      <alignment horizontal="center" vertical="center" wrapText="1"/>
    </xf>
    <xf numFmtId="9" fontId="0" fillId="0" borderId="1" xfId="2" applyFon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 vertical="center" wrapText="1"/>
    </xf>
    <xf numFmtId="1" fontId="0" fillId="0" borderId="27" xfId="0" applyNumberFormat="1" applyBorder="1" applyAlignment="1">
      <alignment horizontal="center" vertical="center" wrapText="1"/>
    </xf>
    <xf numFmtId="169" fontId="0" fillId="0" borderId="28" xfId="0" applyNumberFormat="1" applyBorder="1" applyAlignment="1">
      <alignment horizontal="center" vertical="center" wrapText="1"/>
    </xf>
    <xf numFmtId="10" fontId="0" fillId="0" borderId="1" xfId="2" applyNumberFormat="1" applyFont="1" applyBorder="1" applyAlignment="1">
      <alignment horizontal="center" vertical="center" wrapText="1"/>
    </xf>
    <xf numFmtId="170" fontId="0" fillId="0" borderId="1" xfId="2" applyNumberFormat="1" applyFont="1" applyBorder="1" applyAlignment="1">
      <alignment horizontal="center" vertical="center" wrapText="1"/>
    </xf>
    <xf numFmtId="10" fontId="0" fillId="0" borderId="8" xfId="2" applyNumberFormat="1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0" fontId="0" fillId="0" borderId="28" xfId="2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9" fontId="0" fillId="2" borderId="17" xfId="2" applyFont="1" applyFill="1" applyBorder="1" applyAlignment="1">
      <alignment horizontal="center" vertical="center" wrapText="1"/>
    </xf>
    <xf numFmtId="169" fontId="0" fillId="2" borderId="17" xfId="0" applyNumberFormat="1" applyFill="1" applyBorder="1" applyAlignment="1">
      <alignment horizontal="center" vertical="center" wrapText="1"/>
    </xf>
    <xf numFmtId="10" fontId="0" fillId="2" borderId="17" xfId="2" applyNumberFormat="1" applyFont="1" applyFill="1" applyBorder="1" applyAlignment="1">
      <alignment horizontal="center" vertical="center" wrapText="1"/>
    </xf>
    <xf numFmtId="167" fontId="0" fillId="0" borderId="28" xfId="2" applyNumberFormat="1" applyFont="1" applyBorder="1" applyAlignment="1">
      <alignment horizontal="center" vertical="center" wrapText="1"/>
    </xf>
    <xf numFmtId="169" fontId="2" fillId="0" borderId="20" xfId="0" applyNumberFormat="1" applyFont="1" applyBorder="1" applyAlignment="1">
      <alignment horizontal="center" vertical="center" wrapText="1"/>
    </xf>
    <xf numFmtId="169" fontId="2" fillId="0" borderId="18" xfId="0" applyNumberFormat="1" applyFont="1" applyBorder="1" applyAlignment="1">
      <alignment horizontal="center" vertical="center" wrapText="1"/>
    </xf>
    <xf numFmtId="167" fontId="0" fillId="2" borderId="21" xfId="2" applyNumberFormat="1" applyFont="1" applyFill="1" applyBorder="1" applyAlignment="1">
      <alignment horizontal="center" vertical="center" wrapText="1"/>
    </xf>
    <xf numFmtId="169" fontId="0" fillId="2" borderId="21" xfId="0" applyNumberFormat="1" applyFill="1" applyBorder="1" applyAlignment="1">
      <alignment horizontal="center" vertical="center" wrapText="1"/>
    </xf>
    <xf numFmtId="10" fontId="0" fillId="2" borderId="21" xfId="2" applyNumberFormat="1" applyFont="1" applyFill="1" applyBorder="1" applyAlignment="1">
      <alignment horizontal="center" vertical="center" wrapText="1"/>
    </xf>
    <xf numFmtId="9" fontId="0" fillId="0" borderId="3" xfId="2" applyFont="1" applyBorder="1" applyAlignment="1">
      <alignment horizontal="center" vertical="center" wrapText="1"/>
    </xf>
    <xf numFmtId="10" fontId="0" fillId="0" borderId="3" xfId="2" applyNumberFormat="1" applyFont="1" applyBorder="1" applyAlignment="1">
      <alignment horizontal="center" vertical="center" wrapText="1"/>
    </xf>
    <xf numFmtId="169" fontId="2" fillId="0" borderId="31" xfId="0" applyNumberFormat="1" applyFont="1" applyBorder="1" applyAlignment="1">
      <alignment horizontal="center" vertical="center" wrapText="1"/>
    </xf>
    <xf numFmtId="10" fontId="0" fillId="0" borderId="6" xfId="2" applyNumberFormat="1" applyFont="1" applyBorder="1" applyAlignment="1">
      <alignment horizontal="center" vertical="center" wrapText="1"/>
    </xf>
    <xf numFmtId="1" fontId="2" fillId="0" borderId="36" xfId="0" applyNumberFormat="1" applyFont="1" applyBorder="1" applyAlignment="1">
      <alignment horizontal="center" vertical="center" wrapText="1"/>
    </xf>
    <xf numFmtId="1" fontId="0" fillId="0" borderId="37" xfId="0" applyNumberFormat="1" applyBorder="1" applyAlignment="1">
      <alignment horizontal="center" vertical="center" wrapText="1"/>
    </xf>
    <xf numFmtId="1" fontId="0" fillId="0" borderId="38" xfId="0" applyNumberForma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9" fontId="0" fillId="0" borderId="42" xfId="0" applyNumberFormat="1" applyBorder="1" applyAlignment="1">
      <alignment horizontal="center" vertical="center" wrapText="1"/>
    </xf>
    <xf numFmtId="1" fontId="0" fillId="2" borderId="27" xfId="0" applyNumberFormat="1" applyFill="1" applyBorder="1" applyAlignment="1">
      <alignment horizontal="center" vertical="center" wrapText="1"/>
    </xf>
    <xf numFmtId="1" fontId="0" fillId="2" borderId="39" xfId="0" applyNumberFormat="1" applyFill="1" applyBorder="1" applyAlignment="1">
      <alignment horizontal="center" vertical="center" wrapText="1"/>
    </xf>
    <xf numFmtId="165" fontId="0" fillId="0" borderId="4" xfId="3" applyFont="1" applyBorder="1" applyAlignment="1">
      <alignment horizontal="center" vertical="center" wrapText="1"/>
    </xf>
    <xf numFmtId="172" fontId="0" fillId="0" borderId="4" xfId="3" applyNumberFormat="1" applyFont="1" applyBorder="1" applyAlignment="1">
      <alignment horizontal="center" vertical="center" wrapText="1"/>
    </xf>
    <xf numFmtId="165" fontId="0" fillId="0" borderId="3" xfId="3" applyFont="1" applyBorder="1" applyAlignment="1">
      <alignment horizontal="center" vertical="center" wrapText="1"/>
    </xf>
    <xf numFmtId="165" fontId="0" fillId="0" borderId="1" xfId="3" applyFont="1" applyBorder="1" applyAlignment="1">
      <alignment horizontal="center" vertical="center" wrapText="1"/>
    </xf>
    <xf numFmtId="165" fontId="0" fillId="0" borderId="8" xfId="3" applyFont="1" applyBorder="1" applyAlignment="1">
      <alignment horizontal="center" vertical="center" wrapText="1"/>
    </xf>
    <xf numFmtId="165" fontId="0" fillId="0" borderId="6" xfId="3" applyFont="1" applyBorder="1" applyAlignment="1">
      <alignment horizontal="center" vertical="center" wrapText="1"/>
    </xf>
    <xf numFmtId="165" fontId="0" fillId="0" borderId="9" xfId="3" applyFont="1" applyBorder="1" applyAlignment="1">
      <alignment horizontal="center" vertical="center" wrapText="1"/>
    </xf>
    <xf numFmtId="165" fontId="0" fillId="0" borderId="21" xfId="3" applyFont="1" applyBorder="1" applyAlignment="1">
      <alignment horizontal="center" vertical="center" wrapText="1"/>
    </xf>
    <xf numFmtId="165" fontId="0" fillId="0" borderId="33" xfId="3" applyFont="1" applyBorder="1" applyAlignment="1">
      <alignment horizontal="center" vertical="center" wrapText="1"/>
    </xf>
    <xf numFmtId="165" fontId="0" fillId="0" borderId="28" xfId="3" applyFont="1" applyBorder="1" applyAlignment="1">
      <alignment horizontal="center" vertical="center" wrapText="1"/>
    </xf>
    <xf numFmtId="165" fontId="0" fillId="0" borderId="29" xfId="3" applyFont="1" applyBorder="1" applyAlignment="1">
      <alignment horizontal="center" vertical="center" wrapText="1"/>
    </xf>
    <xf numFmtId="165" fontId="0" fillId="0" borderId="17" xfId="3" applyFont="1" applyBorder="1" applyAlignment="1">
      <alignment horizontal="center" vertical="center" wrapText="1"/>
    </xf>
    <xf numFmtId="165" fontId="0" fillId="0" borderId="32" xfId="3" applyFont="1" applyBorder="1" applyAlignment="1">
      <alignment horizontal="center" vertical="center" wrapText="1"/>
    </xf>
    <xf numFmtId="165" fontId="5" fillId="0" borderId="11" xfId="3" applyFont="1" applyBorder="1" applyAlignment="1">
      <alignment horizontal="center" vertical="center" wrapText="1"/>
    </xf>
    <xf numFmtId="165" fontId="5" fillId="0" borderId="12" xfId="3" applyFont="1" applyBorder="1" applyAlignment="1">
      <alignment horizontal="center" vertical="center" wrapText="1"/>
    </xf>
    <xf numFmtId="165" fontId="5" fillId="2" borderId="8" xfId="3" applyFont="1" applyFill="1" applyBorder="1" applyAlignment="1">
      <alignment horizontal="center" vertical="center" wrapText="1"/>
    </xf>
    <xf numFmtId="165" fontId="5" fillId="0" borderId="9" xfId="3" applyFont="1" applyBorder="1" applyAlignment="1">
      <alignment horizontal="center" vertical="center" wrapText="1"/>
    </xf>
    <xf numFmtId="165" fontId="0" fillId="0" borderId="11" xfId="3" applyFont="1" applyBorder="1" applyAlignment="1">
      <alignment horizontal="center" vertical="center" wrapText="1"/>
    </xf>
    <xf numFmtId="165" fontId="0" fillId="0" borderId="12" xfId="3" applyFont="1" applyBorder="1" applyAlignment="1">
      <alignment horizontal="center" vertical="center" wrapText="1"/>
    </xf>
    <xf numFmtId="165" fontId="0" fillId="0" borderId="16" xfId="3" applyFont="1" applyBorder="1" applyAlignment="1">
      <alignment horizontal="center" vertical="center" wrapText="1"/>
    </xf>
    <xf numFmtId="165" fontId="0" fillId="0" borderId="31" xfId="3" applyFont="1" applyBorder="1" applyAlignment="1">
      <alignment horizontal="center" vertical="center" wrapText="1"/>
    </xf>
    <xf numFmtId="165" fontId="0" fillId="2" borderId="28" xfId="3" applyFont="1" applyFill="1" applyBorder="1" applyAlignment="1">
      <alignment horizontal="center" vertical="center" wrapText="1"/>
    </xf>
    <xf numFmtId="165" fontId="0" fillId="2" borderId="29" xfId="3" applyFont="1" applyFill="1" applyBorder="1" applyAlignment="1">
      <alignment horizontal="center" vertical="center" wrapText="1"/>
    </xf>
    <xf numFmtId="165" fontId="0" fillId="0" borderId="40" xfId="3" applyFont="1" applyBorder="1" applyAlignment="1">
      <alignment horizontal="center" vertical="center" wrapText="1"/>
    </xf>
    <xf numFmtId="165" fontId="0" fillId="0" borderId="43" xfId="3" applyFont="1" applyBorder="1" applyAlignment="1">
      <alignment horizontal="center" vertical="center" wrapText="1"/>
    </xf>
    <xf numFmtId="165" fontId="0" fillId="0" borderId="44" xfId="3" applyFont="1" applyBorder="1" applyAlignment="1">
      <alignment horizontal="center" vertical="center" wrapText="1"/>
    </xf>
    <xf numFmtId="165" fontId="0" fillId="0" borderId="45" xfId="3" applyFont="1" applyBorder="1" applyAlignment="1">
      <alignment horizontal="center" vertical="center" wrapText="1"/>
    </xf>
    <xf numFmtId="165" fontId="0" fillId="0" borderId="20" xfId="3" applyFont="1" applyBorder="1" applyAlignment="1">
      <alignment horizontal="center" vertical="center" wrapText="1"/>
    </xf>
    <xf numFmtId="165" fontId="0" fillId="2" borderId="41" xfId="3" applyFont="1" applyFill="1" applyBorder="1" applyAlignment="1">
      <alignment horizontal="center" vertical="center" wrapText="1"/>
    </xf>
    <xf numFmtId="165" fontId="0" fillId="0" borderId="0" xfId="3" applyFont="1" applyAlignment="1">
      <alignment horizontal="center" vertical="center" wrapText="1"/>
    </xf>
    <xf numFmtId="165" fontId="0" fillId="0" borderId="2" xfId="3" applyFont="1" applyBorder="1" applyAlignment="1">
      <alignment horizontal="center" vertical="center" wrapText="1"/>
    </xf>
    <xf numFmtId="165" fontId="0" fillId="0" borderId="7" xfId="3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9" fontId="0" fillId="0" borderId="40" xfId="2" applyFont="1" applyBorder="1" applyAlignment="1">
      <alignment horizontal="center" vertical="center" wrapText="1"/>
    </xf>
    <xf numFmtId="9" fontId="0" fillId="0" borderId="46" xfId="2" applyFont="1" applyBorder="1" applyAlignment="1">
      <alignment horizontal="center" vertical="center" wrapText="1"/>
    </xf>
    <xf numFmtId="9" fontId="0" fillId="0" borderId="25" xfId="2" applyFont="1" applyBorder="1" applyAlignment="1">
      <alignment horizontal="center" vertical="center" wrapText="1"/>
    </xf>
    <xf numFmtId="173" fontId="0" fillId="0" borderId="47" xfId="0" applyNumberFormat="1" applyBorder="1" applyAlignment="1">
      <alignment horizontal="center" vertical="center" wrapText="1"/>
    </xf>
    <xf numFmtId="173" fontId="0" fillId="0" borderId="44" xfId="0" applyNumberFormat="1" applyBorder="1" applyAlignment="1">
      <alignment horizontal="center" vertical="center" wrapText="1"/>
    </xf>
    <xf numFmtId="173" fontId="0" fillId="0" borderId="45" xfId="0" applyNumberFormat="1" applyBorder="1" applyAlignment="1">
      <alignment horizontal="center" vertical="center" wrapText="1"/>
    </xf>
    <xf numFmtId="169" fontId="0" fillId="3" borderId="4" xfId="0" applyNumberFormat="1" applyFill="1" applyBorder="1" applyAlignment="1">
      <alignment horizontal="center" vertical="center" wrapText="1"/>
    </xf>
    <xf numFmtId="169" fontId="0" fillId="0" borderId="48" xfId="0" applyNumberFormat="1" applyBorder="1" applyAlignment="1">
      <alignment horizontal="center" vertical="center" wrapText="1"/>
    </xf>
    <xf numFmtId="169" fontId="0" fillId="3" borderId="49" xfId="0" applyNumberFormat="1" applyFill="1" applyBorder="1" applyAlignment="1">
      <alignment horizontal="center" vertical="center" wrapText="1"/>
    </xf>
    <xf numFmtId="169" fontId="16" fillId="0" borderId="5" xfId="0" applyNumberFormat="1" applyFont="1" applyBorder="1" applyAlignment="1">
      <alignment horizontal="center" vertical="center" wrapText="1"/>
    </xf>
    <xf numFmtId="169" fontId="16" fillId="3" borderId="6" xfId="0" applyNumberFormat="1" applyFont="1" applyFill="1" applyBorder="1" applyAlignment="1">
      <alignment horizontal="center" vertical="center" wrapText="1"/>
    </xf>
    <xf numFmtId="169" fontId="16" fillId="0" borderId="30" xfId="0" applyNumberFormat="1" applyFont="1" applyBorder="1" applyAlignment="1">
      <alignment horizontal="center" vertical="center" wrapText="1"/>
    </xf>
    <xf numFmtId="169" fontId="16" fillId="0" borderId="27" xfId="0" applyNumberFormat="1" applyFont="1" applyBorder="1" applyAlignment="1">
      <alignment horizontal="center" vertical="center" wrapText="1"/>
    </xf>
    <xf numFmtId="169" fontId="16" fillId="3" borderId="29" xfId="0" applyNumberFormat="1" applyFont="1" applyFill="1" applyBorder="1" applyAlignment="1">
      <alignment horizontal="center" vertical="center" wrapText="1"/>
    </xf>
    <xf numFmtId="165" fontId="2" fillId="0" borderId="6" xfId="3" applyFont="1" applyBorder="1" applyAlignment="1">
      <alignment horizontal="center" vertical="center" wrapText="1"/>
    </xf>
    <xf numFmtId="173" fontId="18" fillId="0" borderId="5" xfId="0" applyNumberFormat="1" applyFont="1" applyBorder="1"/>
    <xf numFmtId="10" fontId="18" fillId="0" borderId="6" xfId="2" applyNumberFormat="1" applyFont="1" applyBorder="1"/>
    <xf numFmtId="169" fontId="2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73" fontId="0" fillId="0" borderId="0" xfId="0" applyNumberFormat="1"/>
    <xf numFmtId="173" fontId="0" fillId="0" borderId="0" xfId="0" applyNumberFormat="1" applyAlignment="1">
      <alignment horizontal="center" vertical="center" wrapText="1"/>
    </xf>
    <xf numFmtId="173" fontId="0" fillId="0" borderId="42" xfId="0" applyNumberFormat="1" applyBorder="1" applyAlignment="1">
      <alignment horizontal="center" vertical="center" wrapText="1"/>
    </xf>
    <xf numFmtId="0" fontId="0" fillId="0" borderId="11" xfId="3" quotePrefix="1" applyNumberFormat="1" applyFont="1" applyBorder="1" applyAlignment="1">
      <alignment horizontal="center" vertical="center" wrapText="1"/>
    </xf>
    <xf numFmtId="173" fontId="0" fillId="0" borderId="1" xfId="0" applyNumberFormat="1" applyBorder="1"/>
    <xf numFmtId="173" fontId="0" fillId="0" borderId="6" xfId="0" applyNumberFormat="1" applyBorder="1"/>
    <xf numFmtId="173" fontId="0" fillId="0" borderId="44" xfId="0" applyNumberFormat="1" applyBorder="1"/>
    <xf numFmtId="0" fontId="0" fillId="0" borderId="29" xfId="0" applyBorder="1" applyAlignment="1">
      <alignment horizontal="center" vertical="center" wrapText="1"/>
    </xf>
    <xf numFmtId="0" fontId="0" fillId="0" borderId="1" xfId="0" applyBorder="1"/>
    <xf numFmtId="9" fontId="7" fillId="0" borderId="31" xfId="2" applyFont="1" applyBorder="1" applyAlignment="1">
      <alignment horizontal="center" vertical="center" wrapText="1"/>
    </xf>
    <xf numFmtId="173" fontId="20" fillId="0" borderId="0" xfId="0" applyNumberFormat="1" applyFont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" fontId="2" fillId="0" borderId="27" xfId="0" applyNumberFormat="1" applyFont="1" applyBorder="1" applyAlignment="1">
      <alignment horizontal="center" vertical="top" wrapText="1"/>
    </xf>
    <xf numFmtId="169" fontId="2" fillId="0" borderId="28" xfId="0" applyNumberFormat="1" applyFont="1" applyBorder="1" applyAlignment="1">
      <alignment horizontal="center" vertical="top" wrapText="1"/>
    </xf>
    <xf numFmtId="169" fontId="2" fillId="0" borderId="41" xfId="0" applyNumberFormat="1" applyFont="1" applyBorder="1" applyAlignment="1">
      <alignment horizontal="center" vertical="top" wrapText="1"/>
    </xf>
    <xf numFmtId="169" fontId="17" fillId="0" borderId="27" xfId="0" applyNumberFormat="1" applyFont="1" applyBorder="1" applyAlignment="1">
      <alignment horizontal="center" vertical="top" wrapText="1"/>
    </xf>
    <xf numFmtId="169" fontId="17" fillId="0" borderId="29" xfId="0" applyNumberFormat="1" applyFont="1" applyBorder="1" applyAlignment="1">
      <alignment horizontal="center" vertical="top" wrapText="1"/>
    </xf>
    <xf numFmtId="169" fontId="19" fillId="0" borderId="2" xfId="0" applyNumberFormat="1" applyFont="1" applyBorder="1" applyAlignment="1">
      <alignment horizontal="center" vertical="top" wrapText="1"/>
    </xf>
    <xf numFmtId="173" fontId="0" fillId="0" borderId="42" xfId="0" applyNumberFormat="1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 wrapText="1"/>
    </xf>
    <xf numFmtId="0" fontId="0" fillId="0" borderId="0" xfId="0" applyAlignment="1">
      <alignment vertical="top" wrapText="1"/>
    </xf>
    <xf numFmtId="9" fontId="0" fillId="0" borderId="0" xfId="0" applyNumberFormat="1" applyAlignment="1">
      <alignment horizontal="center" vertical="center" wrapText="1"/>
    </xf>
    <xf numFmtId="174" fontId="0" fillId="6" borderId="0" xfId="0" applyNumberFormat="1" applyFill="1"/>
    <xf numFmtId="10" fontId="0" fillId="6" borderId="0" xfId="0" applyNumberFormat="1" applyFill="1" applyAlignment="1">
      <alignment horizontal="center" vertical="center" wrapText="1"/>
    </xf>
    <xf numFmtId="173" fontId="0" fillId="6" borderId="20" xfId="0" applyNumberFormat="1" applyFill="1" applyBorder="1" applyAlignment="1">
      <alignment horizontal="center" vertical="center" wrapText="1"/>
    </xf>
    <xf numFmtId="173" fontId="16" fillId="6" borderId="11" xfId="0" applyNumberFormat="1" applyFont="1" applyFill="1" applyBorder="1" applyAlignment="1">
      <alignment horizontal="center" vertical="center" wrapText="1"/>
    </xf>
    <xf numFmtId="173" fontId="0" fillId="4" borderId="20" xfId="0" applyNumberFormat="1" applyFill="1" applyBorder="1" applyAlignment="1">
      <alignment horizontal="center" vertical="center" wrapText="1"/>
    </xf>
    <xf numFmtId="9" fontId="7" fillId="4" borderId="31" xfId="2" applyFont="1" applyFill="1" applyBorder="1" applyAlignment="1">
      <alignment horizontal="center" vertical="center" wrapText="1"/>
    </xf>
    <xf numFmtId="172" fontId="0" fillId="4" borderId="4" xfId="3" applyNumberFormat="1" applyFont="1" applyFill="1" applyBorder="1" applyAlignment="1">
      <alignment horizontal="center" vertical="center" wrapText="1"/>
    </xf>
    <xf numFmtId="165" fontId="0" fillId="4" borderId="3" xfId="3" applyFont="1" applyFill="1" applyBorder="1" applyAlignment="1">
      <alignment horizontal="center" vertical="center" wrapText="1"/>
    </xf>
    <xf numFmtId="165" fontId="0" fillId="4" borderId="1" xfId="3" applyFon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0" fontId="0" fillId="4" borderId="6" xfId="2" applyNumberFormat="1" applyFont="1" applyFill="1" applyBorder="1" applyAlignment="1">
      <alignment horizontal="center" vertical="center" wrapText="1"/>
    </xf>
    <xf numFmtId="168" fontId="0" fillId="4" borderId="6" xfId="2" applyNumberFormat="1" applyFont="1" applyFill="1" applyBorder="1" applyAlignment="1">
      <alignment horizontal="center" vertical="center" wrapText="1"/>
    </xf>
    <xf numFmtId="9" fontId="0" fillId="4" borderId="6" xfId="2" applyFont="1" applyFill="1" applyBorder="1" applyAlignment="1">
      <alignment horizontal="center" vertical="center" wrapText="1"/>
    </xf>
    <xf numFmtId="167" fontId="0" fillId="4" borderId="6" xfId="2" applyNumberFormat="1" applyFont="1" applyFill="1" applyBorder="1" applyAlignment="1">
      <alignment horizontal="center" vertical="center" wrapText="1"/>
    </xf>
    <xf numFmtId="2" fontId="0" fillId="4" borderId="6" xfId="0" applyNumberFormat="1" applyFill="1" applyBorder="1" applyAlignment="1">
      <alignment horizontal="center" vertical="center" wrapText="1"/>
    </xf>
    <xf numFmtId="171" fontId="0" fillId="4" borderId="6" xfId="1" applyNumberFormat="1" applyFont="1" applyFill="1" applyBorder="1" applyAlignment="1">
      <alignment vertical="center" wrapText="1"/>
    </xf>
    <xf numFmtId="9" fontId="0" fillId="4" borderId="9" xfId="2" applyFont="1" applyFill="1" applyBorder="1" applyAlignment="1">
      <alignment horizontal="center" vertical="center" wrapText="1"/>
    </xf>
    <xf numFmtId="9" fontId="0" fillId="0" borderId="0" xfId="2" applyFont="1" applyAlignment="1">
      <alignment horizontal="center" vertical="center" wrapText="1"/>
    </xf>
    <xf numFmtId="169" fontId="0" fillId="0" borderId="1" xfId="0" applyNumberFormat="1" applyBorder="1" applyAlignment="1">
      <alignment horizontal="center" vertical="center" wrapText="1"/>
    </xf>
    <xf numFmtId="171" fontId="0" fillId="6" borderId="1" xfId="1" applyNumberFormat="1" applyFont="1" applyFill="1" applyBorder="1" applyAlignment="1">
      <alignment horizontal="center" vertical="center" wrapText="1"/>
    </xf>
    <xf numFmtId="166" fontId="0" fillId="0" borderId="6" xfId="1" applyFont="1" applyBorder="1" applyAlignment="1">
      <alignment horizontal="center" vertical="center" wrapText="1"/>
    </xf>
    <xf numFmtId="165" fontId="2" fillId="0" borderId="31" xfId="3" applyFont="1" applyBorder="1" applyAlignment="1">
      <alignment horizontal="center" vertical="center" wrapText="1"/>
    </xf>
    <xf numFmtId="173" fontId="18" fillId="0" borderId="30" xfId="0" applyNumberFormat="1" applyFont="1" applyBorder="1"/>
    <xf numFmtId="10" fontId="18" fillId="0" borderId="31" xfId="2" applyNumberFormat="1" applyFont="1" applyBorder="1"/>
    <xf numFmtId="171" fontId="0" fillId="0" borderId="0" xfId="0" applyNumberFormat="1" applyAlignment="1">
      <alignment horizontal="center" vertical="center" wrapText="1"/>
    </xf>
    <xf numFmtId="171" fontId="0" fillId="6" borderId="0" xfId="0" applyNumberFormat="1" applyFill="1"/>
    <xf numFmtId="171" fontId="0" fillId="0" borderId="1" xfId="1" applyNumberFormat="1" applyFont="1" applyBorder="1"/>
    <xf numFmtId="171" fontId="0" fillId="0" borderId="6" xfId="1" applyNumberFormat="1" applyFont="1" applyBorder="1"/>
    <xf numFmtId="165" fontId="0" fillId="6" borderId="1" xfId="3" applyFont="1" applyFill="1" applyBorder="1" applyAlignment="1">
      <alignment horizontal="center" vertical="center" wrapText="1"/>
    </xf>
    <xf numFmtId="171" fontId="24" fillId="0" borderId="5" xfId="1" applyNumberFormat="1" applyFont="1" applyBorder="1"/>
    <xf numFmtId="166" fontId="0" fillId="0" borderId="0" xfId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9" fontId="16" fillId="0" borderId="0" xfId="0" applyNumberFormat="1" applyFont="1" applyAlignment="1">
      <alignment horizontal="center" vertical="center" wrapText="1"/>
    </xf>
    <xf numFmtId="169" fontId="16" fillId="0" borderId="1" xfId="0" applyNumberFormat="1" applyFont="1" applyBorder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64" fontId="16" fillId="0" borderId="42" xfId="0" applyNumberFormat="1" applyFont="1" applyBorder="1" applyAlignment="1">
      <alignment horizontal="center" vertical="center" wrapText="1"/>
    </xf>
    <xf numFmtId="9" fontId="16" fillId="0" borderId="42" xfId="0" applyNumberFormat="1" applyFont="1" applyBorder="1" applyAlignment="1">
      <alignment horizontal="center" vertical="center" wrapText="1"/>
    </xf>
    <xf numFmtId="171" fontId="16" fillId="6" borderId="1" xfId="1" applyNumberFormat="1" applyFont="1" applyFill="1" applyBorder="1" applyAlignment="1">
      <alignment horizontal="center" vertical="center" wrapText="1"/>
    </xf>
    <xf numFmtId="9" fontId="16" fillId="0" borderId="0" xfId="0" applyNumberFormat="1" applyFont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0" fontId="31" fillId="0" borderId="16" xfId="0" applyFont="1" applyBorder="1" applyAlignment="1">
      <alignment horizontal="center" vertical="center" wrapText="1"/>
    </xf>
    <xf numFmtId="169" fontId="31" fillId="0" borderId="31" xfId="0" applyNumberFormat="1" applyFont="1" applyBorder="1" applyAlignment="1">
      <alignment horizontal="center" vertical="center" wrapText="1"/>
    </xf>
    <xf numFmtId="1" fontId="31" fillId="0" borderId="7" xfId="0" applyNumberFormat="1" applyFont="1" applyBorder="1" applyAlignment="1">
      <alignment horizontal="center" vertical="center" wrapText="1"/>
    </xf>
    <xf numFmtId="169" fontId="31" fillId="0" borderId="8" xfId="0" applyNumberFormat="1" applyFont="1" applyBorder="1" applyAlignment="1">
      <alignment horizontal="center" vertical="center" wrapText="1"/>
    </xf>
    <xf numFmtId="169" fontId="31" fillId="0" borderId="9" xfId="0" applyNumberFormat="1" applyFont="1" applyBorder="1" applyAlignment="1">
      <alignment horizontal="center" vertical="center" wrapText="1"/>
    </xf>
    <xf numFmtId="1" fontId="31" fillId="0" borderId="36" xfId="0" applyNumberFormat="1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72" fontId="16" fillId="0" borderId="4" xfId="3" applyNumberFormat="1" applyFont="1" applyBorder="1" applyAlignment="1">
      <alignment horizontal="center" vertical="center" wrapText="1"/>
    </xf>
    <xf numFmtId="9" fontId="16" fillId="0" borderId="0" xfId="2" applyFont="1" applyAlignment="1">
      <alignment horizontal="center" vertical="center" wrapText="1"/>
    </xf>
    <xf numFmtId="173" fontId="16" fillId="6" borderId="20" xfId="0" applyNumberFormat="1" applyFont="1" applyFill="1" applyBorder="1" applyAlignment="1">
      <alignment horizontal="center" vertical="center" wrapText="1"/>
    </xf>
    <xf numFmtId="169" fontId="16" fillId="3" borderId="4" xfId="0" applyNumberFormat="1" applyFont="1" applyFill="1" applyBorder="1" applyAlignment="1">
      <alignment horizontal="center" vertical="center" wrapText="1"/>
    </xf>
    <xf numFmtId="1" fontId="16" fillId="0" borderId="10" xfId="0" applyNumberFormat="1" applyFont="1" applyBorder="1" applyAlignment="1">
      <alignment horizontal="center" vertical="center" wrapText="1"/>
    </xf>
    <xf numFmtId="165" fontId="16" fillId="0" borderId="11" xfId="3" applyFont="1" applyBorder="1" applyAlignment="1">
      <alignment horizontal="center" vertical="center" wrapText="1"/>
    </xf>
    <xf numFmtId="165" fontId="16" fillId="0" borderId="12" xfId="3" applyFont="1" applyBorder="1" applyAlignment="1">
      <alignment horizontal="center" vertical="center" wrapText="1"/>
    </xf>
    <xf numFmtId="1" fontId="16" fillId="0" borderId="37" xfId="0" applyNumberFormat="1" applyFont="1" applyBorder="1" applyAlignment="1">
      <alignment horizontal="center" vertical="center" wrapText="1"/>
    </xf>
    <xf numFmtId="165" fontId="16" fillId="0" borderId="40" xfId="3" applyFont="1" applyBorder="1" applyAlignment="1">
      <alignment horizontal="center" vertical="center" wrapText="1"/>
    </xf>
    <xf numFmtId="165" fontId="16" fillId="0" borderId="43" xfId="3" applyFont="1" applyBorder="1" applyAlignment="1">
      <alignment horizontal="center"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10" fontId="16" fillId="0" borderId="6" xfId="2" applyNumberFormat="1" applyFont="1" applyBorder="1" applyAlignment="1">
      <alignment horizontal="center" vertical="center" wrapText="1"/>
    </xf>
    <xf numFmtId="169" fontId="16" fillId="0" borderId="48" xfId="0" applyNumberFormat="1" applyFont="1" applyBorder="1" applyAlignment="1">
      <alignment horizontal="center" vertical="center" wrapText="1"/>
    </xf>
    <xf numFmtId="173" fontId="16" fillId="6" borderId="1" xfId="0" applyNumberFormat="1" applyFont="1" applyFill="1" applyBorder="1" applyAlignment="1">
      <alignment horizontal="center" vertical="center" wrapText="1"/>
    </xf>
    <xf numFmtId="169" fontId="16" fillId="3" borderId="49" xfId="0" applyNumberFormat="1" applyFont="1" applyFill="1" applyBorder="1" applyAlignment="1">
      <alignment horizontal="center" vertical="center" wrapText="1"/>
    </xf>
    <xf numFmtId="1" fontId="16" fillId="0" borderId="5" xfId="0" applyNumberFormat="1" applyFont="1" applyBorder="1" applyAlignment="1">
      <alignment horizontal="center" vertical="center" wrapText="1"/>
    </xf>
    <xf numFmtId="165" fontId="16" fillId="0" borderId="1" xfId="3" applyFont="1" applyBorder="1" applyAlignment="1">
      <alignment horizontal="center" vertical="center" wrapText="1"/>
    </xf>
    <xf numFmtId="165" fontId="16" fillId="0" borderId="6" xfId="3" applyFont="1" applyBorder="1" applyAlignment="1">
      <alignment horizontal="center" vertical="center" wrapText="1"/>
    </xf>
    <xf numFmtId="1" fontId="16" fillId="0" borderId="38" xfId="0" applyNumberFormat="1" applyFont="1" applyBorder="1" applyAlignment="1">
      <alignment horizontal="center" vertical="center" wrapText="1"/>
    </xf>
    <xf numFmtId="165" fontId="16" fillId="0" borderId="44" xfId="3" applyFont="1" applyBorder="1" applyAlignment="1">
      <alignment horizontal="center" vertical="center" wrapText="1"/>
    </xf>
    <xf numFmtId="173" fontId="16" fillId="6" borderId="16" xfId="0" applyNumberFormat="1" applyFont="1" applyFill="1" applyBorder="1" applyAlignment="1">
      <alignment horizontal="center" vertical="center" wrapText="1"/>
    </xf>
    <xf numFmtId="9" fontId="16" fillId="0" borderId="31" xfId="2" applyFont="1" applyBorder="1" applyAlignment="1">
      <alignment horizontal="center" vertical="center" wrapText="1"/>
    </xf>
    <xf numFmtId="173" fontId="16" fillId="0" borderId="28" xfId="0" applyNumberFormat="1" applyFont="1" applyBorder="1" applyAlignment="1">
      <alignment horizontal="center" vertical="center" wrapText="1"/>
    </xf>
    <xf numFmtId="166" fontId="16" fillId="0" borderId="6" xfId="1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169" fontId="31" fillId="0" borderId="0" xfId="0" applyNumberFormat="1" applyFont="1" applyAlignment="1">
      <alignment horizontal="center" vertical="center" wrapText="1"/>
    </xf>
    <xf numFmtId="0" fontId="31" fillId="0" borderId="7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165" fontId="16" fillId="0" borderId="11" xfId="0" applyNumberFormat="1" applyFont="1" applyBorder="1" applyAlignment="1">
      <alignment horizontal="center" vertical="center" wrapText="1"/>
    </xf>
    <xf numFmtId="9" fontId="16" fillId="0" borderId="40" xfId="2" applyFont="1" applyBorder="1" applyAlignment="1">
      <alignment horizontal="center" vertical="center" wrapText="1"/>
    </xf>
    <xf numFmtId="173" fontId="16" fillId="0" borderId="47" xfId="0" applyNumberFormat="1" applyFont="1" applyBorder="1" applyAlignment="1">
      <alignment horizontal="center" vertical="center" wrapText="1"/>
    </xf>
    <xf numFmtId="9" fontId="16" fillId="0" borderId="46" xfId="2" applyFont="1" applyBorder="1" applyAlignment="1">
      <alignment horizontal="center" vertical="center" wrapText="1"/>
    </xf>
    <xf numFmtId="173" fontId="16" fillId="0" borderId="44" xfId="0" applyNumberFormat="1" applyFont="1" applyBorder="1" applyAlignment="1">
      <alignment horizontal="center" vertical="center" wrapText="1"/>
    </xf>
    <xf numFmtId="165" fontId="16" fillId="0" borderId="8" xfId="0" applyNumberFormat="1" applyFont="1" applyBorder="1" applyAlignment="1">
      <alignment horizontal="center" vertical="center" wrapText="1"/>
    </xf>
    <xf numFmtId="9" fontId="16" fillId="0" borderId="25" xfId="2" applyFont="1" applyBorder="1" applyAlignment="1">
      <alignment horizontal="center" vertical="center" wrapText="1"/>
    </xf>
    <xf numFmtId="173" fontId="16" fillId="0" borderId="45" xfId="0" applyNumberFormat="1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169" fontId="31" fillId="0" borderId="20" xfId="0" applyNumberFormat="1" applyFont="1" applyBorder="1" applyAlignment="1">
      <alignment horizontal="center" vertical="center" wrapText="1"/>
    </xf>
    <xf numFmtId="169" fontId="31" fillId="0" borderId="18" xfId="0" applyNumberFormat="1" applyFont="1" applyBorder="1" applyAlignment="1">
      <alignment horizontal="center" vertical="center" wrapText="1"/>
    </xf>
    <xf numFmtId="9" fontId="16" fillId="0" borderId="3" xfId="2" applyFont="1" applyBorder="1" applyAlignment="1">
      <alignment horizontal="center" vertical="center" wrapText="1"/>
    </xf>
    <xf numFmtId="165" fontId="16" fillId="4" borderId="3" xfId="3" applyFont="1" applyFill="1" applyBorder="1" applyAlignment="1">
      <alignment horizontal="center" vertical="center" wrapText="1"/>
    </xf>
    <xf numFmtId="10" fontId="16" fillId="0" borderId="3" xfId="2" applyNumberFormat="1" applyFont="1" applyBorder="1" applyAlignment="1">
      <alignment horizontal="center" vertical="center" wrapText="1"/>
    </xf>
    <xf numFmtId="165" fontId="16" fillId="0" borderId="3" xfId="3" applyFont="1" applyBorder="1" applyAlignment="1">
      <alignment horizontal="center" vertical="center" wrapText="1"/>
    </xf>
    <xf numFmtId="165" fontId="16" fillId="0" borderId="4" xfId="3" applyFont="1" applyBorder="1" applyAlignment="1">
      <alignment horizontal="center" vertical="center" wrapText="1"/>
    </xf>
    <xf numFmtId="9" fontId="16" fillId="0" borderId="1" xfId="2" applyFont="1" applyBorder="1" applyAlignment="1">
      <alignment horizontal="center" vertical="center" wrapText="1"/>
    </xf>
    <xf numFmtId="165" fontId="16" fillId="4" borderId="1" xfId="3" applyFont="1" applyFill="1" applyBorder="1" applyAlignment="1">
      <alignment horizontal="center" vertical="center" wrapText="1"/>
    </xf>
    <xf numFmtId="10" fontId="16" fillId="0" borderId="1" xfId="2" applyNumberFormat="1" applyFont="1" applyBorder="1" applyAlignment="1">
      <alignment horizontal="center" vertical="center" wrapText="1"/>
    </xf>
    <xf numFmtId="170" fontId="16" fillId="0" borderId="1" xfId="2" applyNumberFormat="1" applyFont="1" applyBorder="1" applyAlignment="1">
      <alignment horizontal="center" vertical="center" wrapText="1"/>
    </xf>
    <xf numFmtId="165" fontId="16" fillId="6" borderId="1" xfId="3" applyFont="1" applyFill="1" applyBorder="1" applyAlignment="1">
      <alignment horizontal="center" vertical="center" wrapText="1"/>
    </xf>
    <xf numFmtId="10" fontId="16" fillId="0" borderId="8" xfId="2" applyNumberFormat="1" applyFont="1" applyBorder="1" applyAlignment="1">
      <alignment horizontal="center" vertical="center" wrapText="1"/>
    </xf>
    <xf numFmtId="165" fontId="16" fillId="0" borderId="8" xfId="3" applyFont="1" applyBorder="1" applyAlignment="1">
      <alignment horizontal="center" vertical="center" wrapText="1"/>
    </xf>
    <xf numFmtId="165" fontId="16" fillId="0" borderId="9" xfId="3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167" fontId="16" fillId="2" borderId="21" xfId="2" applyNumberFormat="1" applyFont="1" applyFill="1" applyBorder="1" applyAlignment="1">
      <alignment horizontal="center" vertical="center" wrapText="1"/>
    </xf>
    <xf numFmtId="169" fontId="16" fillId="2" borderId="21" xfId="0" applyNumberFormat="1" applyFont="1" applyFill="1" applyBorder="1" applyAlignment="1">
      <alignment horizontal="center" vertical="center" wrapText="1"/>
    </xf>
    <xf numFmtId="10" fontId="16" fillId="2" borderId="21" xfId="2" applyNumberFormat="1" applyFont="1" applyFill="1" applyBorder="1" applyAlignment="1">
      <alignment horizontal="center" vertical="center" wrapText="1"/>
    </xf>
    <xf numFmtId="165" fontId="16" fillId="0" borderId="21" xfId="3" applyFont="1" applyBorder="1" applyAlignment="1">
      <alignment horizontal="center" vertical="center" wrapText="1"/>
    </xf>
    <xf numFmtId="165" fontId="16" fillId="0" borderId="33" xfId="3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167" fontId="16" fillId="0" borderId="28" xfId="2" applyNumberFormat="1" applyFont="1" applyBorder="1" applyAlignment="1">
      <alignment horizontal="center" vertical="center" wrapText="1"/>
    </xf>
    <xf numFmtId="169" fontId="16" fillId="0" borderId="28" xfId="0" applyNumberFormat="1" applyFont="1" applyBorder="1" applyAlignment="1">
      <alignment horizontal="center" vertical="center" wrapText="1"/>
    </xf>
    <xf numFmtId="10" fontId="16" fillId="0" borderId="28" xfId="2" applyNumberFormat="1" applyFont="1" applyBorder="1" applyAlignment="1">
      <alignment horizontal="center" vertical="center" wrapText="1"/>
    </xf>
    <xf numFmtId="165" fontId="16" fillId="0" borderId="28" xfId="3" applyFont="1" applyBorder="1" applyAlignment="1">
      <alignment horizontal="center" vertical="center" wrapText="1"/>
    </xf>
    <xf numFmtId="165" fontId="16" fillId="0" borderId="29" xfId="3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9" fontId="16" fillId="2" borderId="17" xfId="2" applyFont="1" applyFill="1" applyBorder="1" applyAlignment="1">
      <alignment horizontal="center" vertical="center" wrapText="1"/>
    </xf>
    <xf numFmtId="169" fontId="16" fillId="2" borderId="17" xfId="0" applyNumberFormat="1" applyFont="1" applyFill="1" applyBorder="1" applyAlignment="1">
      <alignment horizontal="center" vertical="center" wrapText="1"/>
    </xf>
    <xf numFmtId="10" fontId="16" fillId="2" borderId="17" xfId="2" applyNumberFormat="1" applyFont="1" applyFill="1" applyBorder="1" applyAlignment="1">
      <alignment horizontal="center" vertical="center" wrapText="1"/>
    </xf>
    <xf numFmtId="165" fontId="16" fillId="0" borderId="17" xfId="3" applyFont="1" applyBorder="1" applyAlignment="1">
      <alignment horizontal="center" vertical="center" wrapText="1"/>
    </xf>
    <xf numFmtId="165" fontId="16" fillId="0" borderId="32" xfId="3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165" fontId="34" fillId="0" borderId="11" xfId="3" applyFont="1" applyBorder="1" applyAlignment="1">
      <alignment horizontal="center" vertical="center" wrapText="1"/>
    </xf>
    <xf numFmtId="165" fontId="34" fillId="0" borderId="12" xfId="3" applyFont="1" applyBorder="1" applyAlignment="1">
      <alignment horizontal="center" vertical="center" wrapText="1"/>
    </xf>
    <xf numFmtId="1" fontId="16" fillId="0" borderId="30" xfId="0" applyNumberFormat="1" applyFont="1" applyBorder="1" applyAlignment="1">
      <alignment horizontal="center" vertical="center" wrapText="1"/>
    </xf>
    <xf numFmtId="165" fontId="16" fillId="0" borderId="16" xfId="3" applyFont="1" applyBorder="1" applyAlignment="1">
      <alignment horizontal="center" vertical="center" wrapText="1"/>
    </xf>
    <xf numFmtId="165" fontId="16" fillId="0" borderId="31" xfId="3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165" fontId="34" fillId="2" borderId="8" xfId="3" applyFont="1" applyFill="1" applyBorder="1" applyAlignment="1">
      <alignment horizontal="center" vertical="center" wrapText="1"/>
    </xf>
    <xf numFmtId="165" fontId="34" fillId="0" borderId="9" xfId="3" applyFont="1" applyBorder="1" applyAlignment="1">
      <alignment horizontal="center" vertical="center" wrapText="1"/>
    </xf>
    <xf numFmtId="165" fontId="16" fillId="0" borderId="45" xfId="3" applyFont="1" applyBorder="1" applyAlignment="1">
      <alignment horizontal="center" vertical="center" wrapText="1"/>
    </xf>
    <xf numFmtId="1" fontId="16" fillId="0" borderId="27" xfId="0" applyNumberFormat="1" applyFont="1" applyBorder="1" applyAlignment="1">
      <alignment horizontal="center" vertical="center" wrapText="1"/>
    </xf>
    <xf numFmtId="165" fontId="16" fillId="2" borderId="28" xfId="3" applyFont="1" applyFill="1" applyBorder="1" applyAlignment="1">
      <alignment horizontal="center" vertical="center" wrapText="1"/>
    </xf>
    <xf numFmtId="165" fontId="16" fillId="2" borderId="29" xfId="3" applyFont="1" applyFill="1" applyBorder="1" applyAlignment="1">
      <alignment horizontal="center" vertical="center" wrapText="1"/>
    </xf>
    <xf numFmtId="1" fontId="16" fillId="2" borderId="27" xfId="0" applyNumberFormat="1" applyFont="1" applyFill="1" applyBorder="1" applyAlignment="1">
      <alignment horizontal="center" vertical="center" wrapText="1"/>
    </xf>
    <xf numFmtId="1" fontId="16" fillId="2" borderId="39" xfId="0" applyNumberFormat="1" applyFont="1" applyFill="1" applyBorder="1" applyAlignment="1">
      <alignment horizontal="center" vertical="center" wrapText="1"/>
    </xf>
    <xf numFmtId="165" fontId="16" fillId="0" borderId="20" xfId="3" applyFont="1" applyBorder="1" applyAlignment="1">
      <alignment horizontal="center" vertical="center" wrapText="1"/>
    </xf>
    <xf numFmtId="165" fontId="16" fillId="2" borderId="41" xfId="3" applyFont="1" applyFill="1" applyBorder="1" applyAlignment="1">
      <alignment horizontal="center" vertical="center" wrapText="1"/>
    </xf>
    <xf numFmtId="165" fontId="16" fillId="0" borderId="0" xfId="3" applyFont="1" applyAlignment="1">
      <alignment horizontal="center" vertical="center" wrapText="1"/>
    </xf>
    <xf numFmtId="165" fontId="16" fillId="0" borderId="2" xfId="3" applyFont="1" applyBorder="1" applyAlignment="1">
      <alignment horizontal="center" vertical="center" wrapText="1"/>
    </xf>
    <xf numFmtId="173" fontId="35" fillId="0" borderId="0" xfId="0" applyNumberFormat="1" applyFont="1" applyAlignment="1">
      <alignment horizontal="center" vertical="center" wrapText="1"/>
    </xf>
    <xf numFmtId="165" fontId="16" fillId="0" borderId="7" xfId="3" applyFont="1" applyBorder="1" applyAlignment="1">
      <alignment horizontal="center" vertical="center" wrapText="1"/>
    </xf>
    <xf numFmtId="171" fontId="36" fillId="0" borderId="30" xfId="1" applyNumberFormat="1" applyFont="1" applyBorder="1"/>
    <xf numFmtId="0" fontId="0" fillId="5" borderId="0" xfId="0" applyFill="1"/>
    <xf numFmtId="171" fontId="0" fillId="5" borderId="0" xfId="0" applyNumberFormat="1" applyFill="1"/>
    <xf numFmtId="165" fontId="0" fillId="0" borderId="1" xfId="3" applyFont="1" applyFill="1" applyBorder="1" applyAlignment="1">
      <alignment horizontal="center" vertical="center" wrapText="1"/>
    </xf>
    <xf numFmtId="165" fontId="2" fillId="0" borderId="6" xfId="3" applyFont="1" applyFill="1" applyBorder="1" applyAlignment="1">
      <alignment horizontal="center" vertical="center" wrapText="1"/>
    </xf>
    <xf numFmtId="10" fontId="18" fillId="0" borderId="6" xfId="2" applyNumberFormat="1" applyFont="1" applyFill="1" applyBorder="1"/>
    <xf numFmtId="174" fontId="0" fillId="0" borderId="0" xfId="0" applyNumberFormat="1"/>
    <xf numFmtId="171" fontId="0" fillId="0" borderId="0" xfId="0" applyNumberFormat="1"/>
    <xf numFmtId="166" fontId="0" fillId="4" borderId="42" xfId="1" applyFont="1" applyFill="1" applyBorder="1" applyAlignment="1">
      <alignment horizontal="center" vertical="center" wrapText="1"/>
    </xf>
    <xf numFmtId="166" fontId="13" fillId="4" borderId="42" xfId="1" applyFont="1" applyFill="1" applyBorder="1" applyAlignment="1">
      <alignment vertical="top" wrapText="1"/>
    </xf>
    <xf numFmtId="166" fontId="0" fillId="0" borderId="0" xfId="1" applyFont="1"/>
    <xf numFmtId="0" fontId="1" fillId="0" borderId="0" xfId="0" applyFont="1" applyAlignment="1">
      <alignment horizontal="center" vertical="center" wrapText="1"/>
    </xf>
    <xf numFmtId="169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73" fontId="0" fillId="4" borderId="1" xfId="0" applyNumberFormat="1" applyFill="1" applyBorder="1" applyAlignment="1">
      <alignment horizontal="center" vertical="center" wrapText="1"/>
    </xf>
    <xf numFmtId="173" fontId="0" fillId="0" borderId="16" xfId="0" applyNumberFormat="1" applyBorder="1" applyAlignment="1">
      <alignment horizontal="center" vertical="center" wrapText="1"/>
    </xf>
    <xf numFmtId="173" fontId="0" fillId="0" borderId="28" xfId="0" applyNumberFormat="1" applyBorder="1" applyAlignment="1">
      <alignment horizontal="center" vertical="center" wrapText="1"/>
    </xf>
    <xf numFmtId="173" fontId="0" fillId="6" borderId="1" xfId="0" applyNumberFormat="1" applyFill="1" applyBorder="1" applyAlignment="1">
      <alignment horizontal="center" vertical="center" wrapText="1"/>
    </xf>
    <xf numFmtId="173" fontId="0" fillId="6" borderId="16" xfId="0" applyNumberFormat="1" applyFill="1" applyBorder="1" applyAlignment="1">
      <alignment horizontal="center" vertical="center" wrapText="1"/>
    </xf>
    <xf numFmtId="165" fontId="0" fillId="0" borderId="0" xfId="3" applyFont="1" applyFill="1" applyBorder="1" applyAlignment="1">
      <alignment horizontal="center" vertical="center" wrapText="1"/>
    </xf>
    <xf numFmtId="165" fontId="0" fillId="0" borderId="54" xfId="3" applyFont="1" applyFill="1" applyBorder="1" applyAlignment="1">
      <alignment horizontal="center" vertical="center" wrapText="1"/>
    </xf>
    <xf numFmtId="165" fontId="0" fillId="0" borderId="55" xfId="3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0" fillId="0" borderId="11" xfId="3" quotePrefix="1" applyNumberFormat="1" applyFont="1" applyFill="1" applyBorder="1" applyAlignment="1">
      <alignment horizontal="center" vertical="center" wrapText="1"/>
    </xf>
    <xf numFmtId="171" fontId="24" fillId="0" borderId="5" xfId="1" applyNumberFormat="1" applyFont="1" applyFill="1" applyBorder="1"/>
    <xf numFmtId="165" fontId="13" fillId="0" borderId="1" xfId="3" applyFont="1" applyFill="1" applyBorder="1" applyAlignment="1">
      <alignment horizontal="center" vertical="center" wrapText="1"/>
    </xf>
    <xf numFmtId="165" fontId="13" fillId="0" borderId="1" xfId="3" applyFont="1" applyBorder="1" applyAlignment="1">
      <alignment horizontal="center" vertical="center" wrapText="1"/>
    </xf>
    <xf numFmtId="165" fontId="0" fillId="0" borderId="16" xfId="3" applyFont="1" applyFill="1" applyBorder="1" applyAlignment="1">
      <alignment horizontal="center" vertical="center" wrapText="1"/>
    </xf>
    <xf numFmtId="165" fontId="13" fillId="0" borderId="16" xfId="3" applyFont="1" applyFill="1" applyBorder="1" applyAlignment="1">
      <alignment horizontal="center" vertical="center" wrapText="1"/>
    </xf>
    <xf numFmtId="165" fontId="2" fillId="0" borderId="31" xfId="3" applyFont="1" applyFill="1" applyBorder="1" applyAlignment="1">
      <alignment horizontal="center" vertical="center" wrapText="1"/>
    </xf>
    <xf numFmtId="10" fontId="18" fillId="0" borderId="31" xfId="2" applyNumberFormat="1" applyFont="1" applyFill="1" applyBorder="1"/>
    <xf numFmtId="165" fontId="0" fillId="0" borderId="11" xfId="3" quotePrefix="1" applyFont="1" applyBorder="1" applyAlignment="1">
      <alignment horizontal="center" vertical="center" wrapText="1"/>
    </xf>
    <xf numFmtId="171" fontId="37" fillId="0" borderId="5" xfId="1" applyNumberFormat="1" applyFont="1" applyBorder="1"/>
    <xf numFmtId="171" fontId="37" fillId="0" borderId="5" xfId="1" applyNumberFormat="1" applyFont="1" applyFill="1" applyBorder="1"/>
    <xf numFmtId="171" fontId="37" fillId="0" borderId="30" xfId="1" applyNumberFormat="1" applyFont="1" applyFill="1" applyBorder="1"/>
    <xf numFmtId="166" fontId="13" fillId="9" borderId="44" xfId="1" applyFont="1" applyFill="1" applyBorder="1"/>
    <xf numFmtId="9" fontId="0" fillId="4" borderId="1" xfId="2" applyFont="1" applyFill="1" applyBorder="1" applyAlignment="1">
      <alignment horizontal="center" vertical="center" wrapText="1"/>
    </xf>
    <xf numFmtId="167" fontId="0" fillId="4" borderId="1" xfId="2" applyNumberFormat="1" applyFont="1" applyFill="1" applyBorder="1" applyAlignment="1">
      <alignment horizontal="center" vertical="center" wrapText="1"/>
    </xf>
    <xf numFmtId="167" fontId="0" fillId="4" borderId="8" xfId="2" applyNumberFormat="1" applyFont="1" applyFill="1" applyBorder="1" applyAlignment="1">
      <alignment horizontal="center" vertical="center" wrapText="1"/>
    </xf>
    <xf numFmtId="171" fontId="0" fillId="0" borderId="0" xfId="1" applyNumberFormat="1" applyFont="1" applyAlignment="1">
      <alignment horizontal="center" vertical="center" wrapText="1"/>
    </xf>
    <xf numFmtId="169" fontId="0" fillId="0" borderId="5" xfId="0" applyNumberFormat="1" applyBorder="1" applyAlignment="1">
      <alignment horizontal="center" vertical="center" wrapText="1"/>
    </xf>
    <xf numFmtId="173" fontId="0" fillId="4" borderId="11" xfId="0" applyNumberForma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0" xfId="0" applyFill="1"/>
    <xf numFmtId="10" fontId="0" fillId="4" borderId="3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vertical="top" wrapText="1"/>
    </xf>
    <xf numFmtId="174" fontId="0" fillId="6" borderId="1" xfId="0" applyNumberFormat="1" applyFill="1" applyBorder="1"/>
    <xf numFmtId="9" fontId="0" fillId="6" borderId="1" xfId="2" applyFont="1" applyFill="1" applyBorder="1"/>
    <xf numFmtId="171" fontId="0" fillId="6" borderId="1" xfId="1" applyNumberFormat="1" applyFont="1" applyFill="1" applyBorder="1"/>
    <xf numFmtId="0" fontId="0" fillId="8" borderId="1" xfId="0" applyFill="1" applyBorder="1"/>
    <xf numFmtId="167" fontId="0" fillId="6" borderId="1" xfId="2" applyNumberFormat="1" applyFont="1" applyFill="1" applyBorder="1"/>
    <xf numFmtId="174" fontId="0" fillId="0" borderId="1" xfId="0" applyNumberFormat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71" fontId="0" fillId="0" borderId="1" xfId="0" applyNumberFormat="1" applyBorder="1"/>
    <xf numFmtId="171" fontId="0" fillId="8" borderId="1" xfId="0" applyNumberFormat="1" applyFill="1" applyBorder="1"/>
    <xf numFmtId="9" fontId="0" fillId="0" borderId="1" xfId="2" applyFont="1" applyFill="1" applyBorder="1"/>
    <xf numFmtId="9" fontId="0" fillId="8" borderId="1" xfId="2" applyFont="1" applyFill="1" applyBorder="1"/>
    <xf numFmtId="174" fontId="0" fillId="6" borderId="11" xfId="0" applyNumberFormat="1" applyFill="1" applyBorder="1"/>
    <xf numFmtId="0" fontId="0" fillId="6" borderId="11" xfId="0" applyFill="1" applyBorder="1"/>
    <xf numFmtId="174" fontId="0" fillId="0" borderId="11" xfId="0" applyNumberFormat="1" applyBorder="1"/>
    <xf numFmtId="9" fontId="0" fillId="6" borderId="11" xfId="2" applyFont="1" applyFill="1" applyBorder="1"/>
    <xf numFmtId="10" fontId="0" fillId="6" borderId="11" xfId="0" applyNumberFormat="1" applyFill="1" applyBorder="1"/>
    <xf numFmtId="9" fontId="0" fillId="6" borderId="11" xfId="0" applyNumberFormat="1" applyFill="1" applyBorder="1"/>
    <xf numFmtId="171" fontId="0" fillId="6" borderId="11" xfId="1" applyNumberFormat="1" applyFont="1" applyFill="1" applyBorder="1"/>
    <xf numFmtId="0" fontId="0" fillId="0" borderId="11" xfId="0" applyBorder="1"/>
    <xf numFmtId="0" fontId="0" fillId="8" borderId="11" xfId="0" applyFill="1" applyBorder="1"/>
    <xf numFmtId="0" fontId="0" fillId="8" borderId="28" xfId="0" applyFill="1" applyBorder="1" applyAlignment="1">
      <alignment vertical="top" wrapText="1"/>
    </xf>
    <xf numFmtId="0" fontId="0" fillId="0" borderId="15" xfId="0" applyBorder="1" applyAlignment="1">
      <alignment vertical="top" wrapText="1"/>
    </xf>
    <xf numFmtId="171" fontId="0" fillId="6" borderId="1" xfId="2" applyNumberFormat="1" applyFont="1" applyFill="1" applyBorder="1"/>
    <xf numFmtId="0" fontId="0" fillId="4" borderId="42" xfId="0" applyFill="1" applyBorder="1" applyAlignment="1">
      <alignment horizontal="center" vertical="center" wrapText="1"/>
    </xf>
    <xf numFmtId="173" fontId="0" fillId="0" borderId="11" xfId="0" applyNumberFormat="1" applyBorder="1"/>
    <xf numFmtId="0" fontId="0" fillId="0" borderId="4" xfId="0" applyBorder="1" applyAlignment="1">
      <alignment horizontal="center" vertical="center" wrapText="1"/>
    </xf>
    <xf numFmtId="166" fontId="0" fillId="0" borderId="7" xfId="0" applyNumberFormat="1" applyBorder="1"/>
    <xf numFmtId="166" fontId="0" fillId="0" borderId="9" xfId="0" applyNumberFormat="1" applyBorder="1"/>
    <xf numFmtId="0" fontId="15" fillId="0" borderId="0" xfId="0" applyFont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0" fillId="0" borderId="21" xfId="3" quotePrefix="1" applyNumberFormat="1" applyFont="1" applyFill="1" applyBorder="1" applyAlignment="1">
      <alignment horizontal="center" vertical="center" wrapText="1"/>
    </xf>
    <xf numFmtId="0" fontId="0" fillId="0" borderId="21" xfId="3" quotePrefix="1" applyNumberFormat="1" applyFont="1" applyBorder="1" applyAlignment="1">
      <alignment horizontal="center" vertical="center" wrapText="1"/>
    </xf>
    <xf numFmtId="0" fontId="0" fillId="6" borderId="11" xfId="3" quotePrefix="1" applyNumberFormat="1" applyFont="1" applyFill="1" applyBorder="1" applyAlignment="1">
      <alignment horizontal="center" vertical="center" wrapText="1"/>
    </xf>
    <xf numFmtId="171" fontId="0" fillId="0" borderId="1" xfId="1" applyNumberFormat="1" applyFont="1" applyFill="1" applyBorder="1" applyAlignment="1">
      <alignment horizontal="center" vertical="center" wrapText="1"/>
    </xf>
    <xf numFmtId="169" fontId="0" fillId="3" borderId="26" xfId="0" applyNumberFormat="1" applyFill="1" applyBorder="1" applyAlignment="1">
      <alignment horizontal="center" vertical="center" wrapText="1"/>
    </xf>
    <xf numFmtId="169" fontId="0" fillId="3" borderId="50" xfId="0" applyNumberFormat="1" applyFill="1" applyBorder="1" applyAlignment="1">
      <alignment horizontal="center" vertical="center" wrapText="1"/>
    </xf>
    <xf numFmtId="169" fontId="16" fillId="3" borderId="46" xfId="0" applyNumberFormat="1" applyFont="1" applyFill="1" applyBorder="1" applyAlignment="1">
      <alignment horizontal="center" vertical="center" wrapText="1"/>
    </xf>
    <xf numFmtId="9" fontId="7" fillId="4" borderId="57" xfId="2" applyFont="1" applyFill="1" applyBorder="1" applyAlignment="1">
      <alignment horizontal="center" vertical="center" wrapText="1"/>
    </xf>
    <xf numFmtId="171" fontId="0" fillId="6" borderId="1" xfId="1" applyNumberFormat="1" applyFont="1" applyFill="1" applyBorder="1" applyAlignment="1">
      <alignment horizontal="left" vertical="center" wrapText="1"/>
    </xf>
    <xf numFmtId="1" fontId="0" fillId="6" borderId="10" xfId="0" applyNumberFormat="1" applyFill="1" applyBorder="1" applyAlignment="1">
      <alignment horizontal="center" vertical="center" wrapText="1"/>
    </xf>
    <xf numFmtId="165" fontId="2" fillId="0" borderId="50" xfId="3" applyFont="1" applyFill="1" applyBorder="1" applyAlignment="1">
      <alignment horizontal="center" vertical="center" wrapText="1"/>
    </xf>
    <xf numFmtId="165" fontId="13" fillId="0" borderId="38" xfId="3" applyFont="1" applyFill="1" applyBorder="1" applyAlignment="1">
      <alignment horizontal="center" vertical="center" wrapText="1"/>
    </xf>
    <xf numFmtId="165" fontId="13" fillId="0" borderId="58" xfId="3" applyFont="1" applyFill="1" applyBorder="1" applyAlignment="1">
      <alignment horizontal="center" vertical="center" wrapText="1"/>
    </xf>
    <xf numFmtId="165" fontId="2" fillId="0" borderId="59" xfId="3" applyFont="1" applyFill="1" applyBorder="1" applyAlignment="1">
      <alignment horizontal="center" vertical="center" wrapText="1"/>
    </xf>
    <xf numFmtId="169" fontId="2" fillId="0" borderId="14" xfId="0" applyNumberFormat="1" applyFont="1" applyBorder="1" applyAlignment="1">
      <alignment horizontal="center" vertical="top" wrapText="1"/>
    </xf>
    <xf numFmtId="166" fontId="0" fillId="0" borderId="1" xfId="1" applyFont="1" applyFill="1" applyBorder="1"/>
    <xf numFmtId="169" fontId="17" fillId="0" borderId="14" xfId="0" applyNumberFormat="1" applyFont="1" applyBorder="1" applyAlignment="1">
      <alignment horizontal="center" vertical="top" wrapText="1"/>
    </xf>
    <xf numFmtId="173" fontId="18" fillId="0" borderId="50" xfId="0" applyNumberFormat="1" applyFont="1" applyBorder="1"/>
    <xf numFmtId="173" fontId="18" fillId="0" borderId="59" xfId="0" applyNumberFormat="1" applyFont="1" applyBorder="1"/>
    <xf numFmtId="171" fontId="14" fillId="0" borderId="14" xfId="1" applyNumberFormat="1" applyFont="1" applyBorder="1" applyAlignment="1">
      <alignment horizontal="center" vertical="center" wrapText="1"/>
    </xf>
    <xf numFmtId="171" fontId="0" fillId="0" borderId="28" xfId="1" applyNumberFormat="1" applyFont="1" applyBorder="1" applyAlignment="1">
      <alignment vertical="top" wrapText="1"/>
    </xf>
    <xf numFmtId="171" fontId="0" fillId="0" borderId="0" xfId="1" applyNumberFormat="1" applyFont="1"/>
    <xf numFmtId="171" fontId="17" fillId="0" borderId="14" xfId="1" applyNumberFormat="1" applyFont="1" applyFill="1" applyBorder="1" applyAlignment="1">
      <alignment horizontal="center" vertical="top" wrapText="1"/>
    </xf>
    <xf numFmtId="171" fontId="18" fillId="0" borderId="50" xfId="1" applyNumberFormat="1" applyFont="1" applyBorder="1"/>
    <xf numFmtId="171" fontId="18" fillId="0" borderId="50" xfId="1" applyNumberFormat="1" applyFont="1" applyFill="1" applyBorder="1"/>
    <xf numFmtId="171" fontId="18" fillId="0" borderId="59" xfId="1" applyNumberFormat="1" applyFont="1" applyFill="1" applyBorder="1"/>
    <xf numFmtId="171" fontId="18" fillId="0" borderId="59" xfId="1" applyNumberFormat="1" applyFont="1" applyBorder="1"/>
    <xf numFmtId="0" fontId="0" fillId="0" borderId="32" xfId="0" applyBorder="1" applyAlignment="1">
      <alignment horizontal="center" vertical="center" wrapText="1"/>
    </xf>
    <xf numFmtId="0" fontId="13" fillId="0" borderId="1" xfId="0" applyFont="1" applyBorder="1"/>
    <xf numFmtId="0" fontId="0" fillId="6" borderId="3" xfId="0" applyFill="1" applyBorder="1" applyAlignment="1">
      <alignment vertical="top" wrapText="1"/>
    </xf>
    <xf numFmtId="0" fontId="0" fillId="6" borderId="4" xfId="0" applyFill="1" applyBorder="1" applyAlignment="1">
      <alignment vertical="top" wrapText="1"/>
    </xf>
    <xf numFmtId="165" fontId="0" fillId="10" borderId="1" xfId="3" applyFont="1" applyFill="1" applyBorder="1" applyAlignment="1">
      <alignment horizontal="center" vertical="center" wrapText="1"/>
    </xf>
    <xf numFmtId="10" fontId="38" fillId="6" borderId="0" xfId="0" applyNumberFormat="1" applyFont="1" applyFill="1" applyAlignment="1">
      <alignment horizontal="center" vertical="center" wrapText="1"/>
    </xf>
    <xf numFmtId="174" fontId="0" fillId="10" borderId="1" xfId="0" applyNumberFormat="1" applyFill="1" applyBorder="1"/>
    <xf numFmtId="171" fontId="0" fillId="10" borderId="1" xfId="1" applyNumberFormat="1" applyFont="1" applyFill="1" applyBorder="1"/>
    <xf numFmtId="9" fontId="0" fillId="0" borderId="0" xfId="2" applyFont="1"/>
    <xf numFmtId="9" fontId="0" fillId="0" borderId="0" xfId="2" applyFont="1" applyAlignment="1">
      <alignment horizontal="left"/>
    </xf>
    <xf numFmtId="0" fontId="0" fillId="0" borderId="0" xfId="0" applyAlignment="1">
      <alignment horizontal="left"/>
    </xf>
    <xf numFmtId="0" fontId="39" fillId="0" borderId="0" xfId="0" applyFont="1"/>
    <xf numFmtId="9" fontId="38" fillId="6" borderId="1" xfId="2" applyFont="1" applyFill="1" applyBorder="1"/>
    <xf numFmtId="0" fontId="0" fillId="11" borderId="4" xfId="0" applyFill="1" applyBorder="1" applyAlignment="1">
      <alignment vertical="top" wrapText="1"/>
    </xf>
    <xf numFmtId="165" fontId="0" fillId="0" borderId="0" xfId="3" applyFont="1" applyAlignment="1">
      <alignment horizontal="left"/>
    </xf>
    <xf numFmtId="165" fontId="13" fillId="0" borderId="0" xfId="0" applyNumberFormat="1" applyFont="1" applyAlignment="1">
      <alignment horizontal="left"/>
    </xf>
    <xf numFmtId="44" fontId="38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75" fontId="0" fillId="0" borderId="0" xfId="24" applyFont="1"/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vertical="center"/>
    </xf>
    <xf numFmtId="2" fontId="41" fillId="13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173" fontId="13" fillId="0" borderId="1" xfId="0" applyNumberFormat="1" applyFont="1" applyBorder="1" applyAlignment="1">
      <alignment horizontal="center"/>
    </xf>
    <xf numFmtId="176" fontId="13" fillId="0" borderId="1" xfId="24" applyNumberFormat="1" applyFont="1" applyBorder="1" applyAlignment="1">
      <alignment horizontal="center"/>
    </xf>
    <xf numFmtId="164" fontId="13" fillId="0" borderId="1" xfId="0" applyNumberFormat="1" applyFont="1" applyBorder="1" applyAlignment="1">
      <alignment vertical="center"/>
    </xf>
    <xf numFmtId="175" fontId="13" fillId="14" borderId="1" xfId="24" applyFont="1" applyFill="1" applyBorder="1" applyAlignment="1">
      <alignment vertical="center"/>
    </xf>
    <xf numFmtId="175" fontId="13" fillId="0" borderId="1" xfId="24" applyFont="1" applyBorder="1" applyAlignment="1">
      <alignment vertical="center"/>
    </xf>
    <xf numFmtId="175" fontId="13" fillId="0" borderId="1" xfId="0" applyNumberFormat="1" applyFont="1" applyBorder="1" applyAlignment="1">
      <alignment vertical="center"/>
    </xf>
    <xf numFmtId="0" fontId="43" fillId="13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/>
    </xf>
    <xf numFmtId="0" fontId="13" fillId="11" borderId="1" xfId="0" applyFont="1" applyFill="1" applyBorder="1" applyAlignment="1">
      <alignment vertical="center"/>
    </xf>
    <xf numFmtId="3" fontId="13" fillId="0" borderId="1" xfId="0" applyNumberFormat="1" applyFont="1" applyBorder="1" applyAlignment="1">
      <alignment horizontal="center"/>
    </xf>
    <xf numFmtId="3" fontId="44" fillId="0" borderId="1" xfId="0" applyNumberFormat="1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vertical="center" wrapText="1"/>
    </xf>
    <xf numFmtId="0" fontId="44" fillId="16" borderId="1" xfId="0" applyFont="1" applyFill="1" applyBorder="1" applyAlignment="1">
      <alignment horizontal="center" vertical="center" wrapText="1"/>
    </xf>
    <xf numFmtId="0" fontId="44" fillId="17" borderId="1" xfId="0" applyFont="1" applyFill="1" applyBorder="1" applyAlignment="1">
      <alignment horizontal="center" vertical="center" wrapText="1"/>
    </xf>
    <xf numFmtId="0" fontId="44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5" fontId="0" fillId="0" borderId="1" xfId="0" applyNumberFormat="1" applyBorder="1" applyAlignment="1">
      <alignment horizontal="center" vertical="center"/>
    </xf>
    <xf numFmtId="176" fontId="45" fillId="13" borderId="1" xfId="24" applyNumberFormat="1" applyFont="1" applyFill="1" applyBorder="1" applyAlignment="1">
      <alignment horizontal="center" vertical="center"/>
    </xf>
    <xf numFmtId="173" fontId="7" fillId="0" borderId="1" xfId="24" applyNumberFormat="1" applyFont="1" applyBorder="1"/>
    <xf numFmtId="175" fontId="0" fillId="0" borderId="1" xfId="0" applyNumberFormat="1" applyBorder="1"/>
    <xf numFmtId="173" fontId="7" fillId="16" borderId="1" xfId="24" applyNumberFormat="1" applyFont="1" applyFill="1" applyBorder="1"/>
    <xf numFmtId="175" fontId="0" fillId="17" borderId="1" xfId="0" applyNumberFormat="1" applyFill="1" applyBorder="1"/>
    <xf numFmtId="173" fontId="0" fillId="7" borderId="1" xfId="0" applyNumberFormat="1" applyFill="1" applyBorder="1"/>
    <xf numFmtId="175" fontId="0" fillId="0" borderId="0" xfId="0" applyNumberFormat="1"/>
    <xf numFmtId="175" fontId="38" fillId="0" borderId="1" xfId="24" applyFont="1" applyBorder="1" applyAlignment="1">
      <alignment vertical="center"/>
    </xf>
    <xf numFmtId="43" fontId="0" fillId="0" borderId="0" xfId="0" applyNumberFormat="1"/>
    <xf numFmtId="0" fontId="46" fillId="0" borderId="0" xfId="0" applyFont="1"/>
    <xf numFmtId="1" fontId="0" fillId="0" borderId="0" xfId="0" applyNumberFormat="1"/>
    <xf numFmtId="175" fontId="47" fillId="0" borderId="62" xfId="24" applyFont="1" applyFill="1" applyBorder="1" applyAlignment="1">
      <alignment horizontal="left"/>
    </xf>
    <xf numFmtId="176" fontId="48" fillId="0" borderId="62" xfId="24" applyNumberFormat="1" applyFont="1" applyFill="1" applyBorder="1" applyAlignment="1">
      <alignment horizontal="center"/>
    </xf>
    <xf numFmtId="177" fontId="49" fillId="0" borderId="62" xfId="24" applyNumberFormat="1" applyFont="1" applyFill="1" applyBorder="1" applyAlignment="1">
      <alignment horizontal="center"/>
    </xf>
    <xf numFmtId="175" fontId="49" fillId="0" borderId="62" xfId="24" applyFont="1" applyFill="1" applyBorder="1" applyAlignment="1">
      <alignment horizontal="center"/>
    </xf>
    <xf numFmtId="175" fontId="48" fillId="0" borderId="62" xfId="24" applyFont="1" applyFill="1" applyBorder="1" applyAlignment="1">
      <alignment horizontal="center"/>
    </xf>
    <xf numFmtId="177" fontId="48" fillId="0" borderId="62" xfId="24" applyNumberFormat="1" applyFont="1" applyFill="1" applyBorder="1" applyAlignment="1">
      <alignment horizontal="center"/>
    </xf>
    <xf numFmtId="175" fontId="48" fillId="0" borderId="11" xfId="24" applyFont="1" applyFill="1" applyBorder="1" applyAlignment="1">
      <alignment horizontal="center"/>
    </xf>
    <xf numFmtId="178" fontId="48" fillId="0" borderId="0" xfId="24" applyNumberFormat="1" applyFont="1" applyFill="1" applyAlignment="1"/>
    <xf numFmtId="175" fontId="48" fillId="0" borderId="0" xfId="24" applyFont="1" applyFill="1" applyAlignment="1"/>
    <xf numFmtId="166" fontId="0" fillId="0" borderId="0" xfId="0" applyNumberFormat="1"/>
    <xf numFmtId="175" fontId="49" fillId="0" borderId="0" xfId="24" applyFont="1" applyFill="1" applyAlignment="1">
      <alignment horizontal="center"/>
    </xf>
    <xf numFmtId="175" fontId="48" fillId="0" borderId="63" xfId="24" applyFont="1" applyFill="1" applyBorder="1" applyAlignment="1"/>
    <xf numFmtId="175" fontId="49" fillId="0" borderId="0" xfId="24" applyFont="1" applyAlignment="1">
      <alignment horizontal="center"/>
    </xf>
    <xf numFmtId="175" fontId="49" fillId="0" borderId="0" xfId="24" applyFont="1" applyFill="1" applyAlignment="1"/>
    <xf numFmtId="0" fontId="13" fillId="0" borderId="0" xfId="0" applyFont="1"/>
    <xf numFmtId="175" fontId="48" fillId="0" borderId="64" xfId="24" applyFont="1" applyFill="1" applyBorder="1" applyAlignment="1">
      <alignment horizontal="center"/>
    </xf>
    <xf numFmtId="176" fontId="48" fillId="0" borderId="64" xfId="24" applyNumberFormat="1" applyFont="1" applyFill="1" applyBorder="1" applyAlignment="1">
      <alignment horizontal="center"/>
    </xf>
    <xf numFmtId="177" fontId="48" fillId="0" borderId="64" xfId="24" applyNumberFormat="1" applyFont="1" applyFill="1" applyBorder="1" applyAlignment="1">
      <alignment horizontal="center"/>
    </xf>
    <xf numFmtId="175" fontId="49" fillId="0" borderId="64" xfId="24" applyFont="1" applyFill="1" applyBorder="1" applyAlignment="1">
      <alignment horizontal="center"/>
    </xf>
    <xf numFmtId="175" fontId="48" fillId="0" borderId="65" xfId="24" applyFont="1" applyFill="1" applyBorder="1" applyAlignment="1">
      <alignment horizontal="center"/>
    </xf>
    <xf numFmtId="175" fontId="48" fillId="0" borderId="1" xfId="24" applyFont="1" applyFill="1" applyBorder="1" applyAlignment="1"/>
    <xf numFmtId="175" fontId="48" fillId="19" borderId="1" xfId="24" applyFont="1" applyFill="1" applyBorder="1" applyAlignment="1"/>
    <xf numFmtId="175" fontId="48" fillId="0" borderId="1" xfId="24" applyFont="1" applyBorder="1" applyAlignment="1"/>
    <xf numFmtId="175" fontId="48" fillId="20" borderId="1" xfId="24" applyFont="1" applyFill="1" applyBorder="1" applyAlignment="1"/>
    <xf numFmtId="175" fontId="48" fillId="21" borderId="1" xfId="24" applyFont="1" applyFill="1" applyBorder="1" applyAlignment="1"/>
    <xf numFmtId="176" fontId="48" fillId="0" borderId="66" xfId="24" applyNumberFormat="1" applyFont="1" applyFill="1" applyBorder="1" applyAlignment="1">
      <alignment horizontal="center"/>
    </xf>
    <xf numFmtId="175" fontId="48" fillId="0" borderId="66" xfId="24" applyFont="1" applyFill="1" applyBorder="1" applyAlignment="1">
      <alignment horizontal="center"/>
    </xf>
    <xf numFmtId="175" fontId="48" fillId="0" borderId="1" xfId="24" applyFont="1" applyFill="1" applyBorder="1" applyAlignment="1">
      <alignment horizontal="center"/>
    </xf>
    <xf numFmtId="44" fontId="0" fillId="0" borderId="0" xfId="0" applyNumberFormat="1"/>
    <xf numFmtId="166" fontId="0" fillId="0" borderId="0" xfId="1" applyFont="1" applyAlignment="1">
      <alignment horizontal="left"/>
    </xf>
    <xf numFmtId="0" fontId="0" fillId="0" borderId="46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38" xfId="0" applyBorder="1" applyAlignment="1">
      <alignment vertical="center"/>
    </xf>
    <xf numFmtId="43" fontId="0" fillId="0" borderId="50" xfId="0" applyNumberFormat="1" applyBorder="1" applyAlignment="1">
      <alignment vertical="center"/>
    </xf>
    <xf numFmtId="179" fontId="0" fillId="0" borderId="0" xfId="0" applyNumberFormat="1"/>
    <xf numFmtId="165" fontId="0" fillId="10" borderId="21" xfId="3" applyFont="1" applyFill="1" applyBorder="1" applyAlignment="1">
      <alignment horizontal="center" vertical="center" wrapText="1"/>
    </xf>
    <xf numFmtId="165" fontId="0" fillId="0" borderId="0" xfId="3" applyFont="1"/>
    <xf numFmtId="180" fontId="0" fillId="0" borderId="0" xfId="3" applyNumberFormat="1" applyFont="1"/>
    <xf numFmtId="180" fontId="0" fillId="0" borderId="0" xfId="0" applyNumberFormat="1"/>
    <xf numFmtId="174" fontId="13" fillId="0" borderId="0" xfId="0" applyNumberFormat="1" applyFont="1"/>
    <xf numFmtId="180" fontId="13" fillId="0" borderId="0" xfId="0" applyNumberFormat="1" applyFont="1"/>
    <xf numFmtId="9" fontId="38" fillId="0" borderId="0" xfId="2" applyFont="1" applyAlignment="1">
      <alignment horizontal="left"/>
    </xf>
    <xf numFmtId="0" fontId="38" fillId="0" borderId="0" xfId="0" applyFont="1"/>
    <xf numFmtId="1" fontId="13" fillId="0" borderId="1" xfId="0" applyNumberFormat="1" applyFont="1" applyBorder="1"/>
    <xf numFmtId="0" fontId="0" fillId="15" borderId="0" xfId="0" applyFill="1" applyAlignment="1">
      <alignment horizontal="left"/>
    </xf>
    <xf numFmtId="0" fontId="39" fillId="0" borderId="67" xfId="0" applyFont="1" applyBorder="1"/>
    <xf numFmtId="9" fontId="0" fillId="0" borderId="67" xfId="2" applyFont="1" applyBorder="1" applyAlignment="1">
      <alignment horizontal="left"/>
    </xf>
    <xf numFmtId="0" fontId="0" fillId="0" borderId="67" xfId="0" applyBorder="1"/>
    <xf numFmtId="171" fontId="0" fillId="0" borderId="67" xfId="1" applyNumberFormat="1" applyFont="1" applyBorder="1" applyAlignment="1">
      <alignment horizontal="left"/>
    </xf>
    <xf numFmtId="9" fontId="20" fillId="0" borderId="67" xfId="2" applyFont="1" applyBorder="1" applyAlignment="1">
      <alignment horizontal="left"/>
    </xf>
    <xf numFmtId="167" fontId="0" fillId="0" borderId="67" xfId="2" applyNumberFormat="1" applyFont="1" applyBorder="1" applyAlignment="1">
      <alignment horizontal="left"/>
    </xf>
    <xf numFmtId="0" fontId="40" fillId="0" borderId="67" xfId="0" applyFont="1" applyBorder="1"/>
    <xf numFmtId="0" fontId="0" fillId="0" borderId="67" xfId="0" applyBorder="1" applyAlignment="1">
      <alignment horizontal="left"/>
    </xf>
    <xf numFmtId="0" fontId="0" fillId="15" borderId="67" xfId="0" applyFill="1" applyBorder="1" applyAlignment="1">
      <alignment horizontal="left"/>
    </xf>
    <xf numFmtId="9" fontId="38" fillId="0" borderId="67" xfId="2" applyFont="1" applyBorder="1" applyAlignment="1">
      <alignment horizontal="left"/>
    </xf>
    <xf numFmtId="0" fontId="38" fillId="0" borderId="67" xfId="0" applyFont="1" applyBorder="1"/>
    <xf numFmtId="9" fontId="13" fillId="0" borderId="0" xfId="2" applyFont="1"/>
    <xf numFmtId="9" fontId="0" fillId="0" borderId="0" xfId="2" applyFont="1" applyBorder="1" applyAlignment="1">
      <alignment horizontal="left"/>
    </xf>
    <xf numFmtId="9" fontId="0" fillId="15" borderId="1" xfId="2" applyFont="1" applyFill="1" applyBorder="1" applyAlignment="1">
      <alignment horizontal="center" vertical="center" wrapText="1"/>
    </xf>
    <xf numFmtId="181" fontId="0" fillId="0" borderId="0" xfId="0" applyNumberFormat="1"/>
    <xf numFmtId="0" fontId="13" fillId="0" borderId="0" xfId="0" applyFont="1" applyAlignment="1">
      <alignment horizontal="left"/>
    </xf>
    <xf numFmtId="181" fontId="38" fillId="7" borderId="1" xfId="0" applyNumberFormat="1" applyFont="1" applyFill="1" applyBorder="1"/>
    <xf numFmtId="182" fontId="0" fillId="0" borderId="0" xfId="0" applyNumberFormat="1"/>
    <xf numFmtId="182" fontId="0" fillId="15" borderId="0" xfId="0" applyNumberFormat="1" applyFill="1"/>
    <xf numFmtId="182" fontId="13" fillId="0" borderId="0" xfId="0" applyNumberFormat="1" applyFont="1"/>
    <xf numFmtId="173" fontId="0" fillId="0" borderId="38" xfId="0" applyNumberFormat="1" applyBorder="1" applyAlignment="1">
      <alignment vertical="center"/>
    </xf>
    <xf numFmtId="167" fontId="0" fillId="0" borderId="1" xfId="2" applyNumberFormat="1" applyFont="1" applyBorder="1" applyAlignment="1">
      <alignment horizontal="center" vertical="center" wrapText="1"/>
    </xf>
    <xf numFmtId="9" fontId="0" fillId="4" borderId="3" xfId="2" applyFont="1" applyFill="1" applyBorder="1" applyAlignment="1">
      <alignment horizontal="center" vertical="center" wrapText="1"/>
    </xf>
    <xf numFmtId="166" fontId="0" fillId="0" borderId="67" xfId="1" applyFont="1" applyBorder="1" applyAlignment="1">
      <alignment horizontal="left"/>
    </xf>
    <xf numFmtId="43" fontId="0" fillId="0" borderId="67" xfId="0" applyNumberFormat="1" applyBorder="1"/>
    <xf numFmtId="43" fontId="13" fillId="0" borderId="0" xfId="0" applyNumberFormat="1" applyFont="1" applyAlignment="1">
      <alignment horizontal="left"/>
    </xf>
    <xf numFmtId="166" fontId="13" fillId="0" borderId="0" xfId="1" applyFont="1" applyAlignment="1">
      <alignment horizontal="left"/>
    </xf>
    <xf numFmtId="2" fontId="0" fillId="15" borderId="67" xfId="0" applyNumberFormat="1" applyFill="1" applyBorder="1" applyAlignment="1">
      <alignment horizontal="left"/>
    </xf>
    <xf numFmtId="181" fontId="42" fillId="11" borderId="0" xfId="0" applyNumberFormat="1" applyFont="1" applyFill="1"/>
    <xf numFmtId="167" fontId="0" fillId="11" borderId="1" xfId="2" applyNumberFormat="1" applyFont="1" applyFill="1" applyBorder="1" applyAlignment="1">
      <alignment horizontal="center" vertical="center" wrapText="1"/>
    </xf>
    <xf numFmtId="175" fontId="20" fillId="11" borderId="1" xfId="0" applyNumberFormat="1" applyFont="1" applyFill="1" applyBorder="1"/>
    <xf numFmtId="0" fontId="13" fillId="0" borderId="0" xfId="0" applyFont="1" applyAlignment="1">
      <alignment horizontal="center"/>
    </xf>
    <xf numFmtId="173" fontId="0" fillId="0" borderId="50" xfId="0" applyNumberFormat="1" applyBorder="1" applyAlignment="1">
      <alignment vertical="center"/>
    </xf>
    <xf numFmtId="0" fontId="44" fillId="7" borderId="67" xfId="0" applyFont="1" applyFill="1" applyBorder="1" applyAlignment="1">
      <alignment horizontal="center" vertical="center" wrapText="1"/>
    </xf>
    <xf numFmtId="173" fontId="0" fillId="7" borderId="67" xfId="0" applyNumberFormat="1" applyFill="1" applyBorder="1"/>
    <xf numFmtId="0" fontId="0" fillId="0" borderId="0" xfId="0" applyAlignment="1">
      <alignment vertical="center"/>
    </xf>
    <xf numFmtId="0" fontId="13" fillId="0" borderId="53" xfId="0" applyFont="1" applyBorder="1" applyAlignment="1">
      <alignment horizontal="center"/>
    </xf>
    <xf numFmtId="0" fontId="13" fillId="0" borderId="67" xfId="0" applyFont="1" applyBorder="1" applyAlignment="1">
      <alignment horizontal="center"/>
    </xf>
    <xf numFmtId="173" fontId="52" fillId="7" borderId="67" xfId="0" applyNumberFormat="1" applyFont="1" applyFill="1" applyBorder="1"/>
    <xf numFmtId="0" fontId="44" fillId="0" borderId="0" xfId="0" applyFont="1" applyAlignment="1">
      <alignment horizontal="center" vertical="center" wrapText="1"/>
    </xf>
    <xf numFmtId="0" fontId="1" fillId="0" borderId="0" xfId="0" applyFont="1"/>
    <xf numFmtId="0" fontId="44" fillId="7" borderId="16" xfId="0" applyFont="1" applyFill="1" applyBorder="1" applyAlignment="1">
      <alignment horizontal="center" vertical="center" wrapText="1"/>
    </xf>
    <xf numFmtId="0" fontId="13" fillId="0" borderId="67" xfId="0" applyFont="1" applyBorder="1"/>
    <xf numFmtId="166" fontId="1" fillId="0" borderId="67" xfId="1" applyFont="1" applyBorder="1"/>
    <xf numFmtId="0" fontId="44" fillId="0" borderId="67" xfId="0" applyFont="1" applyBorder="1"/>
    <xf numFmtId="43" fontId="53" fillId="0" borderId="67" xfId="0" applyNumberFormat="1" applyFont="1" applyBorder="1"/>
    <xf numFmtId="167" fontId="0" fillId="5" borderId="1" xfId="2" applyNumberFormat="1" applyFont="1" applyFill="1" applyBorder="1" applyAlignment="1">
      <alignment horizontal="center" vertical="center" wrapText="1"/>
    </xf>
    <xf numFmtId="167" fontId="0" fillId="5" borderId="8" xfId="2" applyNumberFormat="1" applyFont="1" applyFill="1" applyBorder="1" applyAlignment="1">
      <alignment horizontal="center" vertical="center" wrapText="1"/>
    </xf>
    <xf numFmtId="9" fontId="0" fillId="5" borderId="1" xfId="2" applyFont="1" applyFill="1" applyBorder="1" applyAlignment="1">
      <alignment horizontal="center" vertical="center" wrapText="1"/>
    </xf>
    <xf numFmtId="173" fontId="0" fillId="5" borderId="11" xfId="0" applyNumberFormat="1" applyFill="1" applyBorder="1" applyAlignment="1">
      <alignment horizontal="center" vertical="center" wrapText="1"/>
    </xf>
    <xf numFmtId="9" fontId="0" fillId="5" borderId="3" xfId="2" applyFont="1" applyFill="1" applyBorder="1" applyAlignment="1">
      <alignment horizontal="center" vertical="center" wrapText="1"/>
    </xf>
    <xf numFmtId="9" fontId="0" fillId="5" borderId="6" xfId="2" applyFont="1" applyFill="1" applyBorder="1" applyAlignment="1">
      <alignment horizontal="center" vertical="center" wrapText="1"/>
    </xf>
    <xf numFmtId="171" fontId="0" fillId="6" borderId="21" xfId="1" applyNumberFormat="1" applyFont="1" applyFill="1" applyBorder="1" applyAlignment="1">
      <alignment horizontal="center" vertical="center" wrapText="1"/>
    </xf>
    <xf numFmtId="171" fontId="0" fillId="0" borderId="21" xfId="1" applyNumberFormat="1" applyFont="1" applyFill="1" applyBorder="1" applyAlignment="1">
      <alignment horizontal="center" vertical="center" wrapText="1"/>
    </xf>
    <xf numFmtId="9" fontId="38" fillId="0" borderId="0" xfId="2" applyFont="1"/>
    <xf numFmtId="165" fontId="0" fillId="5" borderId="0" xfId="3" applyFont="1" applyFill="1" applyAlignment="1">
      <alignment horizontal="left"/>
    </xf>
    <xf numFmtId="183" fontId="38" fillId="0" borderId="0" xfId="1" applyNumberFormat="1" applyFont="1" applyAlignment="1">
      <alignment horizontal="left"/>
    </xf>
    <xf numFmtId="0" fontId="44" fillId="0" borderId="67" xfId="0" applyFont="1" applyBorder="1" applyAlignment="1">
      <alignment horizontal="center"/>
    </xf>
    <xf numFmtId="0" fontId="13" fillId="0" borderId="40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184" fontId="0" fillId="0" borderId="0" xfId="0" applyNumberFormat="1"/>
    <xf numFmtId="0" fontId="13" fillId="0" borderId="57" xfId="0" applyFont="1" applyBorder="1" applyAlignment="1">
      <alignment horizontal="center"/>
    </xf>
    <xf numFmtId="173" fontId="13" fillId="0" borderId="59" xfId="0" applyNumberFormat="1" applyFont="1" applyBorder="1" applyAlignment="1">
      <alignment horizontal="center"/>
    </xf>
    <xf numFmtId="176" fontId="13" fillId="0" borderId="59" xfId="24" applyNumberFormat="1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173" fontId="13" fillId="0" borderId="67" xfId="0" applyNumberFormat="1" applyFont="1" applyBorder="1" applyAlignment="1">
      <alignment horizontal="center"/>
    </xf>
    <xf numFmtId="0" fontId="13" fillId="0" borderId="67" xfId="0" applyFont="1" applyBorder="1" applyAlignment="1">
      <alignment horizontal="center" vertical="center"/>
    </xf>
    <xf numFmtId="169" fontId="54" fillId="0" borderId="28" xfId="0" applyNumberFormat="1" applyFont="1" applyBorder="1" applyAlignment="1">
      <alignment horizontal="center" vertical="top" wrapText="1"/>
    </xf>
    <xf numFmtId="181" fontId="13" fillId="0" borderId="0" xfId="0" applyNumberFormat="1" applyFont="1"/>
    <xf numFmtId="165" fontId="53" fillId="0" borderId="67" xfId="3" applyFont="1" applyBorder="1"/>
    <xf numFmtId="165" fontId="53" fillId="0" borderId="67" xfId="3" applyFont="1" applyFill="1" applyBorder="1"/>
    <xf numFmtId="43" fontId="53" fillId="23" borderId="67" xfId="0" applyNumberFormat="1" applyFont="1" applyFill="1" applyBorder="1"/>
    <xf numFmtId="165" fontId="1" fillId="0" borderId="67" xfId="3" applyFont="1" applyBorder="1"/>
    <xf numFmtId="165" fontId="1" fillId="0" borderId="0" xfId="3" applyFont="1"/>
    <xf numFmtId="1" fontId="0" fillId="0" borderId="1" xfId="0" applyNumberFormat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55" fillId="0" borderId="1" xfId="0" applyNumberFormat="1" applyFont="1" applyBorder="1"/>
    <xf numFmtId="0" fontId="56" fillId="0" borderId="0" xfId="0" applyFont="1"/>
    <xf numFmtId="171" fontId="24" fillId="5" borderId="5" xfId="1" applyNumberFormat="1" applyFont="1" applyFill="1" applyBorder="1"/>
    <xf numFmtId="1" fontId="0" fillId="0" borderId="69" xfId="0" applyNumberFormat="1" applyBorder="1" applyAlignment="1">
      <alignment horizontal="center" vertical="center" wrapText="1"/>
    </xf>
    <xf numFmtId="165" fontId="0" fillId="10" borderId="67" xfId="3" applyFont="1" applyFill="1" applyBorder="1" applyAlignment="1">
      <alignment horizontal="center" vertical="center" wrapText="1"/>
    </xf>
    <xf numFmtId="171" fontId="0" fillId="6" borderId="67" xfId="1" applyNumberFormat="1" applyFont="1" applyFill="1" applyBorder="1" applyAlignment="1">
      <alignment horizontal="center" vertical="center" wrapText="1"/>
    </xf>
    <xf numFmtId="171" fontId="0" fillId="0" borderId="67" xfId="1" applyNumberFormat="1" applyFont="1" applyFill="1" applyBorder="1" applyAlignment="1">
      <alignment horizontal="center" vertical="center" wrapText="1"/>
    </xf>
    <xf numFmtId="174" fontId="0" fillId="10" borderId="67" xfId="0" applyNumberFormat="1" applyFill="1" applyBorder="1"/>
    <xf numFmtId="171" fontId="0" fillId="6" borderId="67" xfId="1" applyNumberFormat="1" applyFont="1" applyFill="1" applyBorder="1"/>
    <xf numFmtId="9" fontId="0" fillId="6" borderId="67" xfId="2" applyFont="1" applyFill="1" applyBorder="1"/>
    <xf numFmtId="171" fontId="0" fillId="10" borderId="67" xfId="1" applyNumberFormat="1" applyFont="1" applyFill="1" applyBorder="1"/>
    <xf numFmtId="171" fontId="0" fillId="8" borderId="67" xfId="0" applyNumberFormat="1" applyFill="1" applyBorder="1"/>
    <xf numFmtId="171" fontId="0" fillId="6" borderId="67" xfId="2" applyNumberFormat="1" applyFont="1" applyFill="1" applyBorder="1"/>
    <xf numFmtId="9" fontId="0" fillId="0" borderId="67" xfId="2" applyFont="1" applyFill="1" applyBorder="1"/>
    <xf numFmtId="9" fontId="0" fillId="8" borderId="67" xfId="2" applyFont="1" applyFill="1" applyBorder="1"/>
    <xf numFmtId="165" fontId="0" fillId="0" borderId="67" xfId="3" applyFont="1" applyBorder="1" applyAlignment="1">
      <alignment horizontal="center" vertical="center" wrapText="1"/>
    </xf>
    <xf numFmtId="165" fontId="2" fillId="0" borderId="70" xfId="3" applyFont="1" applyBorder="1" applyAlignment="1">
      <alignment horizontal="center" vertical="center" wrapText="1"/>
    </xf>
    <xf numFmtId="165" fontId="2" fillId="0" borderId="71" xfId="3" applyFont="1" applyFill="1" applyBorder="1" applyAlignment="1">
      <alignment horizontal="center" vertical="center" wrapText="1"/>
    </xf>
    <xf numFmtId="173" fontId="18" fillId="0" borderId="69" xfId="0" applyNumberFormat="1" applyFont="1" applyBorder="1"/>
    <xf numFmtId="173" fontId="18" fillId="0" borderId="71" xfId="0" applyNumberFormat="1" applyFont="1" applyBorder="1"/>
    <xf numFmtId="171" fontId="18" fillId="0" borderId="71" xfId="1" applyNumberFormat="1" applyFont="1" applyBorder="1"/>
    <xf numFmtId="10" fontId="18" fillId="0" borderId="70" xfId="2" applyNumberFormat="1" applyFont="1" applyBorder="1"/>
    <xf numFmtId="171" fontId="37" fillId="0" borderId="69" xfId="1" applyNumberFormat="1" applyFont="1" applyBorder="1"/>
    <xf numFmtId="166" fontId="13" fillId="9" borderId="72" xfId="1" applyFont="1" applyFill="1" applyBorder="1"/>
    <xf numFmtId="171" fontId="24" fillId="0" borderId="69" xfId="1" applyNumberFormat="1" applyFont="1" applyBorder="1"/>
    <xf numFmtId="171" fontId="0" fillId="0" borderId="67" xfId="1" applyNumberFormat="1" applyFont="1" applyBorder="1"/>
    <xf numFmtId="171" fontId="0" fillId="0" borderId="70" xfId="1" applyNumberFormat="1" applyFont="1" applyBorder="1"/>
    <xf numFmtId="171" fontId="24" fillId="0" borderId="69" xfId="1" applyNumberFormat="1" applyFont="1" applyFill="1" applyBorder="1"/>
    <xf numFmtId="44" fontId="38" fillId="0" borderId="0" xfId="0" applyNumberFormat="1" applyFont="1"/>
    <xf numFmtId="9" fontId="0" fillId="15" borderId="67" xfId="2" applyFont="1" applyFill="1" applyBorder="1" applyAlignment="1">
      <alignment horizontal="left"/>
    </xf>
    <xf numFmtId="43" fontId="13" fillId="0" borderId="1" xfId="0" applyNumberFormat="1" applyFont="1" applyBorder="1" applyAlignment="1">
      <alignment vertical="center"/>
    </xf>
    <xf numFmtId="171" fontId="57" fillId="0" borderId="67" xfId="1" applyNumberFormat="1" applyFont="1" applyBorder="1" applyAlignment="1">
      <alignment horizontal="left" vertical="center" wrapText="1"/>
    </xf>
    <xf numFmtId="171" fontId="7" fillId="0" borderId="67" xfId="1" applyNumberFormat="1" applyFont="1" applyBorder="1" applyAlignment="1">
      <alignment horizontal="left"/>
    </xf>
    <xf numFmtId="0" fontId="12" fillId="0" borderId="0" xfId="0" applyFont="1" applyAlignment="1">
      <alignment vertical="center"/>
    </xf>
    <xf numFmtId="165" fontId="53" fillId="23" borderId="67" xfId="3" applyFont="1" applyFill="1" applyBorder="1"/>
    <xf numFmtId="0" fontId="44" fillId="24" borderId="68" xfId="0" applyFont="1" applyFill="1" applyBorder="1" applyAlignment="1">
      <alignment horizontal="center" vertical="center" wrapText="1"/>
    </xf>
    <xf numFmtId="0" fontId="44" fillId="24" borderId="0" xfId="0" applyFont="1" applyFill="1" applyAlignment="1">
      <alignment horizontal="center" vertical="center" wrapText="1"/>
    </xf>
    <xf numFmtId="0" fontId="13" fillId="24" borderId="0" xfId="0" applyFont="1" applyFill="1" applyAlignment="1">
      <alignment horizontal="center" vertical="center" wrapText="1"/>
    </xf>
    <xf numFmtId="2" fontId="0" fillId="0" borderId="0" xfId="0" applyNumberFormat="1"/>
    <xf numFmtId="182" fontId="38" fillId="0" borderId="0" xfId="0" applyNumberFormat="1" applyFont="1"/>
    <xf numFmtId="0" fontId="20" fillId="0" borderId="0" xfId="0" applyFont="1"/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67" xfId="0" applyFont="1" applyBorder="1" applyAlignment="1">
      <alignment horizontal="center"/>
    </xf>
    <xf numFmtId="0" fontId="13" fillId="23" borderId="53" xfId="0" applyFont="1" applyFill="1" applyBorder="1" applyAlignment="1">
      <alignment horizontal="center"/>
    </xf>
    <xf numFmtId="0" fontId="44" fillId="0" borderId="67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56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51" fillId="22" borderId="1" xfId="0" applyFont="1" applyFill="1" applyBorder="1" applyAlignment="1">
      <alignment horizontal="center"/>
    </xf>
    <xf numFmtId="0" fontId="0" fillId="0" borderId="46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42" fillId="18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3" fillId="0" borderId="57" xfId="0" applyNumberFormat="1" applyFont="1" applyBorder="1" applyAlignment="1">
      <alignment horizontal="center" vertical="center"/>
    </xf>
    <xf numFmtId="0" fontId="13" fillId="0" borderId="59" xfId="0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42" fillId="12" borderId="1" xfId="0" applyFont="1" applyFill="1" applyBorder="1" applyAlignment="1">
      <alignment horizontal="center"/>
    </xf>
    <xf numFmtId="0" fontId="13" fillId="0" borderId="5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 wrapText="1"/>
    </xf>
    <xf numFmtId="1" fontId="9" fillId="0" borderId="34" xfId="0" applyNumberFormat="1" applyFont="1" applyBorder="1" applyAlignment="1">
      <alignment horizontal="center" vertical="center" wrapText="1"/>
    </xf>
    <xf numFmtId="1" fontId="9" fillId="0" borderId="26" xfId="0" applyNumberFormat="1" applyFont="1" applyBorder="1" applyAlignment="1">
      <alignment horizontal="center" vertical="center" wrapText="1"/>
    </xf>
    <xf numFmtId="1" fontId="9" fillId="0" borderId="18" xfId="0" applyNumberFormat="1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8" fillId="0" borderId="15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center" vertical="center" wrapText="1"/>
    </xf>
    <xf numFmtId="0" fontId="34" fillId="0" borderId="19" xfId="0" applyFont="1" applyBorder="1" applyAlignment="1">
      <alignment horizontal="center" vertical="center" wrapText="1"/>
    </xf>
    <xf numFmtId="0" fontId="34" fillId="0" borderId="34" xfId="0" applyFont="1" applyBorder="1" applyAlignment="1">
      <alignment horizontal="center" vertical="center" wrapText="1"/>
    </xf>
    <xf numFmtId="0" fontId="34" fillId="0" borderId="25" xfId="0" applyFont="1" applyBorder="1" applyAlignment="1">
      <alignment horizontal="center" vertical="center" wrapText="1"/>
    </xf>
    <xf numFmtId="0" fontId="34" fillId="0" borderId="35" xfId="0" applyFont="1" applyBorder="1" applyAlignment="1">
      <alignment horizontal="center" vertical="center" wrapText="1"/>
    </xf>
    <xf numFmtId="0" fontId="34" fillId="0" borderId="36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1" fontId="30" fillId="0" borderId="2" xfId="0" applyNumberFormat="1" applyFont="1" applyBorder="1" applyAlignment="1">
      <alignment horizontal="center" vertical="center" wrapText="1"/>
    </xf>
    <xf numFmtId="1" fontId="30" fillId="0" borderId="3" xfId="0" applyNumberFormat="1" applyFont="1" applyBorder="1" applyAlignment="1">
      <alignment horizontal="center" vertical="center" wrapText="1"/>
    </xf>
    <xf numFmtId="1" fontId="30" fillId="0" borderId="4" xfId="0" applyNumberFormat="1" applyFont="1" applyBorder="1" applyAlignment="1">
      <alignment horizontal="center" vertical="center" wrapText="1"/>
    </xf>
    <xf numFmtId="1" fontId="30" fillId="0" borderId="34" xfId="0" applyNumberFormat="1" applyFont="1" applyBorder="1" applyAlignment="1">
      <alignment horizontal="center" vertical="center" wrapText="1"/>
    </xf>
    <xf numFmtId="1" fontId="30" fillId="0" borderId="26" xfId="0" applyNumberFormat="1" applyFont="1" applyBorder="1" applyAlignment="1">
      <alignment horizontal="center" vertical="center" wrapText="1"/>
    </xf>
    <xf numFmtId="1" fontId="30" fillId="0" borderId="18" xfId="0" applyNumberFormat="1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3" fillId="0" borderId="28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 wrapText="1"/>
    </xf>
  </cellXfs>
  <cellStyles count="36">
    <cellStyle name="Comma" xfId="1" builtinId="3"/>
    <cellStyle name="Comma 2" xfId="26" xr:uid="{DD5C1EC1-3F4F-7847-BFB1-F0AFB06F8765}"/>
    <cellStyle name="Comma 2 2" xfId="34" xr:uid="{81FF9F84-4BA8-47C5-9409-786D119B1D23}"/>
    <cellStyle name="Comma 5" xfId="33" xr:uid="{920EED30-87B7-487B-9BB1-00CE8DEC6EA9}"/>
    <cellStyle name="Comma 6" xfId="30" xr:uid="{6384F111-E642-9646-BE2F-C0C03249996F}"/>
    <cellStyle name="Comma 6 2" xfId="35" xr:uid="{EB8D99C0-9745-480D-86C5-729E5AF36041}"/>
    <cellStyle name="Comma 65" xfId="24" xr:uid="{83884079-EA2C-344F-8CAC-4C35DCE9243C}"/>
    <cellStyle name="Currency" xfId="3" builtinId="4"/>
    <cellStyle name="Currency 3" xfId="28" xr:uid="{E1EA4D66-E925-EF46-80CE-BDAD2A12BF02}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Normal 104" xfId="22" xr:uid="{2DFF1468-92BC-AD49-B1A5-D6130A67ECE1}"/>
    <cellStyle name="Normal 2" xfId="23" xr:uid="{6D4B092D-CB05-8243-BCDB-855889DBA586}"/>
    <cellStyle name="Normal 2 14 2" xfId="31" xr:uid="{9A5F8F58-E794-4E99-98CE-B65C6FD56275}"/>
    <cellStyle name="Normal 2 2" xfId="32" xr:uid="{CD6A7072-5623-4B39-ACDC-2925C5D20D7C}"/>
    <cellStyle name="Normal 3" xfId="27" xr:uid="{AC39192F-AB5C-BC4B-8B87-1104340699EB}"/>
    <cellStyle name="Normal 6" xfId="25" xr:uid="{1E9552C3-6E02-5541-B740-9855379A4E6A}"/>
    <cellStyle name="Percent" xfId="2" builtinId="5"/>
    <cellStyle name="Percent 5" xfId="29" xr:uid="{CB74733A-3597-EE43-996B-D9A4BD0C64B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9" Type="http://schemas.openxmlformats.org/officeDocument/2006/relationships/externalLink" Target="externalLinks/externalLink18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3.xml"/><Relationship Id="rId42" Type="http://schemas.openxmlformats.org/officeDocument/2006/relationships/externalLink" Target="externalLinks/externalLink21.xml"/><Relationship Id="rId47" Type="http://schemas.openxmlformats.org/officeDocument/2006/relationships/externalLink" Target="externalLinks/externalLink26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8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externalLink" Target="externalLinks/externalLink11.xml"/><Relationship Id="rId37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19.xml"/><Relationship Id="rId45" Type="http://schemas.openxmlformats.org/officeDocument/2006/relationships/externalLink" Target="externalLinks/externalLink24.xml"/><Relationship Id="rId53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0.xml"/><Relationship Id="rId44" Type="http://schemas.openxmlformats.org/officeDocument/2006/relationships/externalLink" Target="externalLinks/externalLink23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externalLink" Target="externalLinks/externalLink9.xml"/><Relationship Id="rId35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22.xml"/><Relationship Id="rId48" Type="http://schemas.openxmlformats.org/officeDocument/2006/relationships/externalLink" Target="externalLinks/externalLink27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33" Type="http://schemas.openxmlformats.org/officeDocument/2006/relationships/externalLink" Target="externalLinks/externalLink12.xml"/><Relationship Id="rId38" Type="http://schemas.openxmlformats.org/officeDocument/2006/relationships/externalLink" Target="externalLinks/externalLink17.xml"/><Relationship Id="rId46" Type="http://schemas.openxmlformats.org/officeDocument/2006/relationships/externalLink" Target="externalLinks/externalLink25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0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36" Type="http://schemas.openxmlformats.org/officeDocument/2006/relationships/externalLink" Target="externalLinks/externalLink15.xml"/><Relationship Id="rId49" Type="http://schemas.openxmlformats.org/officeDocument/2006/relationships/externalLink" Target="externalLinks/externalLink2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'NON-CORE'!$X$6</c:f>
              <c:strCache>
                <c:ptCount val="1"/>
                <c:pt idx="0">
                  <c:v>Net Cumulative Cashflow</c:v>
                </c:pt>
              </c:strCache>
            </c:strRef>
          </c:tx>
          <c:marker>
            <c:symbol val="none"/>
          </c:marker>
          <c:cat>
            <c:numRef>
              <c:f>'NON-CORE'!$O$7:$O$66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'NON-CORE'!$X$7:$X$66</c:f>
              <c:numCache>
                <c:formatCode>_("$"* #,##0.00_);_("$"* \(#,##0.00\);_("$"* "-"??_);_(@_)</c:formatCode>
                <c:ptCount val="60"/>
                <c:pt idx="0">
                  <c:v>-95.22692903624511</c:v>
                </c:pt>
                <c:pt idx="1">
                  <c:v>-177.65481735374033</c:v>
                </c:pt>
                <c:pt idx="2">
                  <c:v>-247.28366495248531</c:v>
                </c:pt>
                <c:pt idx="3">
                  <c:v>-304.11347183248029</c:v>
                </c:pt>
                <c:pt idx="4">
                  <c:v>-348.14423799372537</c:v>
                </c:pt>
                <c:pt idx="5">
                  <c:v>-379.37596343622045</c:v>
                </c:pt>
                <c:pt idx="6">
                  <c:v>-397.80864815996563</c:v>
                </c:pt>
                <c:pt idx="7">
                  <c:v>-403.44229216496069</c:v>
                </c:pt>
                <c:pt idx="8">
                  <c:v>-396.27689545120575</c:v>
                </c:pt>
                <c:pt idx="9">
                  <c:v>-376.3124580187008</c:v>
                </c:pt>
                <c:pt idx="10">
                  <c:v>-343.54897986744595</c:v>
                </c:pt>
                <c:pt idx="11">
                  <c:v>-297.9864609974411</c:v>
                </c:pt>
                <c:pt idx="12">
                  <c:v>-239.62490140868624</c:v>
                </c:pt>
                <c:pt idx="13">
                  <c:v>-168.46430110118126</c:v>
                </c:pt>
                <c:pt idx="14">
                  <c:v>-84.504660074926392</c:v>
                </c:pt>
                <c:pt idx="15">
                  <c:v>12.2540216700786</c:v>
                </c:pt>
                <c:pt idx="16">
                  <c:v>121.81174413383349</c:v>
                </c:pt>
                <c:pt idx="17">
                  <c:v>244.16850731633838</c:v>
                </c:pt>
                <c:pt idx="18">
                  <c:v>379.32431121759328</c:v>
                </c:pt>
                <c:pt idx="19">
                  <c:v>527.2791558375983</c:v>
                </c:pt>
                <c:pt idx="20">
                  <c:v>688.03304117635321</c:v>
                </c:pt>
                <c:pt idx="21">
                  <c:v>861.58596723385813</c:v>
                </c:pt>
                <c:pt idx="22">
                  <c:v>1047.9379340101129</c:v>
                </c:pt>
                <c:pt idx="23">
                  <c:v>1247.0889415051179</c:v>
                </c:pt>
                <c:pt idx="24">
                  <c:v>1459.0389897188727</c:v>
                </c:pt>
                <c:pt idx="25">
                  <c:v>1683.7880786513776</c:v>
                </c:pt>
                <c:pt idx="26">
                  <c:v>1921.3362083026325</c:v>
                </c:pt>
                <c:pt idx="27">
                  <c:v>2171.6833786726374</c:v>
                </c:pt>
                <c:pt idx="28">
                  <c:v>2434.8295897613925</c:v>
                </c:pt>
                <c:pt idx="29">
                  <c:v>2710.7748415688975</c:v>
                </c:pt>
                <c:pt idx="30">
                  <c:v>2999.5191340951524</c:v>
                </c:pt>
                <c:pt idx="31">
                  <c:v>3301.0624673401571</c:v>
                </c:pt>
                <c:pt idx="32">
                  <c:v>3615.4048413039122</c:v>
                </c:pt>
                <c:pt idx="33">
                  <c:v>3942.5462559864172</c:v>
                </c:pt>
                <c:pt idx="34">
                  <c:v>4282.4867113876726</c:v>
                </c:pt>
                <c:pt idx="35">
                  <c:v>4635.2262075076778</c:v>
                </c:pt>
                <c:pt idx="36">
                  <c:v>5000.764744346433</c:v>
                </c:pt>
                <c:pt idx="37">
                  <c:v>5379.102321903938</c:v>
                </c:pt>
                <c:pt idx="38">
                  <c:v>5770.2389401801929</c:v>
                </c:pt>
                <c:pt idx="39">
                  <c:v>6174.1745991751977</c:v>
                </c:pt>
                <c:pt idx="40">
                  <c:v>6590.9092988889524</c:v>
                </c:pt>
                <c:pt idx="41">
                  <c:v>7020.443039321457</c:v>
                </c:pt>
                <c:pt idx="42">
                  <c:v>7462.7758204727124</c:v>
                </c:pt>
                <c:pt idx="43">
                  <c:v>7917.9076423427177</c:v>
                </c:pt>
                <c:pt idx="44">
                  <c:v>8385.8385049314729</c:v>
                </c:pt>
                <c:pt idx="45">
                  <c:v>8866.568408238978</c:v>
                </c:pt>
                <c:pt idx="46">
                  <c:v>9360.097352265233</c:v>
                </c:pt>
                <c:pt idx="47">
                  <c:v>9866.4253370102379</c:v>
                </c:pt>
                <c:pt idx="48">
                  <c:v>10385.552362473993</c:v>
                </c:pt>
                <c:pt idx="49">
                  <c:v>10917.478428656497</c:v>
                </c:pt>
                <c:pt idx="50">
                  <c:v>11462.203535557752</c:v>
                </c:pt>
                <c:pt idx="51">
                  <c:v>12019.727683177756</c:v>
                </c:pt>
                <c:pt idx="52">
                  <c:v>12590.050871516511</c:v>
                </c:pt>
                <c:pt idx="53">
                  <c:v>13173.173100574015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8-4DBF-BE98-87AB41777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191528"/>
        <c:axId val="2115188504"/>
      </c:lineChart>
      <c:catAx>
        <c:axId val="211519152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15188504"/>
        <c:crosses val="autoZero"/>
        <c:auto val="1"/>
        <c:lblAlgn val="ctr"/>
        <c:lblOffset val="100"/>
        <c:noMultiLvlLbl val="0"/>
      </c:catAx>
      <c:valAx>
        <c:axId val="2115188504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1519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DT80t!$X$6</c:f>
              <c:strCache>
                <c:ptCount val="1"/>
                <c:pt idx="0">
                  <c:v>Net Cumulative Cashflow</c:v>
                </c:pt>
              </c:strCache>
            </c:strRef>
          </c:tx>
          <c:marker>
            <c:symbol val="none"/>
          </c:marker>
          <c:cat>
            <c:numRef>
              <c:f>DT80t!$O$7:$O$54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DT80t!$X$7:$X$54</c:f>
              <c:numCache>
                <c:formatCode>_("$"* #,##0.00_);_("$"* \(#,##0.00\);_("$"* "-"??_);_(@_)</c:formatCode>
                <c:ptCount val="48"/>
                <c:pt idx="0">
                  <c:v>6904.7941955056731</c:v>
                </c:pt>
                <c:pt idx="1">
                  <c:v>13817.150891011346</c:v>
                </c:pt>
                <c:pt idx="2">
                  <c:v>20737.070086517018</c:v>
                </c:pt>
                <c:pt idx="3">
                  <c:v>27664.551782022692</c:v>
                </c:pt>
                <c:pt idx="4">
                  <c:v>34599.595977528363</c:v>
                </c:pt>
                <c:pt idx="5">
                  <c:v>41542.202673034037</c:v>
                </c:pt>
                <c:pt idx="6">
                  <c:v>48492.371868539711</c:v>
                </c:pt>
                <c:pt idx="7">
                  <c:v>55450.103564045385</c:v>
                </c:pt>
                <c:pt idx="8">
                  <c:v>62415.397759551059</c:v>
                </c:pt>
                <c:pt idx="9">
                  <c:v>69388.254455056725</c:v>
                </c:pt>
                <c:pt idx="10">
                  <c:v>76368.673650562399</c:v>
                </c:pt>
                <c:pt idx="11">
                  <c:v>83356.655346068073</c:v>
                </c:pt>
                <c:pt idx="12">
                  <c:v>90352.199541573747</c:v>
                </c:pt>
                <c:pt idx="13">
                  <c:v>97355.306237079421</c:v>
                </c:pt>
                <c:pt idx="14">
                  <c:v>104365.9754325851</c:v>
                </c:pt>
                <c:pt idx="15">
                  <c:v>111384.20712809077</c:v>
                </c:pt>
                <c:pt idx="16">
                  <c:v>118410.00132359644</c:v>
                </c:pt>
                <c:pt idx="17">
                  <c:v>125443.35801910212</c:v>
                </c:pt>
                <c:pt idx="18">
                  <c:v>132484.27721460778</c:v>
                </c:pt>
                <c:pt idx="19">
                  <c:v>139532.75891011345</c:v>
                </c:pt>
                <c:pt idx="20">
                  <c:v>146588.80310561912</c:v>
                </c:pt>
                <c:pt idx="21">
                  <c:v>153652.4098011248</c:v>
                </c:pt>
                <c:pt idx="22">
                  <c:v>160723.57899663047</c:v>
                </c:pt>
                <c:pt idx="23">
                  <c:v>167802.31069213615</c:v>
                </c:pt>
                <c:pt idx="24">
                  <c:v>174888.60488764182</c:v>
                </c:pt>
                <c:pt idx="25">
                  <c:v>181982.46158314749</c:v>
                </c:pt>
                <c:pt idx="26">
                  <c:v>189083.88077865317</c:v>
                </c:pt>
                <c:pt idx="27">
                  <c:v>196192.86247415884</c:v>
                </c:pt>
                <c:pt idx="28">
                  <c:v>203309.40666966452</c:v>
                </c:pt>
                <c:pt idx="29">
                  <c:v>193933.51336517019</c:v>
                </c:pt>
                <c:pt idx="30">
                  <c:v>201065.18256067586</c:v>
                </c:pt>
                <c:pt idx="31">
                  <c:v>208204.41425618154</c:v>
                </c:pt>
                <c:pt idx="32">
                  <c:v>215351.20845168721</c:v>
                </c:pt>
                <c:pt idx="33">
                  <c:v>222505.56514719289</c:v>
                </c:pt>
                <c:pt idx="34">
                  <c:v>229667.48434269856</c:v>
                </c:pt>
                <c:pt idx="35">
                  <c:v>236836.96603820423</c:v>
                </c:pt>
                <c:pt idx="36">
                  <c:v>244014.01023370991</c:v>
                </c:pt>
                <c:pt idx="37">
                  <c:v>251198.61692921558</c:v>
                </c:pt>
                <c:pt idx="38">
                  <c:v>258390.78612472126</c:v>
                </c:pt>
                <c:pt idx="39">
                  <c:v>265590.5178202269</c:v>
                </c:pt>
                <c:pt idx="40">
                  <c:v>272797.81201573258</c:v>
                </c:pt>
                <c:pt idx="41">
                  <c:v>280012.66871123825</c:v>
                </c:pt>
                <c:pt idx="42">
                  <c:v>287235.08790674392</c:v>
                </c:pt>
                <c:pt idx="43">
                  <c:v>294465.0696022496</c:v>
                </c:pt>
                <c:pt idx="44">
                  <c:v>301702.61379775527</c:v>
                </c:pt>
                <c:pt idx="45">
                  <c:v>308947.72049326095</c:v>
                </c:pt>
                <c:pt idx="46">
                  <c:v>316200.38968876662</c:v>
                </c:pt>
                <c:pt idx="47">
                  <c:v>306960.62138427229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3-E348-8471-C66C200C6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159736"/>
        <c:axId val="2115156712"/>
      </c:lineChart>
      <c:catAx>
        <c:axId val="21151597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15156712"/>
        <c:crosses val="autoZero"/>
        <c:auto val="1"/>
        <c:lblAlgn val="ctr"/>
        <c:lblOffset val="100"/>
        <c:noMultiLvlLbl val="0"/>
      </c:catAx>
      <c:valAx>
        <c:axId val="2115156712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15159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'CAT D10'!$X$6</c:f>
              <c:strCache>
                <c:ptCount val="1"/>
                <c:pt idx="0">
                  <c:v>Net Cumulative Cashflow</c:v>
                </c:pt>
              </c:strCache>
            </c:strRef>
          </c:tx>
          <c:marker>
            <c:symbol val="none"/>
          </c:marker>
          <c:cat>
            <c:numRef>
              <c:f>'CAT D10'!$O$7:$O$66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'CAT D10'!$X$7:$X$66</c:f>
              <c:numCache>
                <c:formatCode>_("$"* #,##0.00_);_("$"* \(#,##0.00\);_("$"* "-"??_);_(@_)</c:formatCode>
                <c:ptCount val="60"/>
                <c:pt idx="0">
                  <c:v>5424.8782040889391</c:v>
                </c:pt>
                <c:pt idx="1">
                  <c:v>10865.568908177878</c:v>
                </c:pt>
                <c:pt idx="2">
                  <c:v>16322.072112266818</c:v>
                </c:pt>
                <c:pt idx="3">
                  <c:v>21794.387816355757</c:v>
                </c:pt>
                <c:pt idx="4">
                  <c:v>27282.516020444695</c:v>
                </c:pt>
                <c:pt idx="5">
                  <c:v>32786.456724533637</c:v>
                </c:pt>
                <c:pt idx="6">
                  <c:v>38306.209928622578</c:v>
                </c:pt>
                <c:pt idx="7">
                  <c:v>43841.77563271152</c:v>
                </c:pt>
                <c:pt idx="8">
                  <c:v>49393.153836800462</c:v>
                </c:pt>
                <c:pt idx="9">
                  <c:v>54960.344540889404</c:v>
                </c:pt>
                <c:pt idx="10">
                  <c:v>60543.347744978346</c:v>
                </c:pt>
                <c:pt idx="11">
                  <c:v>66142.163449067288</c:v>
                </c:pt>
                <c:pt idx="12">
                  <c:v>71756.791653156222</c:v>
                </c:pt>
                <c:pt idx="13">
                  <c:v>77387.232357245157</c:v>
                </c:pt>
                <c:pt idx="14">
                  <c:v>83033.485561334091</c:v>
                </c:pt>
                <c:pt idx="15">
                  <c:v>88695.551265423026</c:v>
                </c:pt>
                <c:pt idx="16">
                  <c:v>94373.429469511961</c:v>
                </c:pt>
                <c:pt idx="17">
                  <c:v>100067.1201736009</c:v>
                </c:pt>
                <c:pt idx="18">
                  <c:v>105776.62337768983</c:v>
                </c:pt>
                <c:pt idx="19">
                  <c:v>111501.93908177876</c:v>
                </c:pt>
                <c:pt idx="20">
                  <c:v>117243.0672858677</c:v>
                </c:pt>
                <c:pt idx="21">
                  <c:v>123000.00798995663</c:v>
                </c:pt>
                <c:pt idx="22">
                  <c:v>128772.76119404557</c:v>
                </c:pt>
                <c:pt idx="23">
                  <c:v>134561.32689813452</c:v>
                </c:pt>
                <c:pt idx="24">
                  <c:v>140365.70510222347</c:v>
                </c:pt>
                <c:pt idx="25">
                  <c:v>146185.89580631242</c:v>
                </c:pt>
                <c:pt idx="26">
                  <c:v>152021.89901040136</c:v>
                </c:pt>
                <c:pt idx="27">
                  <c:v>157873.71471449031</c:v>
                </c:pt>
                <c:pt idx="28">
                  <c:v>163741.34291857926</c:v>
                </c:pt>
                <c:pt idx="29">
                  <c:v>135124.78362266821</c:v>
                </c:pt>
                <c:pt idx="30">
                  <c:v>141024.03682675716</c:v>
                </c:pt>
                <c:pt idx="31">
                  <c:v>146939.10253084611</c:v>
                </c:pt>
                <c:pt idx="32">
                  <c:v>152869.98073493506</c:v>
                </c:pt>
                <c:pt idx="33">
                  <c:v>158816.67143902401</c:v>
                </c:pt>
                <c:pt idx="34">
                  <c:v>164779.17464311296</c:v>
                </c:pt>
                <c:pt idx="35">
                  <c:v>170757.49034720191</c:v>
                </c:pt>
                <c:pt idx="36">
                  <c:v>176751.61855129086</c:v>
                </c:pt>
                <c:pt idx="37">
                  <c:v>182761.55925537981</c:v>
                </c:pt>
                <c:pt idx="38">
                  <c:v>188787.31245946875</c:v>
                </c:pt>
                <c:pt idx="39">
                  <c:v>194828.8781635577</c:v>
                </c:pt>
                <c:pt idx="40">
                  <c:v>200886.25636764665</c:v>
                </c:pt>
                <c:pt idx="41">
                  <c:v>206959.4470717356</c:v>
                </c:pt>
                <c:pt idx="42">
                  <c:v>213048.45027582455</c:v>
                </c:pt>
                <c:pt idx="43">
                  <c:v>219153.2659799135</c:v>
                </c:pt>
                <c:pt idx="44">
                  <c:v>225273.89418400245</c:v>
                </c:pt>
                <c:pt idx="45">
                  <c:v>231410.3348880914</c:v>
                </c:pt>
                <c:pt idx="46">
                  <c:v>237562.58809218035</c:v>
                </c:pt>
                <c:pt idx="47">
                  <c:v>209230.6537962693</c:v>
                </c:pt>
                <c:pt idx="48">
                  <c:v>215414.53200035825</c:v>
                </c:pt>
                <c:pt idx="49">
                  <c:v>221614.22270444719</c:v>
                </c:pt>
                <c:pt idx="50">
                  <c:v>227829.72590853614</c:v>
                </c:pt>
                <c:pt idx="51">
                  <c:v>234061.04161262509</c:v>
                </c:pt>
                <c:pt idx="52">
                  <c:v>240308.16981671404</c:v>
                </c:pt>
                <c:pt idx="53">
                  <c:v>246571.11052080299</c:v>
                </c:pt>
                <c:pt idx="54">
                  <c:v>252849.86372489194</c:v>
                </c:pt>
                <c:pt idx="55">
                  <c:v>259144.42942898089</c:v>
                </c:pt>
                <c:pt idx="56">
                  <c:v>259160.24192898089</c:v>
                </c:pt>
                <c:pt idx="57">
                  <c:v>259176.05442898089</c:v>
                </c:pt>
                <c:pt idx="58">
                  <c:v>265486.43263306981</c:v>
                </c:pt>
                <c:pt idx="59">
                  <c:v>265502.24513306981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F-DD4F-AADB-DCAC877C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191528"/>
        <c:axId val="2115188504"/>
      </c:lineChart>
      <c:catAx>
        <c:axId val="211519152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15188504"/>
        <c:crosses val="autoZero"/>
        <c:auto val="1"/>
        <c:lblAlgn val="ctr"/>
        <c:lblOffset val="100"/>
        <c:noMultiLvlLbl val="0"/>
      </c:catAx>
      <c:valAx>
        <c:axId val="2115188504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1519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'CAT D10'!$X$6</c:f>
              <c:strCache>
                <c:ptCount val="1"/>
                <c:pt idx="0">
                  <c:v>Net Cumulative Cashflow</c:v>
                </c:pt>
              </c:strCache>
            </c:strRef>
          </c:tx>
          <c:marker>
            <c:symbol val="none"/>
          </c:marker>
          <c:cat>
            <c:numRef>
              <c:f>'CAT D10'!$O$7:$O$54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'CAT D10'!$X$7:$X$54</c:f>
              <c:numCache>
                <c:formatCode>_("$"* #,##0.00_);_("$"* \(#,##0.00\);_("$"* "-"??_);_(@_)</c:formatCode>
                <c:ptCount val="48"/>
                <c:pt idx="0">
                  <c:v>5424.8782040889391</c:v>
                </c:pt>
                <c:pt idx="1">
                  <c:v>10865.568908177878</c:v>
                </c:pt>
                <c:pt idx="2">
                  <c:v>16322.072112266818</c:v>
                </c:pt>
                <c:pt idx="3">
                  <c:v>21794.387816355757</c:v>
                </c:pt>
                <c:pt idx="4">
                  <c:v>27282.516020444695</c:v>
                </c:pt>
                <c:pt idx="5">
                  <c:v>32786.456724533637</c:v>
                </c:pt>
                <c:pt idx="6">
                  <c:v>38306.209928622578</c:v>
                </c:pt>
                <c:pt idx="7">
                  <c:v>43841.77563271152</c:v>
                </c:pt>
                <c:pt idx="8">
                  <c:v>49393.153836800462</c:v>
                </c:pt>
                <c:pt idx="9">
                  <c:v>54960.344540889404</c:v>
                </c:pt>
                <c:pt idx="10">
                  <c:v>60543.347744978346</c:v>
                </c:pt>
                <c:pt idx="11">
                  <c:v>66142.163449067288</c:v>
                </c:pt>
                <c:pt idx="12">
                  <c:v>71756.791653156222</c:v>
                </c:pt>
                <c:pt idx="13">
                  <c:v>77387.232357245157</c:v>
                </c:pt>
                <c:pt idx="14">
                  <c:v>83033.485561334091</c:v>
                </c:pt>
                <c:pt idx="15">
                  <c:v>88695.551265423026</c:v>
                </c:pt>
                <c:pt idx="16">
                  <c:v>94373.429469511961</c:v>
                </c:pt>
                <c:pt idx="17">
                  <c:v>100067.1201736009</c:v>
                </c:pt>
                <c:pt idx="18">
                  <c:v>105776.62337768983</c:v>
                </c:pt>
                <c:pt idx="19">
                  <c:v>111501.93908177876</c:v>
                </c:pt>
                <c:pt idx="20">
                  <c:v>117243.0672858677</c:v>
                </c:pt>
                <c:pt idx="21">
                  <c:v>123000.00798995663</c:v>
                </c:pt>
                <c:pt idx="22">
                  <c:v>128772.76119404557</c:v>
                </c:pt>
                <c:pt idx="23">
                  <c:v>134561.32689813452</c:v>
                </c:pt>
                <c:pt idx="24">
                  <c:v>140365.70510222347</c:v>
                </c:pt>
                <c:pt idx="25">
                  <c:v>146185.89580631242</c:v>
                </c:pt>
                <c:pt idx="26">
                  <c:v>152021.89901040136</c:v>
                </c:pt>
                <c:pt idx="27">
                  <c:v>157873.71471449031</c:v>
                </c:pt>
                <c:pt idx="28">
                  <c:v>163741.34291857926</c:v>
                </c:pt>
                <c:pt idx="29">
                  <c:v>135124.78362266821</c:v>
                </c:pt>
                <c:pt idx="30">
                  <c:v>141024.03682675716</c:v>
                </c:pt>
                <c:pt idx="31">
                  <c:v>146939.10253084611</c:v>
                </c:pt>
                <c:pt idx="32">
                  <c:v>152869.98073493506</c:v>
                </c:pt>
                <c:pt idx="33">
                  <c:v>158816.67143902401</c:v>
                </c:pt>
                <c:pt idx="34">
                  <c:v>164779.17464311296</c:v>
                </c:pt>
                <c:pt idx="35">
                  <c:v>170757.49034720191</c:v>
                </c:pt>
                <c:pt idx="36">
                  <c:v>176751.61855129086</c:v>
                </c:pt>
                <c:pt idx="37">
                  <c:v>182761.55925537981</c:v>
                </c:pt>
                <c:pt idx="38">
                  <c:v>188787.31245946875</c:v>
                </c:pt>
                <c:pt idx="39">
                  <c:v>194828.8781635577</c:v>
                </c:pt>
                <c:pt idx="40">
                  <c:v>200886.25636764665</c:v>
                </c:pt>
                <c:pt idx="41">
                  <c:v>206959.4470717356</c:v>
                </c:pt>
                <c:pt idx="42">
                  <c:v>213048.45027582455</c:v>
                </c:pt>
                <c:pt idx="43">
                  <c:v>219153.2659799135</c:v>
                </c:pt>
                <c:pt idx="44">
                  <c:v>225273.89418400245</c:v>
                </c:pt>
                <c:pt idx="45">
                  <c:v>231410.3348880914</c:v>
                </c:pt>
                <c:pt idx="46">
                  <c:v>237562.58809218035</c:v>
                </c:pt>
                <c:pt idx="47">
                  <c:v>209230.6537962693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5-974A-9AE6-F4CA4C965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159736"/>
        <c:axId val="2115156712"/>
      </c:lineChart>
      <c:catAx>
        <c:axId val="21151597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15156712"/>
        <c:crosses val="autoZero"/>
        <c:auto val="1"/>
        <c:lblAlgn val="ctr"/>
        <c:lblOffset val="100"/>
        <c:noMultiLvlLbl val="0"/>
      </c:catAx>
      <c:valAx>
        <c:axId val="2115156712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15159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'CAT 14H'!$X$6</c:f>
              <c:strCache>
                <c:ptCount val="1"/>
                <c:pt idx="0">
                  <c:v>Net Cumulative Cashflow</c:v>
                </c:pt>
              </c:strCache>
            </c:strRef>
          </c:tx>
          <c:marker>
            <c:symbol val="none"/>
          </c:marker>
          <c:cat>
            <c:numRef>
              <c:f>'CAT 14H'!$O$7:$O$66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'CAT 14H'!$X$7:$X$66</c:f>
              <c:numCache>
                <c:formatCode>_("$"* #,##0.00_);_("$"* \(#,##0.00\);_("$"* "-"??_);_(@_)</c:formatCode>
                <c:ptCount val="60"/>
                <c:pt idx="0">
                  <c:v>3670.8787964933604</c:v>
                </c:pt>
                <c:pt idx="1">
                  <c:v>7350.4771051818425</c:v>
                </c:pt>
                <c:pt idx="2">
                  <c:v>11038.794926065446</c:v>
                </c:pt>
                <c:pt idx="3">
                  <c:v>14735.832259144172</c:v>
                </c:pt>
                <c:pt idx="4">
                  <c:v>18441.589104418021</c:v>
                </c:pt>
                <c:pt idx="5">
                  <c:v>22156.065461886992</c:v>
                </c:pt>
                <c:pt idx="6">
                  <c:v>25879.261331551083</c:v>
                </c:pt>
                <c:pt idx="7">
                  <c:v>29611.176713410296</c:v>
                </c:pt>
                <c:pt idx="8">
                  <c:v>33351.811607464631</c:v>
                </c:pt>
                <c:pt idx="9">
                  <c:v>37101.166013714086</c:v>
                </c:pt>
                <c:pt idx="10">
                  <c:v>40859.239932158664</c:v>
                </c:pt>
                <c:pt idx="11">
                  <c:v>44626.033362798364</c:v>
                </c:pt>
                <c:pt idx="12">
                  <c:v>48401.546305633186</c:v>
                </c:pt>
                <c:pt idx="13">
                  <c:v>52185.778760663132</c:v>
                </c:pt>
                <c:pt idx="14">
                  <c:v>55978.7307278882</c:v>
                </c:pt>
                <c:pt idx="15">
                  <c:v>59780.402207308391</c:v>
                </c:pt>
                <c:pt idx="16">
                  <c:v>63590.793198923704</c:v>
                </c:pt>
                <c:pt idx="17">
                  <c:v>67409.90370273414</c:v>
                </c:pt>
                <c:pt idx="18">
                  <c:v>71237.733718739692</c:v>
                </c:pt>
                <c:pt idx="19">
                  <c:v>75074.283246940366</c:v>
                </c:pt>
                <c:pt idx="20">
                  <c:v>78919.552287336162</c:v>
                </c:pt>
                <c:pt idx="21">
                  <c:v>82773.540839927082</c:v>
                </c:pt>
                <c:pt idx="22">
                  <c:v>86636.248904713124</c:v>
                </c:pt>
                <c:pt idx="23">
                  <c:v>90507.676481694289</c:v>
                </c:pt>
                <c:pt idx="24">
                  <c:v>94387.823570870576</c:v>
                </c:pt>
                <c:pt idx="25">
                  <c:v>98276.690172241986</c:v>
                </c:pt>
                <c:pt idx="26">
                  <c:v>102174.27628580852</c:v>
                </c:pt>
                <c:pt idx="27">
                  <c:v>106080.58191157017</c:v>
                </c:pt>
                <c:pt idx="28">
                  <c:v>109995.60704952695</c:v>
                </c:pt>
                <c:pt idx="29">
                  <c:v>94894.961455776414</c:v>
                </c:pt>
                <c:pt idx="30">
                  <c:v>98827.425618123438</c:v>
                </c:pt>
                <c:pt idx="31">
                  <c:v>102768.60929266558</c:v>
                </c:pt>
                <c:pt idx="32">
                  <c:v>106718.51247940285</c:v>
                </c:pt>
                <c:pt idx="33">
                  <c:v>110677.13517833524</c:v>
                </c:pt>
                <c:pt idx="34">
                  <c:v>114644.47738946276</c:v>
                </c:pt>
                <c:pt idx="35">
                  <c:v>118620.53911278538</c:v>
                </c:pt>
                <c:pt idx="36">
                  <c:v>122605.32034830312</c:v>
                </c:pt>
                <c:pt idx="37">
                  <c:v>126598.82109601599</c:v>
                </c:pt>
                <c:pt idx="38">
                  <c:v>130601.04135592398</c:v>
                </c:pt>
                <c:pt idx="39">
                  <c:v>134611.98112802711</c:v>
                </c:pt>
                <c:pt idx="40">
                  <c:v>138631.64041232536</c:v>
                </c:pt>
                <c:pt idx="41">
                  <c:v>142660.01920881873</c:v>
                </c:pt>
                <c:pt idx="42">
                  <c:v>146697.11751750723</c:v>
                </c:pt>
                <c:pt idx="43">
                  <c:v>150742.93533839085</c:v>
                </c:pt>
                <c:pt idx="44">
                  <c:v>154797.47267146959</c:v>
                </c:pt>
                <c:pt idx="45">
                  <c:v>158860.72951674342</c:v>
                </c:pt>
                <c:pt idx="46">
                  <c:v>162932.70587421238</c:v>
                </c:pt>
                <c:pt idx="47">
                  <c:v>147989.01149997403</c:v>
                </c:pt>
                <c:pt idx="48">
                  <c:v>152078.42688183323</c:v>
                </c:pt>
                <c:pt idx="49">
                  <c:v>156176.56177588756</c:v>
                </c:pt>
                <c:pt idx="50">
                  <c:v>160283.41618213701</c:v>
                </c:pt>
                <c:pt idx="51">
                  <c:v>164398.99010058158</c:v>
                </c:pt>
                <c:pt idx="52">
                  <c:v>168523.28353122127</c:v>
                </c:pt>
                <c:pt idx="53">
                  <c:v>172656.29647405609</c:v>
                </c:pt>
                <c:pt idx="54">
                  <c:v>176798.02892908602</c:v>
                </c:pt>
                <c:pt idx="55">
                  <c:v>180948.48089631108</c:v>
                </c:pt>
                <c:pt idx="56">
                  <c:v>180957.20040850621</c:v>
                </c:pt>
                <c:pt idx="57">
                  <c:v>180965.91992070133</c:v>
                </c:pt>
                <c:pt idx="58">
                  <c:v>185125.09140012151</c:v>
                </c:pt>
                <c:pt idx="59">
                  <c:v>185133.81091231664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B-6A41-A846-4EC7F30C9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191528"/>
        <c:axId val="2115188504"/>
      </c:lineChart>
      <c:catAx>
        <c:axId val="211519152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15188504"/>
        <c:crosses val="autoZero"/>
        <c:auto val="1"/>
        <c:lblAlgn val="ctr"/>
        <c:lblOffset val="100"/>
        <c:noMultiLvlLbl val="0"/>
      </c:catAx>
      <c:valAx>
        <c:axId val="2115188504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1519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'CAT 14H'!$X$6</c:f>
              <c:strCache>
                <c:ptCount val="1"/>
                <c:pt idx="0">
                  <c:v>Net Cumulative Cashflow</c:v>
                </c:pt>
              </c:strCache>
            </c:strRef>
          </c:tx>
          <c:marker>
            <c:symbol val="none"/>
          </c:marker>
          <c:cat>
            <c:numRef>
              <c:f>'CAT 14H'!$O$7:$O$54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'CAT 14H'!$X$7:$X$54</c:f>
              <c:numCache>
                <c:formatCode>_("$"* #,##0.00_);_("$"* \(#,##0.00\);_("$"* "-"??_);_(@_)</c:formatCode>
                <c:ptCount val="48"/>
                <c:pt idx="0">
                  <c:v>3670.8787964933604</c:v>
                </c:pt>
                <c:pt idx="1">
                  <c:v>7350.4771051818425</c:v>
                </c:pt>
                <c:pt idx="2">
                  <c:v>11038.794926065446</c:v>
                </c:pt>
                <c:pt idx="3">
                  <c:v>14735.832259144172</c:v>
                </c:pt>
                <c:pt idx="4">
                  <c:v>18441.589104418021</c:v>
                </c:pt>
                <c:pt idx="5">
                  <c:v>22156.065461886992</c:v>
                </c:pt>
                <c:pt idx="6">
                  <c:v>25879.261331551083</c:v>
                </c:pt>
                <c:pt idx="7">
                  <c:v>29611.176713410296</c:v>
                </c:pt>
                <c:pt idx="8">
                  <c:v>33351.811607464631</c:v>
                </c:pt>
                <c:pt idx="9">
                  <c:v>37101.166013714086</c:v>
                </c:pt>
                <c:pt idx="10">
                  <c:v>40859.239932158664</c:v>
                </c:pt>
                <c:pt idx="11">
                  <c:v>44626.033362798364</c:v>
                </c:pt>
                <c:pt idx="12">
                  <c:v>48401.546305633186</c:v>
                </c:pt>
                <c:pt idx="13">
                  <c:v>52185.778760663132</c:v>
                </c:pt>
                <c:pt idx="14">
                  <c:v>55978.7307278882</c:v>
                </c:pt>
                <c:pt idx="15">
                  <c:v>59780.402207308391</c:v>
                </c:pt>
                <c:pt idx="16">
                  <c:v>63590.793198923704</c:v>
                </c:pt>
                <c:pt idx="17">
                  <c:v>67409.90370273414</c:v>
                </c:pt>
                <c:pt idx="18">
                  <c:v>71237.733718739692</c:v>
                </c:pt>
                <c:pt idx="19">
                  <c:v>75074.283246940366</c:v>
                </c:pt>
                <c:pt idx="20">
                  <c:v>78919.552287336162</c:v>
                </c:pt>
                <c:pt idx="21">
                  <c:v>82773.540839927082</c:v>
                </c:pt>
                <c:pt idx="22">
                  <c:v>86636.248904713124</c:v>
                </c:pt>
                <c:pt idx="23">
                  <c:v>90507.676481694289</c:v>
                </c:pt>
                <c:pt idx="24">
                  <c:v>94387.823570870576</c:v>
                </c:pt>
                <c:pt idx="25">
                  <c:v>98276.690172241986</c:v>
                </c:pt>
                <c:pt idx="26">
                  <c:v>102174.27628580852</c:v>
                </c:pt>
                <c:pt idx="27">
                  <c:v>106080.58191157017</c:v>
                </c:pt>
                <c:pt idx="28">
                  <c:v>109995.60704952695</c:v>
                </c:pt>
                <c:pt idx="29">
                  <c:v>94894.961455776414</c:v>
                </c:pt>
                <c:pt idx="30">
                  <c:v>98827.425618123438</c:v>
                </c:pt>
                <c:pt idx="31">
                  <c:v>102768.60929266558</c:v>
                </c:pt>
                <c:pt idx="32">
                  <c:v>106718.51247940285</c:v>
                </c:pt>
                <c:pt idx="33">
                  <c:v>110677.13517833524</c:v>
                </c:pt>
                <c:pt idx="34">
                  <c:v>114644.47738946276</c:v>
                </c:pt>
                <c:pt idx="35">
                  <c:v>118620.53911278538</c:v>
                </c:pt>
                <c:pt idx="36">
                  <c:v>122605.32034830312</c:v>
                </c:pt>
                <c:pt idx="37">
                  <c:v>126598.82109601599</c:v>
                </c:pt>
                <c:pt idx="38">
                  <c:v>130601.04135592398</c:v>
                </c:pt>
                <c:pt idx="39">
                  <c:v>134611.98112802711</c:v>
                </c:pt>
                <c:pt idx="40">
                  <c:v>138631.64041232536</c:v>
                </c:pt>
                <c:pt idx="41">
                  <c:v>142660.01920881873</c:v>
                </c:pt>
                <c:pt idx="42">
                  <c:v>146697.11751750723</c:v>
                </c:pt>
                <c:pt idx="43">
                  <c:v>150742.93533839085</c:v>
                </c:pt>
                <c:pt idx="44">
                  <c:v>154797.47267146959</c:v>
                </c:pt>
                <c:pt idx="45">
                  <c:v>158860.72951674342</c:v>
                </c:pt>
                <c:pt idx="46">
                  <c:v>162932.70587421238</c:v>
                </c:pt>
                <c:pt idx="47">
                  <c:v>147989.01149997403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1-3242-B236-81FE04C52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159736"/>
        <c:axId val="2115156712"/>
      </c:lineChart>
      <c:catAx>
        <c:axId val="21151597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15156712"/>
        <c:crosses val="autoZero"/>
        <c:auto val="1"/>
        <c:lblAlgn val="ctr"/>
        <c:lblOffset val="100"/>
        <c:noMultiLvlLbl val="0"/>
      </c:catAx>
      <c:valAx>
        <c:axId val="2115156712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15159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'CAT 14t comp'!$X$6</c:f>
              <c:strCache>
                <c:ptCount val="1"/>
                <c:pt idx="0">
                  <c:v>Net Cumulative Cashflow</c:v>
                </c:pt>
              </c:strCache>
            </c:strRef>
          </c:tx>
          <c:marker>
            <c:symbol val="none"/>
          </c:marker>
          <c:cat>
            <c:numRef>
              <c:f>'CAT 14t comp'!$O$7:$O$66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'CAT 14t comp'!$X$7:$X$66</c:f>
              <c:numCache>
                <c:formatCode>_("$"* #,##0.00_);_("$"* \(#,##0.00\);_("$"* "-"??_);_(@_)</c:formatCode>
                <c:ptCount val="60"/>
                <c:pt idx="0">
                  <c:v>3579.0955612358566</c:v>
                </c:pt>
                <c:pt idx="1">
                  <c:v>7163.5569761302504</c:v>
                </c:pt>
                <c:pt idx="2">
                  <c:v>10753.38424468318</c:v>
                </c:pt>
                <c:pt idx="3">
                  <c:v>14348.577366894646</c:v>
                </c:pt>
                <c:pt idx="4">
                  <c:v>17949.13634276465</c:v>
                </c:pt>
                <c:pt idx="5">
                  <c:v>21555.06117229319</c:v>
                </c:pt>
                <c:pt idx="6">
                  <c:v>25166.351855480265</c:v>
                </c:pt>
                <c:pt idx="7">
                  <c:v>28783.008392325879</c:v>
                </c:pt>
                <c:pt idx="8">
                  <c:v>32405.030782830028</c:v>
                </c:pt>
                <c:pt idx="9">
                  <c:v>36032.419026992713</c:v>
                </c:pt>
                <c:pt idx="10">
                  <c:v>39665.173124813933</c:v>
                </c:pt>
                <c:pt idx="11">
                  <c:v>43303.293076293689</c:v>
                </c:pt>
                <c:pt idx="12">
                  <c:v>46946.778881431987</c:v>
                </c:pt>
                <c:pt idx="13">
                  <c:v>50595.63054022882</c:v>
                </c:pt>
                <c:pt idx="14">
                  <c:v>54249.848052684189</c:v>
                </c:pt>
                <c:pt idx="15">
                  <c:v>57909.431418798093</c:v>
                </c:pt>
                <c:pt idx="16">
                  <c:v>61574.380638570532</c:v>
                </c:pt>
                <c:pt idx="17">
                  <c:v>65244.695712001514</c:v>
                </c:pt>
                <c:pt idx="18">
                  <c:v>68920.376639091031</c:v>
                </c:pt>
                <c:pt idx="19">
                  <c:v>72601.423419839077</c:v>
                </c:pt>
                <c:pt idx="20">
                  <c:v>76287.836054245665</c:v>
                </c:pt>
                <c:pt idx="21">
                  <c:v>79979.614542310796</c:v>
                </c:pt>
                <c:pt idx="22">
                  <c:v>83676.758884034454</c:v>
                </c:pt>
                <c:pt idx="23">
                  <c:v>87379.269079416656</c:v>
                </c:pt>
                <c:pt idx="24">
                  <c:v>91087.145128457385</c:v>
                </c:pt>
                <c:pt idx="25">
                  <c:v>94800.387031156657</c:v>
                </c:pt>
                <c:pt idx="26">
                  <c:v>98518.994787514472</c:v>
                </c:pt>
                <c:pt idx="27">
                  <c:v>102242.96839753081</c:v>
                </c:pt>
                <c:pt idx="28">
                  <c:v>105972.3078612057</c:v>
                </c:pt>
                <c:pt idx="29">
                  <c:v>97999.696105368392</c:v>
                </c:pt>
                <c:pt idx="30">
                  <c:v>101739.76727636035</c:v>
                </c:pt>
                <c:pt idx="31">
                  <c:v>105485.20430101083</c:v>
                </c:pt>
                <c:pt idx="32">
                  <c:v>109236.00717931986</c:v>
                </c:pt>
                <c:pt idx="33">
                  <c:v>112992.17591128743</c:v>
                </c:pt>
                <c:pt idx="34">
                  <c:v>116753.71049691353</c:v>
                </c:pt>
                <c:pt idx="35">
                  <c:v>120520.61093619817</c:v>
                </c:pt>
                <c:pt idx="36">
                  <c:v>124292.87722914133</c:v>
                </c:pt>
                <c:pt idx="37">
                  <c:v>128070.50937574304</c:v>
                </c:pt>
                <c:pt idx="38">
                  <c:v>131853.50737600328</c:v>
                </c:pt>
                <c:pt idx="39">
                  <c:v>135641.87122992208</c:v>
                </c:pt>
                <c:pt idx="40">
                  <c:v>139435.6009374994</c:v>
                </c:pt>
                <c:pt idx="41">
                  <c:v>143234.69649873525</c:v>
                </c:pt>
                <c:pt idx="42">
                  <c:v>147039.15791362964</c:v>
                </c:pt>
                <c:pt idx="43">
                  <c:v>150848.98518218257</c:v>
                </c:pt>
                <c:pt idx="44">
                  <c:v>154664.17830439404</c:v>
                </c:pt>
                <c:pt idx="45">
                  <c:v>158484.73728026403</c:v>
                </c:pt>
                <c:pt idx="46">
                  <c:v>162310.66210979258</c:v>
                </c:pt>
                <c:pt idx="47">
                  <c:v>154434.63571980892</c:v>
                </c:pt>
                <c:pt idx="48">
                  <c:v>158271.29225665453</c:v>
                </c:pt>
                <c:pt idx="49">
                  <c:v>162113.31464715867</c:v>
                </c:pt>
                <c:pt idx="50">
                  <c:v>165960.70289132136</c:v>
                </c:pt>
                <c:pt idx="51">
                  <c:v>169813.45698914258</c:v>
                </c:pt>
                <c:pt idx="52">
                  <c:v>173671.57694062233</c:v>
                </c:pt>
                <c:pt idx="53">
                  <c:v>177535.06274576063</c:v>
                </c:pt>
                <c:pt idx="54">
                  <c:v>181403.91440455746</c:v>
                </c:pt>
                <c:pt idx="55">
                  <c:v>185278.13191701283</c:v>
                </c:pt>
                <c:pt idx="56">
                  <c:v>185283.49777067138</c:v>
                </c:pt>
                <c:pt idx="57">
                  <c:v>185288.86362432991</c:v>
                </c:pt>
                <c:pt idx="58">
                  <c:v>189168.4469904438</c:v>
                </c:pt>
                <c:pt idx="59">
                  <c:v>189173.81284410233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1-ED45-915B-1FFC33196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475544"/>
        <c:axId val="2126478552"/>
      </c:lineChart>
      <c:catAx>
        <c:axId val="21264755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26478552"/>
        <c:crosses val="autoZero"/>
        <c:auto val="1"/>
        <c:lblAlgn val="ctr"/>
        <c:lblOffset val="100"/>
        <c:noMultiLvlLbl val="0"/>
      </c:catAx>
      <c:valAx>
        <c:axId val="2126478552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2647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'CAT 14t comp'!$X$6</c:f>
              <c:strCache>
                <c:ptCount val="1"/>
                <c:pt idx="0">
                  <c:v>Net Cumulative Cashflow</c:v>
                </c:pt>
              </c:strCache>
            </c:strRef>
          </c:tx>
          <c:marker>
            <c:symbol val="none"/>
          </c:marker>
          <c:cat>
            <c:numRef>
              <c:f>'CAT 14t comp'!$O$75:$O$122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'CAT 14t comp'!$X$75:$X$122</c:f>
              <c:numCache>
                <c:formatCode>_("$"* #,##0.00_);_("$"* \(#,##0.00\);_("$"* "-"??_);_(@_)</c:formatCode>
                <c:ptCount val="48"/>
                <c:pt idx="0">
                  <c:v>5273.8610953593807</c:v>
                </c:pt>
                <c:pt idx="1">
                  <c:v>10553.088044377299</c:v>
                </c:pt>
                <c:pt idx="2">
                  <c:v>15837.680847053753</c:v>
                </c:pt>
                <c:pt idx="3">
                  <c:v>21127.639503388742</c:v>
                </c:pt>
                <c:pt idx="4">
                  <c:v>26422.964013382269</c:v>
                </c:pt>
                <c:pt idx="5">
                  <c:v>31723.654377034334</c:v>
                </c:pt>
                <c:pt idx="6">
                  <c:v>37029.710594344935</c:v>
                </c:pt>
                <c:pt idx="7">
                  <c:v>42341.132665314071</c:v>
                </c:pt>
                <c:pt idx="8">
                  <c:v>47657.920589941743</c:v>
                </c:pt>
                <c:pt idx="9">
                  <c:v>52980.07436822795</c:v>
                </c:pt>
                <c:pt idx="10">
                  <c:v>58307.594000172699</c:v>
                </c:pt>
                <c:pt idx="11">
                  <c:v>63640.479485775984</c:v>
                </c:pt>
                <c:pt idx="12">
                  <c:v>68978.730825037812</c:v>
                </c:pt>
                <c:pt idx="13">
                  <c:v>74322.348017958167</c:v>
                </c:pt>
                <c:pt idx="14">
                  <c:v>79671.331064537066</c:v>
                </c:pt>
                <c:pt idx="15">
                  <c:v>85025.679964774492</c:v>
                </c:pt>
                <c:pt idx="16">
                  <c:v>90385.394718670461</c:v>
                </c:pt>
                <c:pt idx="17">
                  <c:v>95750.475326224958</c:v>
                </c:pt>
                <c:pt idx="18">
                  <c:v>101120.921787438</c:v>
                </c:pt>
                <c:pt idx="19">
                  <c:v>106496.73410230958</c:v>
                </c:pt>
                <c:pt idx="20">
                  <c:v>111877.91227083969</c:v>
                </c:pt>
                <c:pt idx="21">
                  <c:v>117264.45629302834</c:v>
                </c:pt>
                <c:pt idx="22">
                  <c:v>122656.36616887552</c:v>
                </c:pt>
                <c:pt idx="23">
                  <c:v>128053.64189838125</c:v>
                </c:pt>
                <c:pt idx="24">
                  <c:v>133456.28348154551</c:v>
                </c:pt>
                <c:pt idx="25">
                  <c:v>138864.29091836832</c:v>
                </c:pt>
                <c:pt idx="26">
                  <c:v>144277.66420884966</c:v>
                </c:pt>
                <c:pt idx="27">
                  <c:v>149696.40335298952</c:v>
                </c:pt>
                <c:pt idx="28">
                  <c:v>155120.50835078792</c:v>
                </c:pt>
                <c:pt idx="29">
                  <c:v>160549.97920224487</c:v>
                </c:pt>
                <c:pt idx="30">
                  <c:v>165984.81590736035</c:v>
                </c:pt>
                <c:pt idx="31">
                  <c:v>171425.01846613435</c:v>
                </c:pt>
                <c:pt idx="32">
                  <c:v>176870.58687856692</c:v>
                </c:pt>
                <c:pt idx="33">
                  <c:v>182321.52114465801</c:v>
                </c:pt>
                <c:pt idx="34">
                  <c:v>187777.82126440763</c:v>
                </c:pt>
                <c:pt idx="35">
                  <c:v>193239.48723781577</c:v>
                </c:pt>
                <c:pt idx="36">
                  <c:v>201559.06425213956</c:v>
                </c:pt>
                <c:pt idx="37">
                  <c:v>209884.00712012188</c:v>
                </c:pt>
                <c:pt idx="38">
                  <c:v>218214.31584176273</c:v>
                </c:pt>
                <c:pt idx="39">
                  <c:v>226549.9904170621</c:v>
                </c:pt>
                <c:pt idx="40">
                  <c:v>234891.03084602003</c:v>
                </c:pt>
                <c:pt idx="41">
                  <c:v>243237.43712863649</c:v>
                </c:pt>
                <c:pt idx="42">
                  <c:v>251589.20926491148</c:v>
                </c:pt>
                <c:pt idx="43">
                  <c:v>259946.34725484502</c:v>
                </c:pt>
                <c:pt idx="44">
                  <c:v>268308.8510984371</c:v>
                </c:pt>
                <c:pt idx="45">
                  <c:v>276676.7207956877</c:v>
                </c:pt>
                <c:pt idx="46">
                  <c:v>285049.95634659682</c:v>
                </c:pt>
                <c:pt idx="47">
                  <c:v>293428.55775116448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1-794C-8130-0326D339B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693464"/>
        <c:axId val="2108690376"/>
      </c:lineChart>
      <c:catAx>
        <c:axId val="21086934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08690376"/>
        <c:crosses val="autoZero"/>
        <c:auto val="1"/>
        <c:lblAlgn val="ctr"/>
        <c:lblOffset val="100"/>
        <c:noMultiLvlLbl val="0"/>
      </c:catAx>
      <c:valAx>
        <c:axId val="2108690376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0869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CAT950WL!$X$6</c:f>
              <c:strCache>
                <c:ptCount val="1"/>
                <c:pt idx="0">
                  <c:v>Net Cumulative Cashflow</c:v>
                </c:pt>
              </c:strCache>
            </c:strRef>
          </c:tx>
          <c:marker>
            <c:symbol val="none"/>
          </c:marker>
          <c:cat>
            <c:numRef>
              <c:f>CAT950WL!$O$7:$O$66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CAT950WL!$X$7:$X$66</c:f>
              <c:numCache>
                <c:formatCode>_("$"* #,##0.00_);_("$"* \(#,##0.00\);_("$"* "-"??_);_(@_)</c:formatCode>
                <c:ptCount val="60"/>
                <c:pt idx="0">
                  <c:v>2604.9120690500949</c:v>
                </c:pt>
                <c:pt idx="1">
                  <c:v>5216.0116381001899</c:v>
                </c:pt>
                <c:pt idx="2">
                  <c:v>7833.2987071502848</c:v>
                </c:pt>
                <c:pt idx="3">
                  <c:v>10456.77327620038</c:v>
                </c:pt>
                <c:pt idx="4">
                  <c:v>13086.435345250475</c:v>
                </c:pt>
                <c:pt idx="5">
                  <c:v>15722.28491430057</c:v>
                </c:pt>
                <c:pt idx="6">
                  <c:v>18364.321983350666</c:v>
                </c:pt>
                <c:pt idx="7">
                  <c:v>21012.54655240076</c:v>
                </c:pt>
                <c:pt idx="8">
                  <c:v>23666.958621450853</c:v>
                </c:pt>
                <c:pt idx="9">
                  <c:v>26327.558190500946</c:v>
                </c:pt>
                <c:pt idx="10">
                  <c:v>28994.345259551039</c:v>
                </c:pt>
                <c:pt idx="11">
                  <c:v>31667.319828601132</c:v>
                </c:pt>
                <c:pt idx="12">
                  <c:v>34346.481897651225</c:v>
                </c:pt>
                <c:pt idx="13">
                  <c:v>37031.831466701318</c:v>
                </c:pt>
                <c:pt idx="14">
                  <c:v>39723.368535751411</c:v>
                </c:pt>
                <c:pt idx="15">
                  <c:v>42421.093104801505</c:v>
                </c:pt>
                <c:pt idx="16">
                  <c:v>45125.005173851598</c:v>
                </c:pt>
                <c:pt idx="17">
                  <c:v>47835.104742901691</c:v>
                </c:pt>
                <c:pt idx="18">
                  <c:v>50551.391811951784</c:v>
                </c:pt>
                <c:pt idx="19">
                  <c:v>53273.866381001877</c:v>
                </c:pt>
                <c:pt idx="20">
                  <c:v>56002.52845005197</c:v>
                </c:pt>
                <c:pt idx="21">
                  <c:v>58737.378019102063</c:v>
                </c:pt>
                <c:pt idx="22">
                  <c:v>61478.415088152156</c:v>
                </c:pt>
                <c:pt idx="23">
                  <c:v>64225.63965720225</c:v>
                </c:pt>
                <c:pt idx="24">
                  <c:v>66979.05172625235</c:v>
                </c:pt>
                <c:pt idx="25">
                  <c:v>69738.65129530245</c:v>
                </c:pt>
                <c:pt idx="26">
                  <c:v>72504.438364352551</c:v>
                </c:pt>
                <c:pt idx="27">
                  <c:v>75276.412933402651</c:v>
                </c:pt>
                <c:pt idx="28">
                  <c:v>78054.575002452752</c:v>
                </c:pt>
                <c:pt idx="29">
                  <c:v>67338.924571502852</c:v>
                </c:pt>
                <c:pt idx="30">
                  <c:v>70129.461640552952</c:v>
                </c:pt>
                <c:pt idx="31">
                  <c:v>72926.186209603053</c:v>
                </c:pt>
                <c:pt idx="32">
                  <c:v>75729.098278653153</c:v>
                </c:pt>
                <c:pt idx="33">
                  <c:v>78538.197847703254</c:v>
                </c:pt>
                <c:pt idx="34">
                  <c:v>81353.484916753354</c:v>
                </c:pt>
                <c:pt idx="35">
                  <c:v>84174.959485803454</c:v>
                </c:pt>
                <c:pt idx="36">
                  <c:v>87002.621554853555</c:v>
                </c:pt>
                <c:pt idx="37">
                  <c:v>89836.471123903655</c:v>
                </c:pt>
                <c:pt idx="38">
                  <c:v>92676.508192953755</c:v>
                </c:pt>
                <c:pt idx="39">
                  <c:v>95522.732762003856</c:v>
                </c:pt>
                <c:pt idx="40">
                  <c:v>98375.144831053956</c:v>
                </c:pt>
                <c:pt idx="41">
                  <c:v>101233.74440010406</c:v>
                </c:pt>
                <c:pt idx="42">
                  <c:v>104098.53146915416</c:v>
                </c:pt>
                <c:pt idx="43">
                  <c:v>106969.50603820426</c:v>
                </c:pt>
                <c:pt idx="44">
                  <c:v>109846.66810725436</c:v>
                </c:pt>
                <c:pt idx="45">
                  <c:v>112730.01767630446</c:v>
                </c:pt>
                <c:pt idx="46">
                  <c:v>115619.55474535456</c:v>
                </c:pt>
                <c:pt idx="47">
                  <c:v>105015.27931440466</c:v>
                </c:pt>
                <c:pt idx="48">
                  <c:v>107917.19138345476</c:v>
                </c:pt>
                <c:pt idx="49">
                  <c:v>110825.29095250486</c:v>
                </c:pt>
                <c:pt idx="50">
                  <c:v>113739.57802155496</c:v>
                </c:pt>
                <c:pt idx="51">
                  <c:v>116660.05259060506</c:v>
                </c:pt>
                <c:pt idx="52">
                  <c:v>119586.71465965516</c:v>
                </c:pt>
                <c:pt idx="53">
                  <c:v>122519.56422870526</c:v>
                </c:pt>
                <c:pt idx="54">
                  <c:v>125458.60129775536</c:v>
                </c:pt>
                <c:pt idx="55">
                  <c:v>128403.82586680546</c:v>
                </c:pt>
                <c:pt idx="56">
                  <c:v>128410.01336680546</c:v>
                </c:pt>
                <c:pt idx="57">
                  <c:v>128416.20086680546</c:v>
                </c:pt>
                <c:pt idx="58">
                  <c:v>131367.61293585555</c:v>
                </c:pt>
                <c:pt idx="59">
                  <c:v>131373.80043585555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F-8D47-BC98-AE1DBC46A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475544"/>
        <c:axId val="2126478552"/>
      </c:lineChart>
      <c:catAx>
        <c:axId val="21264755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26478552"/>
        <c:crosses val="autoZero"/>
        <c:auto val="1"/>
        <c:lblAlgn val="ctr"/>
        <c:lblOffset val="100"/>
        <c:noMultiLvlLbl val="0"/>
      </c:catAx>
      <c:valAx>
        <c:axId val="2126478552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2647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CAT950WL!$X$6</c:f>
              <c:strCache>
                <c:ptCount val="1"/>
                <c:pt idx="0">
                  <c:v>Net Cumulative Cashflow</c:v>
                </c:pt>
              </c:strCache>
            </c:strRef>
          </c:tx>
          <c:marker>
            <c:symbol val="none"/>
          </c:marker>
          <c:cat>
            <c:numRef>
              <c:f>CAT950WL!$O$75:$O$122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CAT950WL!$X$75:$X$122</c:f>
              <c:numCache>
                <c:formatCode>_("$"* #,##0.00_);_("$"* \(#,##0.00\);_("$"* "-"??_);_(@_)</c:formatCode>
                <c:ptCount val="48"/>
                <c:pt idx="0">
                  <c:v>4559.1885755862868</c:v>
                </c:pt>
                <c:pt idx="1">
                  <c:v>9124.5646511725736</c:v>
                </c:pt>
                <c:pt idx="2">
                  <c:v>13696.128226758861</c:v>
                </c:pt>
                <c:pt idx="3">
                  <c:v>18273.879302345147</c:v>
                </c:pt>
                <c:pt idx="4">
                  <c:v>22857.817877931433</c:v>
                </c:pt>
                <c:pt idx="5">
                  <c:v>27447.943953517719</c:v>
                </c:pt>
                <c:pt idx="6">
                  <c:v>32044.257529104005</c:v>
                </c:pt>
                <c:pt idx="7">
                  <c:v>36646.758604690294</c:v>
                </c:pt>
                <c:pt idx="8">
                  <c:v>41255.447180276584</c:v>
                </c:pt>
                <c:pt idx="9">
                  <c:v>45870.323255862873</c:v>
                </c:pt>
                <c:pt idx="10">
                  <c:v>50491.386831449163</c:v>
                </c:pt>
                <c:pt idx="11">
                  <c:v>55118.637907035452</c:v>
                </c:pt>
                <c:pt idx="12">
                  <c:v>59752.076482621742</c:v>
                </c:pt>
                <c:pt idx="13">
                  <c:v>64391.702558208031</c:v>
                </c:pt>
                <c:pt idx="14">
                  <c:v>69037.516133794314</c:v>
                </c:pt>
                <c:pt idx="15">
                  <c:v>73689.517209380603</c:v>
                </c:pt>
                <c:pt idx="16">
                  <c:v>78347.705784966893</c:v>
                </c:pt>
                <c:pt idx="17">
                  <c:v>83012.081860553182</c:v>
                </c:pt>
                <c:pt idx="18">
                  <c:v>87682.645436139472</c:v>
                </c:pt>
                <c:pt idx="19">
                  <c:v>92359.396511725761</c:v>
                </c:pt>
                <c:pt idx="20">
                  <c:v>97042.335087312051</c:v>
                </c:pt>
                <c:pt idx="21">
                  <c:v>101731.46116289834</c:v>
                </c:pt>
                <c:pt idx="22">
                  <c:v>106426.77473848463</c:v>
                </c:pt>
                <c:pt idx="23">
                  <c:v>111128.27581407092</c:v>
                </c:pt>
                <c:pt idx="24">
                  <c:v>115835.96438965721</c:v>
                </c:pt>
                <c:pt idx="25">
                  <c:v>120549.8404652435</c:v>
                </c:pt>
                <c:pt idx="26">
                  <c:v>125269.90404082979</c:v>
                </c:pt>
                <c:pt idx="27">
                  <c:v>129996.15511641608</c:v>
                </c:pt>
                <c:pt idx="28">
                  <c:v>134728.59369200235</c:v>
                </c:pt>
                <c:pt idx="29">
                  <c:v>139467.21976758863</c:v>
                </c:pt>
                <c:pt idx="30">
                  <c:v>144212.0333431749</c:v>
                </c:pt>
                <c:pt idx="31">
                  <c:v>148963.03441876118</c:v>
                </c:pt>
                <c:pt idx="32">
                  <c:v>153720.22299434745</c:v>
                </c:pt>
                <c:pt idx="33">
                  <c:v>158483.59906993373</c:v>
                </c:pt>
                <c:pt idx="34">
                  <c:v>163253.16264552</c:v>
                </c:pt>
                <c:pt idx="35">
                  <c:v>168028.91372110628</c:v>
                </c:pt>
                <c:pt idx="36">
                  <c:v>176100.19346574837</c:v>
                </c:pt>
                <c:pt idx="37">
                  <c:v>184177.66071039045</c:v>
                </c:pt>
                <c:pt idx="38">
                  <c:v>192261.31545503254</c:v>
                </c:pt>
                <c:pt idx="39">
                  <c:v>200351.15769967463</c:v>
                </c:pt>
                <c:pt idx="40">
                  <c:v>208447.18744431672</c:v>
                </c:pt>
                <c:pt idx="41">
                  <c:v>216549.40468895881</c:v>
                </c:pt>
                <c:pt idx="42">
                  <c:v>224657.80943360089</c:v>
                </c:pt>
                <c:pt idx="43">
                  <c:v>232772.40167824298</c:v>
                </c:pt>
                <c:pt idx="44">
                  <c:v>240893.18142288507</c:v>
                </c:pt>
                <c:pt idx="45">
                  <c:v>249020.14866752716</c:v>
                </c:pt>
                <c:pt idx="46">
                  <c:v>257153.30341216925</c:v>
                </c:pt>
                <c:pt idx="47">
                  <c:v>265292.64565681136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5-2A46-A6F2-E590B627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693464"/>
        <c:axId val="2108690376"/>
      </c:lineChart>
      <c:catAx>
        <c:axId val="21086934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08690376"/>
        <c:crosses val="autoZero"/>
        <c:auto val="1"/>
        <c:lblAlgn val="ctr"/>
        <c:lblOffset val="100"/>
        <c:noMultiLvlLbl val="0"/>
      </c:catAx>
      <c:valAx>
        <c:axId val="2108690376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0869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'MERC WC'!$X$6</c:f>
              <c:strCache>
                <c:ptCount val="1"/>
                <c:pt idx="0">
                  <c:v>Net Cumulative Cashflow</c:v>
                </c:pt>
              </c:strCache>
            </c:strRef>
          </c:tx>
          <c:marker>
            <c:symbol val="none"/>
          </c:marker>
          <c:cat>
            <c:numRef>
              <c:f>'MERC WC'!$O$7:$O$66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'MERC WC'!$X$7:$X$66</c:f>
              <c:numCache>
                <c:formatCode>_("$"* #,##0.00_);_("$"* \(#,##0.00\);_("$"* "-"??_);_(@_)</c:formatCode>
                <c:ptCount val="60"/>
                <c:pt idx="0">
                  <c:v>1027.3540075544108</c:v>
                </c:pt>
                <c:pt idx="1">
                  <c:v>2058.4548901088219</c:v>
                </c:pt>
                <c:pt idx="2">
                  <c:v>3093.3026476632331</c:v>
                </c:pt>
                <c:pt idx="3">
                  <c:v>4131.897280217644</c:v>
                </c:pt>
                <c:pt idx="4">
                  <c:v>5174.2387877720548</c:v>
                </c:pt>
                <c:pt idx="5">
                  <c:v>6220.3271703264654</c:v>
                </c:pt>
                <c:pt idx="6">
                  <c:v>7270.1624278808758</c:v>
                </c:pt>
                <c:pt idx="7">
                  <c:v>8323.744560435287</c:v>
                </c:pt>
                <c:pt idx="8">
                  <c:v>9381.073567989697</c:v>
                </c:pt>
                <c:pt idx="9">
                  <c:v>10442.149450544108</c:v>
                </c:pt>
                <c:pt idx="10">
                  <c:v>11506.972208098519</c:v>
                </c:pt>
                <c:pt idx="11">
                  <c:v>12575.54184065293</c:v>
                </c:pt>
                <c:pt idx="12">
                  <c:v>13647.858348207341</c:v>
                </c:pt>
                <c:pt idx="13">
                  <c:v>14723.921730761751</c:v>
                </c:pt>
                <c:pt idx="14">
                  <c:v>15803.731988316162</c:v>
                </c:pt>
                <c:pt idx="15">
                  <c:v>16887.289120870573</c:v>
                </c:pt>
                <c:pt idx="16">
                  <c:v>17974.593128424985</c:v>
                </c:pt>
                <c:pt idx="17">
                  <c:v>19065.644010979395</c:v>
                </c:pt>
                <c:pt idx="18">
                  <c:v>20160.441768533805</c:v>
                </c:pt>
                <c:pt idx="19">
                  <c:v>21258.986401088216</c:v>
                </c:pt>
                <c:pt idx="20">
                  <c:v>22361.277908642627</c:v>
                </c:pt>
                <c:pt idx="21">
                  <c:v>23467.316291197039</c:v>
                </c:pt>
                <c:pt idx="22">
                  <c:v>24577.101548751449</c:v>
                </c:pt>
                <c:pt idx="23">
                  <c:v>25690.633681305859</c:v>
                </c:pt>
                <c:pt idx="24">
                  <c:v>26807.91268886027</c:v>
                </c:pt>
                <c:pt idx="25">
                  <c:v>27928.938571414681</c:v>
                </c:pt>
                <c:pt idx="26">
                  <c:v>29053.711328969093</c:v>
                </c:pt>
                <c:pt idx="27">
                  <c:v>30182.230961523503</c:v>
                </c:pt>
                <c:pt idx="28">
                  <c:v>31314.497469077913</c:v>
                </c:pt>
                <c:pt idx="29">
                  <c:v>24275.510851632323</c:v>
                </c:pt>
                <c:pt idx="30">
                  <c:v>25415.271109186735</c:v>
                </c:pt>
                <c:pt idx="31">
                  <c:v>26558.778241741147</c:v>
                </c:pt>
                <c:pt idx="32">
                  <c:v>27706.032249295557</c:v>
                </c:pt>
                <c:pt idx="33">
                  <c:v>28857.033131849967</c:v>
                </c:pt>
                <c:pt idx="34">
                  <c:v>30011.780889404377</c:v>
                </c:pt>
                <c:pt idx="35">
                  <c:v>31170.275521958789</c:v>
                </c:pt>
                <c:pt idx="36">
                  <c:v>32332.517029513201</c:v>
                </c:pt>
                <c:pt idx="37">
                  <c:v>33498.505412067614</c:v>
                </c:pt>
                <c:pt idx="38">
                  <c:v>34668.240669622028</c:v>
                </c:pt>
                <c:pt idx="39">
                  <c:v>35841.722802176439</c:v>
                </c:pt>
                <c:pt idx="40">
                  <c:v>37018.951809730846</c:v>
                </c:pt>
                <c:pt idx="41">
                  <c:v>38199.927692285259</c:v>
                </c:pt>
                <c:pt idx="42">
                  <c:v>39384.650449839668</c:v>
                </c:pt>
                <c:pt idx="43">
                  <c:v>40573.120082394082</c:v>
                </c:pt>
                <c:pt idx="44">
                  <c:v>41765.336589948492</c:v>
                </c:pt>
                <c:pt idx="45">
                  <c:v>42961.2999725029</c:v>
                </c:pt>
                <c:pt idx="46">
                  <c:v>44161.010230057313</c:v>
                </c:pt>
                <c:pt idx="47">
                  <c:v>37189.467362611722</c:v>
                </c:pt>
                <c:pt idx="48">
                  <c:v>38396.671370166136</c:v>
                </c:pt>
                <c:pt idx="49">
                  <c:v>39607.622252720546</c:v>
                </c:pt>
                <c:pt idx="50">
                  <c:v>40822.320010274954</c:v>
                </c:pt>
                <c:pt idx="51">
                  <c:v>42040.764642829366</c:v>
                </c:pt>
                <c:pt idx="52">
                  <c:v>43262.956150383776</c:v>
                </c:pt>
                <c:pt idx="53">
                  <c:v>44488.89453293819</c:v>
                </c:pt>
                <c:pt idx="54">
                  <c:v>45718.5797904926</c:v>
                </c:pt>
                <c:pt idx="55">
                  <c:v>46952.011923047008</c:v>
                </c:pt>
                <c:pt idx="56">
                  <c:v>46955.758798047013</c:v>
                </c:pt>
                <c:pt idx="57">
                  <c:v>46959.50567304701</c:v>
                </c:pt>
                <c:pt idx="58">
                  <c:v>48196.684680601422</c:v>
                </c:pt>
                <c:pt idx="59">
                  <c:v>48200.431555601419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0-DD43-AA47-0DFB738C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475544"/>
        <c:axId val="2126478552"/>
      </c:lineChart>
      <c:catAx>
        <c:axId val="21264755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26478552"/>
        <c:crosses val="autoZero"/>
        <c:auto val="1"/>
        <c:lblAlgn val="ctr"/>
        <c:lblOffset val="100"/>
        <c:noMultiLvlLbl val="0"/>
      </c:catAx>
      <c:valAx>
        <c:axId val="2126478552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2647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'CAT350'!$X$6</c:f>
              <c:strCache>
                <c:ptCount val="1"/>
                <c:pt idx="0">
                  <c:v>Net Cumulative Cashflow</c:v>
                </c:pt>
              </c:strCache>
            </c:strRef>
          </c:tx>
          <c:marker>
            <c:symbol val="none"/>
          </c:marker>
          <c:cat>
            <c:numRef>
              <c:f>'CAT350'!$O$7:$O$66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'CAT350'!$X$7:$X$66</c:f>
              <c:numCache>
                <c:formatCode>_("$"* #,##0.00_);_("$"* \(#,##0.00\);_("$"* "-"??_);_(@_)</c:formatCode>
                <c:ptCount val="60"/>
                <c:pt idx="0">
                  <c:v>5220.7470156940999</c:v>
                </c:pt>
                <c:pt idx="1">
                  <c:v>10454.292095412591</c:v>
                </c:pt>
                <c:pt idx="2">
                  <c:v>15700.635239155472</c:v>
                </c:pt>
                <c:pt idx="3">
                  <c:v>20959.776446922744</c:v>
                </c:pt>
                <c:pt idx="4">
                  <c:v>26231.715718714404</c:v>
                </c:pt>
                <c:pt idx="5">
                  <c:v>31516.453054530455</c:v>
                </c:pt>
                <c:pt idx="6">
                  <c:v>36813.988454370898</c:v>
                </c:pt>
                <c:pt idx="7">
                  <c:v>42124.321918235728</c:v>
                </c:pt>
                <c:pt idx="8">
                  <c:v>47447.45344612495</c:v>
                </c:pt>
                <c:pt idx="9">
                  <c:v>52783.383038038563</c:v>
                </c:pt>
                <c:pt idx="10">
                  <c:v>58132.110693976567</c:v>
                </c:pt>
                <c:pt idx="11">
                  <c:v>63493.636413938963</c:v>
                </c:pt>
                <c:pt idx="12">
                  <c:v>68867.960197925742</c:v>
                </c:pt>
                <c:pt idx="13">
                  <c:v>74255.082045936913</c:v>
                </c:pt>
                <c:pt idx="14">
                  <c:v>79655.001957972476</c:v>
                </c:pt>
                <c:pt idx="15">
                  <c:v>85067.71993403243</c:v>
                </c:pt>
                <c:pt idx="16">
                  <c:v>90493.235974116775</c:v>
                </c:pt>
                <c:pt idx="17">
                  <c:v>95931.550078225511</c:v>
                </c:pt>
                <c:pt idx="18">
                  <c:v>101382.66224635864</c:v>
                </c:pt>
                <c:pt idx="19">
                  <c:v>106846.57247851616</c:v>
                </c:pt>
                <c:pt idx="20">
                  <c:v>112323.28077469807</c:v>
                </c:pt>
                <c:pt idx="21">
                  <c:v>117812.78713490437</c:v>
                </c:pt>
                <c:pt idx="22">
                  <c:v>123315.09155913506</c:v>
                </c:pt>
                <c:pt idx="23">
                  <c:v>128830.19404739013</c:v>
                </c:pt>
                <c:pt idx="24">
                  <c:v>134358.0945996696</c:v>
                </c:pt>
                <c:pt idx="25">
                  <c:v>139898.79321597345</c:v>
                </c:pt>
                <c:pt idx="26">
                  <c:v>145452.28989630169</c:v>
                </c:pt>
                <c:pt idx="27">
                  <c:v>151018.58464065433</c:v>
                </c:pt>
                <c:pt idx="28">
                  <c:v>156597.67744903135</c:v>
                </c:pt>
                <c:pt idx="29">
                  <c:v>135079.81222387179</c:v>
                </c:pt>
                <c:pt idx="30">
                  <c:v>140684.5011602976</c:v>
                </c:pt>
                <c:pt idx="31">
                  <c:v>146301.9881607478</c:v>
                </c:pt>
                <c:pt idx="32">
                  <c:v>151932.27322522239</c:v>
                </c:pt>
                <c:pt idx="33">
                  <c:v>157575.35635372138</c:v>
                </c:pt>
                <c:pt idx="34">
                  <c:v>163231.23754624475</c:v>
                </c:pt>
                <c:pt idx="35">
                  <c:v>168899.91680279252</c:v>
                </c:pt>
                <c:pt idx="36">
                  <c:v>174581.39412336468</c:v>
                </c:pt>
                <c:pt idx="37">
                  <c:v>180275.66950796123</c:v>
                </c:pt>
                <c:pt idx="38">
                  <c:v>185982.74295658217</c:v>
                </c:pt>
                <c:pt idx="39">
                  <c:v>191702.6144692275</c:v>
                </c:pt>
                <c:pt idx="40">
                  <c:v>197435.28404589722</c:v>
                </c:pt>
                <c:pt idx="41">
                  <c:v>203180.75168659131</c:v>
                </c:pt>
                <c:pt idx="42">
                  <c:v>208939.01739130978</c:v>
                </c:pt>
                <c:pt idx="43">
                  <c:v>214710.08116005265</c:v>
                </c:pt>
                <c:pt idx="44">
                  <c:v>220493.94299281991</c:v>
                </c:pt>
                <c:pt idx="45">
                  <c:v>226290.60288961156</c:v>
                </c:pt>
                <c:pt idx="46">
                  <c:v>232100.0608504276</c:v>
                </c:pt>
                <c:pt idx="47">
                  <c:v>210812.56077770708</c:v>
                </c:pt>
                <c:pt idx="48">
                  <c:v>216647.61486657191</c:v>
                </c:pt>
                <c:pt idx="49">
                  <c:v>222495.46701946112</c:v>
                </c:pt>
                <c:pt idx="50">
                  <c:v>228356.11723637473</c:v>
                </c:pt>
                <c:pt idx="51">
                  <c:v>234229.56551731273</c:v>
                </c:pt>
                <c:pt idx="52">
                  <c:v>240115.81186227512</c:v>
                </c:pt>
                <c:pt idx="53">
                  <c:v>246014.8562712619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E-C342-9886-16B36480B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191528"/>
        <c:axId val="2115188504"/>
      </c:lineChart>
      <c:catAx>
        <c:axId val="211519152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15188504"/>
        <c:crosses val="autoZero"/>
        <c:auto val="1"/>
        <c:lblAlgn val="ctr"/>
        <c:lblOffset val="100"/>
        <c:noMultiLvlLbl val="0"/>
      </c:catAx>
      <c:valAx>
        <c:axId val="2115188504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1519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'MERC WC'!$X$6</c:f>
              <c:strCache>
                <c:ptCount val="1"/>
                <c:pt idx="0">
                  <c:v>Net Cumulative Cashflow</c:v>
                </c:pt>
              </c:strCache>
            </c:strRef>
          </c:tx>
          <c:marker>
            <c:symbol val="none"/>
          </c:marker>
          <c:cat>
            <c:numRef>
              <c:f>'MERC WC'!$O$75:$O$122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'MERC WC'!$X$75:$X$122</c:f>
              <c:numCache>
                <c:formatCode>_("$"* #,##0.00_);_("$"* \(#,##0.00\);_("$"* "-"??_);_(@_)</c:formatCode>
                <c:ptCount val="48"/>
                <c:pt idx="0">
                  <c:v>2210.7770031791038</c:v>
                </c:pt>
                <c:pt idx="1">
                  <c:v>4425.3008813582073</c:v>
                </c:pt>
                <c:pt idx="2">
                  <c:v>6643.5716345373112</c:v>
                </c:pt>
                <c:pt idx="3">
                  <c:v>8865.5892627164139</c:v>
                </c:pt>
                <c:pt idx="4">
                  <c:v>11091.353765895517</c:v>
                </c:pt>
                <c:pt idx="5">
                  <c:v>13320.865144074622</c:v>
                </c:pt>
                <c:pt idx="6">
                  <c:v>15554.123397253725</c:v>
                </c:pt>
                <c:pt idx="7">
                  <c:v>17791.128525432829</c:v>
                </c:pt>
                <c:pt idx="8">
                  <c:v>20031.880528611931</c:v>
                </c:pt>
                <c:pt idx="9">
                  <c:v>22276.379406791035</c:v>
                </c:pt>
                <c:pt idx="10">
                  <c:v>24524.625159970139</c:v>
                </c:pt>
                <c:pt idx="11">
                  <c:v>26776.617788149244</c:v>
                </c:pt>
                <c:pt idx="12">
                  <c:v>29032.35729132835</c:v>
                </c:pt>
                <c:pt idx="13">
                  <c:v>31291.843669507452</c:v>
                </c:pt>
                <c:pt idx="14">
                  <c:v>33555.076922686552</c:v>
                </c:pt>
                <c:pt idx="15">
                  <c:v>35822.057050865653</c:v>
                </c:pt>
                <c:pt idx="16">
                  <c:v>38092.784054044758</c:v>
                </c:pt>
                <c:pt idx="17">
                  <c:v>40367.25793222386</c:v>
                </c:pt>
                <c:pt idx="18">
                  <c:v>42645.478685402966</c:v>
                </c:pt>
                <c:pt idx="19">
                  <c:v>44927.44631358207</c:v>
                </c:pt>
                <c:pt idx="20">
                  <c:v>47213.16081676117</c:v>
                </c:pt>
                <c:pt idx="21">
                  <c:v>49502.622194940275</c:v>
                </c:pt>
                <c:pt idx="22">
                  <c:v>51795.830448119377</c:v>
                </c:pt>
                <c:pt idx="23">
                  <c:v>54092.785576298484</c:v>
                </c:pt>
                <c:pt idx="24">
                  <c:v>56393.487579477587</c:v>
                </c:pt>
                <c:pt idx="25">
                  <c:v>58697.936457656688</c:v>
                </c:pt>
                <c:pt idx="26">
                  <c:v>61006.132210835793</c:v>
                </c:pt>
                <c:pt idx="27">
                  <c:v>63318.074839014895</c:v>
                </c:pt>
                <c:pt idx="28">
                  <c:v>65633.764342194001</c:v>
                </c:pt>
                <c:pt idx="29">
                  <c:v>67953.200720373105</c:v>
                </c:pt>
                <c:pt idx="30">
                  <c:v>70276.383973552205</c:v>
                </c:pt>
                <c:pt idx="31">
                  <c:v>72603.314101731303</c:v>
                </c:pt>
                <c:pt idx="32">
                  <c:v>74933.991104910412</c:v>
                </c:pt>
                <c:pt idx="33">
                  <c:v>77268.414983089519</c:v>
                </c:pt>
                <c:pt idx="34">
                  <c:v>79606.585736268622</c:v>
                </c:pt>
                <c:pt idx="35">
                  <c:v>81948.503364447723</c:v>
                </c:pt>
                <c:pt idx="36">
                  <c:v>86286.046686666174</c:v>
                </c:pt>
                <c:pt idx="37">
                  <c:v>90627.336883884636</c:v>
                </c:pt>
                <c:pt idx="38">
                  <c:v>94972.373956103096</c:v>
                </c:pt>
                <c:pt idx="39">
                  <c:v>99321.157903321553</c:v>
                </c:pt>
                <c:pt idx="40">
                  <c:v>103673.68872554001</c:v>
                </c:pt>
                <c:pt idx="41">
                  <c:v>108029.96642275847</c:v>
                </c:pt>
                <c:pt idx="42">
                  <c:v>112389.99099497694</c:v>
                </c:pt>
                <c:pt idx="43">
                  <c:v>116753.7624421954</c:v>
                </c:pt>
                <c:pt idx="44">
                  <c:v>121121.28076441385</c:v>
                </c:pt>
                <c:pt idx="45">
                  <c:v>125492.54596163231</c:v>
                </c:pt>
                <c:pt idx="46">
                  <c:v>129867.55803385077</c:v>
                </c:pt>
                <c:pt idx="47">
                  <c:v>134246.31698106922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0-6344-BE3B-2D22129C0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693464"/>
        <c:axId val="2108690376"/>
      </c:lineChart>
      <c:catAx>
        <c:axId val="21086934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08690376"/>
        <c:crosses val="autoZero"/>
        <c:auto val="1"/>
        <c:lblAlgn val="ctr"/>
        <c:lblOffset val="100"/>
        <c:noMultiLvlLbl val="0"/>
      </c:catAx>
      <c:valAx>
        <c:axId val="2108690376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0869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'ATLAS T35'!$X$6</c:f>
              <c:strCache>
                <c:ptCount val="1"/>
                <c:pt idx="0">
                  <c:v>Net Cumulative Cashflow</c:v>
                </c:pt>
              </c:strCache>
            </c:strRef>
          </c:tx>
          <c:marker>
            <c:symbol val="none"/>
          </c:marker>
          <c:cat>
            <c:numRef>
              <c:f>'ATLAS T35'!$O$7:$O$66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'ATLAS T35'!$X$7:$X$66</c:f>
              <c:numCache>
                <c:formatCode>_("$"* #,##0.00_);_("$"* \(#,##0.00\);_("$"* "-"??_);_(@_)</c:formatCode>
                <c:ptCount val="60"/>
                <c:pt idx="0">
                  <c:v>10291.093435411916</c:v>
                </c:pt>
                <c:pt idx="1">
                  <c:v>20592.688433323834</c:v>
                </c:pt>
                <c:pt idx="2">
                  <c:v>30904.78499373575</c:v>
                </c:pt>
                <c:pt idx="3">
                  <c:v>41227.383116647667</c:v>
                </c:pt>
                <c:pt idx="4">
                  <c:v>51560.482802059581</c:v>
                </c:pt>
                <c:pt idx="5">
                  <c:v>61904.084049971498</c:v>
                </c:pt>
                <c:pt idx="6">
                  <c:v>72258.186860383415</c:v>
                </c:pt>
                <c:pt idx="7">
                  <c:v>82622.791233295327</c:v>
                </c:pt>
                <c:pt idx="8">
                  <c:v>92997.897168707248</c:v>
                </c:pt>
                <c:pt idx="9">
                  <c:v>103383.50466661916</c:v>
                </c:pt>
                <c:pt idx="10">
                  <c:v>113779.61372703107</c:v>
                </c:pt>
                <c:pt idx="11">
                  <c:v>124186.22434994299</c:v>
                </c:pt>
                <c:pt idx="12">
                  <c:v>134603.3365353549</c:v>
                </c:pt>
                <c:pt idx="13">
                  <c:v>145030.95028326681</c:v>
                </c:pt>
                <c:pt idx="14">
                  <c:v>155469.06559367874</c:v>
                </c:pt>
                <c:pt idx="15">
                  <c:v>165917.68246659066</c:v>
                </c:pt>
                <c:pt idx="16">
                  <c:v>176376.80090200258</c:v>
                </c:pt>
                <c:pt idx="17">
                  <c:v>186846.42089991449</c:v>
                </c:pt>
                <c:pt idx="18">
                  <c:v>197326.5424603264</c:v>
                </c:pt>
                <c:pt idx="19">
                  <c:v>207817.1655832383</c:v>
                </c:pt>
                <c:pt idx="20">
                  <c:v>218318.29026865022</c:v>
                </c:pt>
                <c:pt idx="21">
                  <c:v>228829.91651656214</c:v>
                </c:pt>
                <c:pt idx="22">
                  <c:v>239352.04432697405</c:v>
                </c:pt>
                <c:pt idx="23">
                  <c:v>249884.67369988596</c:v>
                </c:pt>
                <c:pt idx="24">
                  <c:v>260427.80463529786</c:v>
                </c:pt>
                <c:pt idx="25">
                  <c:v>270981.43713320978</c:v>
                </c:pt>
                <c:pt idx="26">
                  <c:v>281545.57119362167</c:v>
                </c:pt>
                <c:pt idx="27">
                  <c:v>292120.20681653358</c:v>
                </c:pt>
                <c:pt idx="28">
                  <c:v>302705.34400194552</c:v>
                </c:pt>
                <c:pt idx="29">
                  <c:v>275113.48274985742</c:v>
                </c:pt>
                <c:pt idx="30">
                  <c:v>285719.62306026934</c:v>
                </c:pt>
                <c:pt idx="31">
                  <c:v>296336.26493318123</c:v>
                </c:pt>
                <c:pt idx="32">
                  <c:v>306963.40836859314</c:v>
                </c:pt>
                <c:pt idx="33">
                  <c:v>317601.05336650508</c:v>
                </c:pt>
                <c:pt idx="34">
                  <c:v>328249.19992691698</c:v>
                </c:pt>
                <c:pt idx="35">
                  <c:v>338907.8480498289</c:v>
                </c:pt>
                <c:pt idx="36">
                  <c:v>349576.99773524079</c:v>
                </c:pt>
                <c:pt idx="37">
                  <c:v>360256.6489831527</c:v>
                </c:pt>
                <c:pt idx="38">
                  <c:v>370946.80179356463</c:v>
                </c:pt>
                <c:pt idx="39">
                  <c:v>381647.45616647654</c:v>
                </c:pt>
                <c:pt idx="40">
                  <c:v>392358.61210188846</c:v>
                </c:pt>
                <c:pt idx="41">
                  <c:v>403080.26959980035</c:v>
                </c:pt>
                <c:pt idx="42">
                  <c:v>413812.42866021226</c:v>
                </c:pt>
                <c:pt idx="43">
                  <c:v>424555.08928312419</c:v>
                </c:pt>
                <c:pt idx="44">
                  <c:v>435308.25146853609</c:v>
                </c:pt>
                <c:pt idx="45">
                  <c:v>446071.91521644802</c:v>
                </c:pt>
                <c:pt idx="46">
                  <c:v>456846.08052685991</c:v>
                </c:pt>
                <c:pt idx="47">
                  <c:v>429443.24739977182</c:v>
                </c:pt>
                <c:pt idx="48">
                  <c:v>440238.41583518375</c:v>
                </c:pt>
                <c:pt idx="49">
                  <c:v>451044.08583309565</c:v>
                </c:pt>
                <c:pt idx="50">
                  <c:v>461860.25739350758</c:v>
                </c:pt>
                <c:pt idx="51">
                  <c:v>472686.93051641947</c:v>
                </c:pt>
                <c:pt idx="52">
                  <c:v>483524.10520183138</c:v>
                </c:pt>
                <c:pt idx="53">
                  <c:v>494371.78144974331</c:v>
                </c:pt>
                <c:pt idx="54">
                  <c:v>505229.95926015521</c:v>
                </c:pt>
                <c:pt idx="55">
                  <c:v>516098.63863306714</c:v>
                </c:pt>
                <c:pt idx="56">
                  <c:v>516109.1401955671</c:v>
                </c:pt>
                <c:pt idx="57">
                  <c:v>516119.64175806713</c:v>
                </c:pt>
                <c:pt idx="58">
                  <c:v>526998.82269347901</c:v>
                </c:pt>
                <c:pt idx="59">
                  <c:v>527009.32425597904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C-B04D-A5F2-963761291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475544"/>
        <c:axId val="2126478552"/>
      </c:lineChart>
      <c:catAx>
        <c:axId val="21264755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26478552"/>
        <c:crosses val="autoZero"/>
        <c:auto val="1"/>
        <c:lblAlgn val="ctr"/>
        <c:lblOffset val="100"/>
        <c:noMultiLvlLbl val="0"/>
      </c:catAx>
      <c:valAx>
        <c:axId val="2126478552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2647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'ATLAS T35'!$X$6</c:f>
              <c:strCache>
                <c:ptCount val="1"/>
                <c:pt idx="0">
                  <c:v>Net Cumulative Cashflow</c:v>
                </c:pt>
              </c:strCache>
            </c:strRef>
          </c:tx>
          <c:marker>
            <c:symbol val="none"/>
          </c:marker>
          <c:cat>
            <c:numRef>
              <c:f>'ATLAS T35'!$O$75:$O$122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'ATLAS T35'!$X$75:$X$122</c:f>
              <c:numCache>
                <c:formatCode>_("$"* #,##0.00_);_("$"* \(#,##0.00\);_("$"* "-"??_);_(@_)</c:formatCode>
                <c:ptCount val="48"/>
                <c:pt idx="0">
                  <c:v>16770.661936620061</c:v>
                </c:pt>
                <c:pt idx="1">
                  <c:v>33551.825435740124</c:v>
                </c:pt>
                <c:pt idx="2">
                  <c:v>50343.490497360181</c:v>
                </c:pt>
                <c:pt idx="3">
                  <c:v>67145.657121480239</c:v>
                </c:pt>
                <c:pt idx="4">
                  <c:v>83958.325308100306</c:v>
                </c:pt>
                <c:pt idx="5">
                  <c:v>100781.49505722037</c:v>
                </c:pt>
                <c:pt idx="6">
                  <c:v>117615.16636884044</c:v>
                </c:pt>
                <c:pt idx="7">
                  <c:v>134459.3392429605</c:v>
                </c:pt>
                <c:pt idx="8">
                  <c:v>151314.01367958056</c:v>
                </c:pt>
                <c:pt idx="9">
                  <c:v>168179.18967870061</c:v>
                </c:pt>
                <c:pt idx="10">
                  <c:v>185054.86724032066</c:v>
                </c:pt>
                <c:pt idx="11">
                  <c:v>201941.04636444073</c:v>
                </c:pt>
                <c:pt idx="12">
                  <c:v>218837.72705106079</c:v>
                </c:pt>
                <c:pt idx="13">
                  <c:v>235744.90930018085</c:v>
                </c:pt>
                <c:pt idx="14">
                  <c:v>252662.5931118009</c:v>
                </c:pt>
                <c:pt idx="15">
                  <c:v>269590.77848592098</c:v>
                </c:pt>
                <c:pt idx="16">
                  <c:v>286529.46542254102</c:v>
                </c:pt>
                <c:pt idx="17">
                  <c:v>303478.65392166108</c:v>
                </c:pt>
                <c:pt idx="18">
                  <c:v>320438.34398328117</c:v>
                </c:pt>
                <c:pt idx="19">
                  <c:v>337408.53560740122</c:v>
                </c:pt>
                <c:pt idx="20">
                  <c:v>354389.2287940213</c:v>
                </c:pt>
                <c:pt idx="21">
                  <c:v>371380.42354314134</c:v>
                </c:pt>
                <c:pt idx="22">
                  <c:v>388382.1198547614</c:v>
                </c:pt>
                <c:pt idx="23">
                  <c:v>405394.31772888149</c:v>
                </c:pt>
                <c:pt idx="24">
                  <c:v>422417.01716550154</c:v>
                </c:pt>
                <c:pt idx="25">
                  <c:v>439450.21816462162</c:v>
                </c:pt>
                <c:pt idx="26">
                  <c:v>456493.92072624166</c:v>
                </c:pt>
                <c:pt idx="27">
                  <c:v>473548.12485036172</c:v>
                </c:pt>
                <c:pt idx="28">
                  <c:v>490612.83053698181</c:v>
                </c:pt>
                <c:pt idx="29">
                  <c:v>507688.03778610186</c:v>
                </c:pt>
                <c:pt idx="30">
                  <c:v>524773.74659772194</c:v>
                </c:pt>
                <c:pt idx="31">
                  <c:v>541869.95697184198</c:v>
                </c:pt>
                <c:pt idx="32">
                  <c:v>558976.66890846204</c:v>
                </c:pt>
                <c:pt idx="33">
                  <c:v>576093.88240758213</c:v>
                </c:pt>
                <c:pt idx="34">
                  <c:v>593221.59746920224</c:v>
                </c:pt>
                <c:pt idx="35">
                  <c:v>610359.81409332226</c:v>
                </c:pt>
                <c:pt idx="36">
                  <c:v>630566.03627595736</c:v>
                </c:pt>
                <c:pt idx="37">
                  <c:v>650782.76002109237</c:v>
                </c:pt>
                <c:pt idx="38">
                  <c:v>671009.9853287274</c:v>
                </c:pt>
                <c:pt idx="39">
                  <c:v>691247.71219886246</c:v>
                </c:pt>
                <c:pt idx="40">
                  <c:v>711495.94063149753</c:v>
                </c:pt>
                <c:pt idx="41">
                  <c:v>731754.67062663264</c:v>
                </c:pt>
                <c:pt idx="42">
                  <c:v>752023.90218426764</c:v>
                </c:pt>
                <c:pt idx="43">
                  <c:v>772303.63530440268</c:v>
                </c:pt>
                <c:pt idx="44">
                  <c:v>792593.86998703773</c:v>
                </c:pt>
                <c:pt idx="45">
                  <c:v>812894.60623217281</c:v>
                </c:pt>
                <c:pt idx="46">
                  <c:v>833205.84403980791</c:v>
                </c:pt>
                <c:pt idx="47">
                  <c:v>853527.58340994292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0-7849-B9BD-8E59F04F7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693464"/>
        <c:axId val="2108690376"/>
      </c:lineChart>
      <c:catAx>
        <c:axId val="21086934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08690376"/>
        <c:crosses val="autoZero"/>
        <c:auto val="1"/>
        <c:lblAlgn val="ctr"/>
        <c:lblOffset val="100"/>
        <c:noMultiLvlLbl val="0"/>
      </c:catAx>
      <c:valAx>
        <c:axId val="2108690376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0869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'ATLAS T45'!$X$6</c:f>
              <c:strCache>
                <c:ptCount val="1"/>
                <c:pt idx="0">
                  <c:v>Net Cumulative Cashflow</c:v>
                </c:pt>
              </c:strCache>
            </c:strRef>
          </c:tx>
          <c:marker>
            <c:symbol val="none"/>
          </c:marker>
          <c:cat>
            <c:numRef>
              <c:f>'ATLAS T45'!$O$7:$O$66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'ATLAS T45'!$X$7:$X$66</c:f>
              <c:numCache>
                <c:formatCode>_("$"* #,##0.00_);_("$"* \(#,##0.00\);_("$"* "-"??_);_(@_)</c:formatCode>
                <c:ptCount val="60"/>
                <c:pt idx="0">
                  <c:v>23984.31285447357</c:v>
                </c:pt>
                <c:pt idx="1">
                  <c:v>47983.630396447144</c:v>
                </c:pt>
                <c:pt idx="2">
                  <c:v>71997.952625920705</c:v>
                </c:pt>
                <c:pt idx="3">
                  <c:v>96027.279542894277</c:v>
                </c:pt>
                <c:pt idx="4">
                  <c:v>120071.61114736785</c:v>
                </c:pt>
                <c:pt idx="5">
                  <c:v>144130.94743934143</c:v>
                </c:pt>
                <c:pt idx="6">
                  <c:v>168205.28841881501</c:v>
                </c:pt>
                <c:pt idx="7">
                  <c:v>192294.63408578857</c:v>
                </c:pt>
                <c:pt idx="8">
                  <c:v>216398.98444026214</c:v>
                </c:pt>
                <c:pt idx="9">
                  <c:v>240518.33948223572</c:v>
                </c:pt>
                <c:pt idx="10">
                  <c:v>264652.69921170932</c:v>
                </c:pt>
                <c:pt idx="11">
                  <c:v>288802.06362868287</c:v>
                </c:pt>
                <c:pt idx="12">
                  <c:v>312966.43273315643</c:v>
                </c:pt>
                <c:pt idx="13">
                  <c:v>337145.80652513</c:v>
                </c:pt>
                <c:pt idx="14">
                  <c:v>361340.18500460358</c:v>
                </c:pt>
                <c:pt idx="15">
                  <c:v>385549.56817157718</c:v>
                </c:pt>
                <c:pt idx="16">
                  <c:v>409773.95602605073</c:v>
                </c:pt>
                <c:pt idx="17">
                  <c:v>434013.34856802429</c:v>
                </c:pt>
                <c:pt idx="18">
                  <c:v>458267.74579749786</c:v>
                </c:pt>
                <c:pt idx="19">
                  <c:v>482537.14771447144</c:v>
                </c:pt>
                <c:pt idx="20">
                  <c:v>506821.55431894504</c:v>
                </c:pt>
                <c:pt idx="21">
                  <c:v>531120.96561091859</c:v>
                </c:pt>
                <c:pt idx="22">
                  <c:v>555435.38159039221</c:v>
                </c:pt>
                <c:pt idx="23">
                  <c:v>579764.80225736578</c:v>
                </c:pt>
                <c:pt idx="24">
                  <c:v>604109.22761183931</c:v>
                </c:pt>
                <c:pt idx="25">
                  <c:v>628468.6576538129</c:v>
                </c:pt>
                <c:pt idx="26">
                  <c:v>652843.09238328645</c:v>
                </c:pt>
                <c:pt idx="27">
                  <c:v>677232.53180026007</c:v>
                </c:pt>
                <c:pt idx="28">
                  <c:v>701636.97590473364</c:v>
                </c:pt>
                <c:pt idx="29">
                  <c:v>671493.92469670717</c:v>
                </c:pt>
                <c:pt idx="30">
                  <c:v>695928.37817618076</c:v>
                </c:pt>
                <c:pt idx="31">
                  <c:v>720377.83634315431</c:v>
                </c:pt>
                <c:pt idx="32">
                  <c:v>744842.29919762793</c:v>
                </c:pt>
                <c:pt idx="33">
                  <c:v>769321.7667396015</c:v>
                </c:pt>
                <c:pt idx="34">
                  <c:v>793816.23896907503</c:v>
                </c:pt>
                <c:pt idx="35">
                  <c:v>818325.71588604862</c:v>
                </c:pt>
                <c:pt idx="36">
                  <c:v>842850.19749052217</c:v>
                </c:pt>
                <c:pt idx="37">
                  <c:v>867389.68378249579</c:v>
                </c:pt>
                <c:pt idx="38">
                  <c:v>891944.17476196936</c:v>
                </c:pt>
                <c:pt idx="39">
                  <c:v>916513.67042894289</c:v>
                </c:pt>
                <c:pt idx="40">
                  <c:v>941098.17078341648</c:v>
                </c:pt>
                <c:pt idx="41">
                  <c:v>965697.67582539003</c:v>
                </c:pt>
                <c:pt idx="42">
                  <c:v>990312.18555486365</c:v>
                </c:pt>
                <c:pt idx="43">
                  <c:v>1014941.6999718372</c:v>
                </c:pt>
                <c:pt idx="44">
                  <c:v>1039586.2190763108</c:v>
                </c:pt>
                <c:pt idx="45">
                  <c:v>1064245.7428682842</c:v>
                </c:pt>
                <c:pt idx="46">
                  <c:v>1088920.2713477579</c:v>
                </c:pt>
                <c:pt idx="47">
                  <c:v>1059047.3045147315</c:v>
                </c:pt>
                <c:pt idx="48">
                  <c:v>1083751.8423692051</c:v>
                </c:pt>
                <c:pt idx="49">
                  <c:v>1108471.3849111786</c:v>
                </c:pt>
                <c:pt idx="50">
                  <c:v>1133205.9321406521</c:v>
                </c:pt>
                <c:pt idx="51">
                  <c:v>1157955.4840576258</c:v>
                </c:pt>
                <c:pt idx="52">
                  <c:v>1182720.0406620994</c:v>
                </c:pt>
                <c:pt idx="53">
                  <c:v>1207499.6019540729</c:v>
                </c:pt>
                <c:pt idx="54">
                  <c:v>1232294.1679335465</c:v>
                </c:pt>
                <c:pt idx="55">
                  <c:v>1257103.73860052</c:v>
                </c:pt>
                <c:pt idx="56">
                  <c:v>1257118.7432880201</c:v>
                </c:pt>
                <c:pt idx="57">
                  <c:v>1257133.7479755201</c:v>
                </c:pt>
                <c:pt idx="58">
                  <c:v>1281958.3233299935</c:v>
                </c:pt>
                <c:pt idx="59">
                  <c:v>1281973.3280174935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B-6A4F-9AFA-A6D31152A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475544"/>
        <c:axId val="2126478552"/>
      </c:lineChart>
      <c:catAx>
        <c:axId val="21264755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26478552"/>
        <c:crosses val="autoZero"/>
        <c:auto val="1"/>
        <c:lblAlgn val="ctr"/>
        <c:lblOffset val="100"/>
        <c:noMultiLvlLbl val="0"/>
      </c:catAx>
      <c:valAx>
        <c:axId val="2126478552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2647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'ATLAS T45'!$X$6</c:f>
              <c:strCache>
                <c:ptCount val="1"/>
                <c:pt idx="0">
                  <c:v>Net Cumulative Cashflow</c:v>
                </c:pt>
              </c:strCache>
            </c:strRef>
          </c:tx>
          <c:marker>
            <c:symbol val="none"/>
          </c:marker>
          <c:cat>
            <c:numRef>
              <c:f>'ATLAS T45'!$O$75:$O$122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'ATLAS T45'!$X$75:$X$122</c:f>
              <c:numCache>
                <c:formatCode>_("$"* #,##0.00_);_("$"* \(#,##0.00\);_("$"* "-"??_);_(@_)</c:formatCode>
                <c:ptCount val="48"/>
                <c:pt idx="0">
                  <c:v>33242.354264546753</c:v>
                </c:pt>
                <c:pt idx="1">
                  <c:v>66499.713216593518</c:v>
                </c:pt>
                <c:pt idx="2">
                  <c:v>99772.07685614028</c:v>
                </c:pt>
                <c:pt idx="3">
                  <c:v>133059.44518318702</c:v>
                </c:pt>
                <c:pt idx="4">
                  <c:v>166361.81819773378</c:v>
                </c:pt>
                <c:pt idx="5">
                  <c:v>199679.19589978055</c:v>
                </c:pt>
                <c:pt idx="6">
                  <c:v>233011.5782893273</c:v>
                </c:pt>
                <c:pt idx="7">
                  <c:v>266358.96536637406</c:v>
                </c:pt>
                <c:pt idx="8">
                  <c:v>299721.35713092081</c:v>
                </c:pt>
                <c:pt idx="9">
                  <c:v>333098.75358296756</c:v>
                </c:pt>
                <c:pt idx="10">
                  <c:v>366491.15472251433</c:v>
                </c:pt>
                <c:pt idx="11">
                  <c:v>399898.56054956111</c:v>
                </c:pt>
                <c:pt idx="12">
                  <c:v>433320.97106410784</c:v>
                </c:pt>
                <c:pt idx="13">
                  <c:v>466758.38626615459</c:v>
                </c:pt>
                <c:pt idx="14">
                  <c:v>500210.80615570134</c:v>
                </c:pt>
                <c:pt idx="15">
                  <c:v>533678.23073274805</c:v>
                </c:pt>
                <c:pt idx="16">
                  <c:v>567160.65999729477</c:v>
                </c:pt>
                <c:pt idx="17">
                  <c:v>600658.09394934156</c:v>
                </c:pt>
                <c:pt idx="18">
                  <c:v>634170.53258888831</c:v>
                </c:pt>
                <c:pt idx="19">
                  <c:v>667697.97591593512</c:v>
                </c:pt>
                <c:pt idx="20">
                  <c:v>701240.42393048189</c:v>
                </c:pt>
                <c:pt idx="21">
                  <c:v>734797.87663252861</c:v>
                </c:pt>
                <c:pt idx="22">
                  <c:v>768370.3340220754</c:v>
                </c:pt>
                <c:pt idx="23">
                  <c:v>801957.79609912215</c:v>
                </c:pt>
                <c:pt idx="24">
                  <c:v>835560.26286366885</c:v>
                </c:pt>
                <c:pt idx="25">
                  <c:v>869177.73431571561</c:v>
                </c:pt>
                <c:pt idx="26">
                  <c:v>902810.21045526234</c:v>
                </c:pt>
                <c:pt idx="27">
                  <c:v>936457.69128230913</c:v>
                </c:pt>
                <c:pt idx="28">
                  <c:v>970120.17679685587</c:v>
                </c:pt>
                <c:pt idx="29">
                  <c:v>1003797.6669989026</c:v>
                </c:pt>
                <c:pt idx="30">
                  <c:v>1037490.1618884493</c:v>
                </c:pt>
                <c:pt idx="31">
                  <c:v>1071197.6614654961</c:v>
                </c:pt>
                <c:pt idx="32">
                  <c:v>1104920.1657300428</c:v>
                </c:pt>
                <c:pt idx="33">
                  <c:v>1138657.6746820896</c:v>
                </c:pt>
                <c:pt idx="34">
                  <c:v>1172410.1883216363</c:v>
                </c:pt>
                <c:pt idx="35">
                  <c:v>1206177.7066486829</c:v>
                </c:pt>
                <c:pt idx="36">
                  <c:v>1244328.8073858502</c:v>
                </c:pt>
                <c:pt idx="37">
                  <c:v>1282494.9128105175</c:v>
                </c:pt>
                <c:pt idx="38">
                  <c:v>1320676.0229226847</c:v>
                </c:pt>
                <c:pt idx="39">
                  <c:v>1358872.1377223518</c:v>
                </c:pt>
                <c:pt idx="40">
                  <c:v>1397083.2572095189</c:v>
                </c:pt>
                <c:pt idx="41">
                  <c:v>1435309.3813841862</c:v>
                </c:pt>
                <c:pt idx="42">
                  <c:v>1473550.5102463535</c:v>
                </c:pt>
                <c:pt idx="43">
                  <c:v>1511806.6437960207</c:v>
                </c:pt>
                <c:pt idx="44">
                  <c:v>1550077.7820331878</c:v>
                </c:pt>
                <c:pt idx="45">
                  <c:v>1588363.9249578549</c:v>
                </c:pt>
                <c:pt idx="46">
                  <c:v>1626665.0725700222</c:v>
                </c:pt>
                <c:pt idx="47">
                  <c:v>1664981.2248696894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E-6A44-B0C1-A3268B8F0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693464"/>
        <c:axId val="2108690376"/>
      </c:lineChart>
      <c:catAx>
        <c:axId val="21086934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08690376"/>
        <c:crosses val="autoZero"/>
        <c:auto val="1"/>
        <c:lblAlgn val="ctr"/>
        <c:lblOffset val="100"/>
        <c:noMultiLvlLbl val="0"/>
      </c:catAx>
      <c:valAx>
        <c:axId val="2108690376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0869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'MERC STRUCK'!$X$6</c:f>
              <c:strCache>
                <c:ptCount val="1"/>
                <c:pt idx="0">
                  <c:v>Net Cumulative Cashflow</c:v>
                </c:pt>
              </c:strCache>
            </c:strRef>
          </c:tx>
          <c:marker>
            <c:symbol val="none"/>
          </c:marker>
          <c:cat>
            <c:numRef>
              <c:f>'MERC STRUCK'!$O$7:$O$66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'MERC STRUCK'!$X$7:$X$66</c:f>
              <c:numCache>
                <c:formatCode>_("$"* #,##0.00_);_("$"* \(#,##0.00\);_("$"* "-"??_);_(@_)</c:formatCode>
                <c:ptCount val="60"/>
                <c:pt idx="0">
                  <c:v>2351.5328595785932</c:v>
                </c:pt>
                <c:pt idx="1">
                  <c:v>4707.7407191571865</c:v>
                </c:pt>
                <c:pt idx="2">
                  <c:v>7068.62357873578</c:v>
                </c:pt>
                <c:pt idx="3">
                  <c:v>9434.1814383143737</c:v>
                </c:pt>
                <c:pt idx="4">
                  <c:v>11804.414297892967</c:v>
                </c:pt>
                <c:pt idx="5">
                  <c:v>14179.322157471561</c:v>
                </c:pt>
                <c:pt idx="6">
                  <c:v>16558.905017050154</c:v>
                </c:pt>
                <c:pt idx="7">
                  <c:v>18943.162876628747</c:v>
                </c:pt>
                <c:pt idx="8">
                  <c:v>21332.095736207339</c:v>
                </c:pt>
                <c:pt idx="9">
                  <c:v>23725.703595785933</c:v>
                </c:pt>
                <c:pt idx="10">
                  <c:v>26123.986455364528</c:v>
                </c:pt>
                <c:pt idx="11">
                  <c:v>28526.944314943121</c:v>
                </c:pt>
                <c:pt idx="12">
                  <c:v>30934.577174521713</c:v>
                </c:pt>
                <c:pt idx="13">
                  <c:v>33346.885034100305</c:v>
                </c:pt>
                <c:pt idx="14">
                  <c:v>35763.8678936789</c:v>
                </c:pt>
                <c:pt idx="15">
                  <c:v>38185.525753257491</c:v>
                </c:pt>
                <c:pt idx="16">
                  <c:v>40611.858612836084</c:v>
                </c:pt>
                <c:pt idx="17">
                  <c:v>43042.86647241468</c:v>
                </c:pt>
                <c:pt idx="18">
                  <c:v>45478.549331993272</c:v>
                </c:pt>
                <c:pt idx="19">
                  <c:v>47918.907191571867</c:v>
                </c:pt>
                <c:pt idx="20">
                  <c:v>50363.940051150457</c:v>
                </c:pt>
                <c:pt idx="21">
                  <c:v>52813.647910729051</c:v>
                </c:pt>
                <c:pt idx="22">
                  <c:v>55268.030770307647</c:v>
                </c:pt>
                <c:pt idx="23">
                  <c:v>57727.088629886239</c:v>
                </c:pt>
                <c:pt idx="24">
                  <c:v>60190.821489464834</c:v>
                </c:pt>
                <c:pt idx="25">
                  <c:v>62659.229349043424</c:v>
                </c:pt>
                <c:pt idx="26">
                  <c:v>65132.312208622017</c:v>
                </c:pt>
                <c:pt idx="27">
                  <c:v>67610.070068200614</c:v>
                </c:pt>
                <c:pt idx="28">
                  <c:v>70092.502927779205</c:v>
                </c:pt>
                <c:pt idx="29">
                  <c:v>62379.6107873578</c:v>
                </c:pt>
                <c:pt idx="30">
                  <c:v>64871.393646936391</c:v>
                </c:pt>
                <c:pt idx="31">
                  <c:v>67367.851506514984</c:v>
                </c:pt>
                <c:pt idx="32">
                  <c:v>69868.984366093573</c:v>
                </c:pt>
                <c:pt idx="33">
                  <c:v>72374.792225672165</c:v>
                </c:pt>
                <c:pt idx="34">
                  <c:v>74885.27508525076</c:v>
                </c:pt>
                <c:pt idx="35">
                  <c:v>77400.432944829357</c:v>
                </c:pt>
                <c:pt idx="36">
                  <c:v>79920.265804407944</c:v>
                </c:pt>
                <c:pt idx="37">
                  <c:v>82444.773663986532</c:v>
                </c:pt>
                <c:pt idx="38">
                  <c:v>84973.956523565124</c:v>
                </c:pt>
                <c:pt idx="39">
                  <c:v>87507.814383143719</c:v>
                </c:pt>
                <c:pt idx="40">
                  <c:v>90046.347242722317</c:v>
                </c:pt>
                <c:pt idx="41">
                  <c:v>92589.555102300917</c:v>
                </c:pt>
                <c:pt idx="42">
                  <c:v>95137.437961879506</c:v>
                </c:pt>
                <c:pt idx="43">
                  <c:v>97689.995821458098</c:v>
                </c:pt>
                <c:pt idx="44">
                  <c:v>100247.22868103669</c:v>
                </c:pt>
                <c:pt idx="45">
                  <c:v>102809.13654061529</c:v>
                </c:pt>
                <c:pt idx="46">
                  <c:v>105375.71940019389</c:v>
                </c:pt>
                <c:pt idx="47">
                  <c:v>97746.97725977248</c:v>
                </c:pt>
                <c:pt idx="48">
                  <c:v>100322.91011935107</c:v>
                </c:pt>
                <c:pt idx="49">
                  <c:v>102903.51797892967</c:v>
                </c:pt>
                <c:pt idx="50">
                  <c:v>105488.80083850826</c:v>
                </c:pt>
                <c:pt idx="51">
                  <c:v>108078.75869808687</c:v>
                </c:pt>
                <c:pt idx="52">
                  <c:v>110673.39155766545</c:v>
                </c:pt>
                <c:pt idx="53">
                  <c:v>113272.69941724405</c:v>
                </c:pt>
                <c:pt idx="54">
                  <c:v>115876.68227682264</c:v>
                </c:pt>
                <c:pt idx="55">
                  <c:v>118485.34013640124</c:v>
                </c:pt>
                <c:pt idx="56">
                  <c:v>118490.01513640123</c:v>
                </c:pt>
                <c:pt idx="57">
                  <c:v>118494.69013640123</c:v>
                </c:pt>
                <c:pt idx="58">
                  <c:v>121108.02299597983</c:v>
                </c:pt>
                <c:pt idx="59">
                  <c:v>121112.69799597983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7-6442-A4D5-5ABFFC824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475544"/>
        <c:axId val="2126478552"/>
      </c:lineChart>
      <c:catAx>
        <c:axId val="21264755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26478552"/>
        <c:crosses val="autoZero"/>
        <c:auto val="1"/>
        <c:lblAlgn val="ctr"/>
        <c:lblOffset val="100"/>
        <c:noMultiLvlLbl val="0"/>
      </c:catAx>
      <c:valAx>
        <c:axId val="2126478552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2647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'MERC STRUCK'!$X$6</c:f>
              <c:strCache>
                <c:ptCount val="1"/>
                <c:pt idx="0">
                  <c:v>Net Cumulative Cashflow</c:v>
                </c:pt>
              </c:strCache>
            </c:strRef>
          </c:tx>
          <c:marker>
            <c:symbol val="none"/>
          </c:marker>
          <c:cat>
            <c:numRef>
              <c:f>'MERC STRUCK'!$O$75:$O$122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'MERC STRUCK'!$X$75:$X$122</c:f>
              <c:numCache>
                <c:formatCode>_("$"* #,##0.00_);_("$"* \(#,##0.00\);_("$"* "-"??_);_(@_)</c:formatCode>
                <c:ptCount val="48"/>
                <c:pt idx="0">
                  <c:v>3828.0973311837138</c:v>
                </c:pt>
                <c:pt idx="1">
                  <c:v>7660.8696623674277</c:v>
                </c:pt>
                <c:pt idx="2">
                  <c:v>11498.316993551141</c:v>
                </c:pt>
                <c:pt idx="3">
                  <c:v>15340.439324734856</c:v>
                </c:pt>
                <c:pt idx="4">
                  <c:v>19187.236655918568</c:v>
                </c:pt>
                <c:pt idx="5">
                  <c:v>23038.708987102284</c:v>
                </c:pt>
                <c:pt idx="6">
                  <c:v>26894.856318285998</c:v>
                </c:pt>
                <c:pt idx="7">
                  <c:v>30755.678649469712</c:v>
                </c:pt>
                <c:pt idx="8">
                  <c:v>34621.175980653425</c:v>
                </c:pt>
                <c:pt idx="9">
                  <c:v>38491.348311837137</c:v>
                </c:pt>
                <c:pt idx="10">
                  <c:v>42366.195643020852</c:v>
                </c:pt>
                <c:pt idx="11">
                  <c:v>46245.717974204563</c:v>
                </c:pt>
                <c:pt idx="12">
                  <c:v>50129.915305388276</c:v>
                </c:pt>
                <c:pt idx="13">
                  <c:v>54018.787636571993</c:v>
                </c:pt>
                <c:pt idx="14">
                  <c:v>57912.334967755705</c:v>
                </c:pt>
                <c:pt idx="15">
                  <c:v>61810.55729893942</c:v>
                </c:pt>
                <c:pt idx="16">
                  <c:v>65713.454630123131</c:v>
                </c:pt>
                <c:pt idx="17">
                  <c:v>69621.026961306838</c:v>
                </c:pt>
                <c:pt idx="18">
                  <c:v>73533.274292490547</c:v>
                </c:pt>
                <c:pt idx="19">
                  <c:v>77450.196623674259</c:v>
                </c:pt>
                <c:pt idx="20">
                  <c:v>81371.793954857974</c:v>
                </c:pt>
                <c:pt idx="21">
                  <c:v>85298.066286041692</c:v>
                </c:pt>
                <c:pt idx="22">
                  <c:v>89229.013617225399</c:v>
                </c:pt>
                <c:pt idx="23">
                  <c:v>93164.635948409108</c:v>
                </c:pt>
                <c:pt idx="24">
                  <c:v>97104.93327959282</c:v>
                </c:pt>
                <c:pt idx="25">
                  <c:v>101049.90561077654</c:v>
                </c:pt>
                <c:pt idx="26">
                  <c:v>104999.55294196025</c:v>
                </c:pt>
                <c:pt idx="27">
                  <c:v>108953.87527314396</c:v>
                </c:pt>
                <c:pt idx="28">
                  <c:v>112912.87260432767</c:v>
                </c:pt>
                <c:pt idx="29">
                  <c:v>116876.54493551138</c:v>
                </c:pt>
                <c:pt idx="30">
                  <c:v>120844.8922666951</c:v>
                </c:pt>
                <c:pt idx="31">
                  <c:v>124817.91459787881</c:v>
                </c:pt>
                <c:pt idx="32">
                  <c:v>128795.61192906252</c:v>
                </c:pt>
                <c:pt idx="33">
                  <c:v>132777.98426024624</c:v>
                </c:pt>
                <c:pt idx="34">
                  <c:v>136765.03159142996</c:v>
                </c:pt>
                <c:pt idx="35">
                  <c:v>140756.75392261366</c:v>
                </c:pt>
                <c:pt idx="36">
                  <c:v>147238.43124819509</c:v>
                </c:pt>
                <c:pt idx="37">
                  <c:v>153724.78357377654</c:v>
                </c:pt>
                <c:pt idx="38">
                  <c:v>160215.81089935798</c:v>
                </c:pt>
                <c:pt idx="39">
                  <c:v>166711.51322493941</c:v>
                </c:pt>
                <c:pt idx="40">
                  <c:v>173211.89055052085</c:v>
                </c:pt>
                <c:pt idx="41">
                  <c:v>179716.94287610229</c:v>
                </c:pt>
                <c:pt idx="42">
                  <c:v>186226.67020168374</c:v>
                </c:pt>
                <c:pt idx="43">
                  <c:v>192741.07252726518</c:v>
                </c:pt>
                <c:pt idx="44">
                  <c:v>199260.1498528466</c:v>
                </c:pt>
                <c:pt idx="45">
                  <c:v>205783.90217842805</c:v>
                </c:pt>
                <c:pt idx="46">
                  <c:v>212312.32950400948</c:v>
                </c:pt>
                <c:pt idx="47">
                  <c:v>218845.43182959093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6-4E46-9CE4-D96753E38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693464"/>
        <c:axId val="2108690376"/>
      </c:lineChart>
      <c:catAx>
        <c:axId val="21086934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08690376"/>
        <c:crosses val="autoZero"/>
        <c:auto val="1"/>
        <c:lblAlgn val="ctr"/>
        <c:lblOffset val="100"/>
        <c:noMultiLvlLbl val="0"/>
      </c:catAx>
      <c:valAx>
        <c:axId val="2108690376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0869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'EXC90'!$X$6</c:f>
              <c:strCache>
                <c:ptCount val="1"/>
                <c:pt idx="0">
                  <c:v>Net Cumulative Cashflow</c:v>
                </c:pt>
              </c:strCache>
            </c:strRef>
          </c:tx>
          <c:marker>
            <c:symbol val="none"/>
          </c:marker>
          <c:cat>
            <c:numRef>
              <c:f>'EXC90'!$O$7:$O$66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'EXC90'!$X$7:$X$66</c:f>
              <c:numCache>
                <c:formatCode>_("$"* #,##0.00_);_("$"* \(#,##0.00\);_("$"* "-"??_);_(@_)</c:formatCode>
                <c:ptCount val="60"/>
                <c:pt idx="0">
                  <c:v>12527.441891692024</c:v>
                </c:pt>
                <c:pt idx="1">
                  <c:v>25089.258783384048</c:v>
                </c:pt>
                <c:pt idx="2">
                  <c:v>37685.45067507607</c:v>
                </c:pt>
                <c:pt idx="3">
                  <c:v>50316.017566768096</c:v>
                </c:pt>
                <c:pt idx="4">
                  <c:v>62980.959458460122</c:v>
                </c:pt>
                <c:pt idx="5">
                  <c:v>75680.27635015214</c:v>
                </c:pt>
                <c:pt idx="6">
                  <c:v>88413.968241844166</c:v>
                </c:pt>
                <c:pt idx="7">
                  <c:v>101182.03513353619</c:v>
                </c:pt>
                <c:pt idx="8">
                  <c:v>113984.47702522822</c:v>
                </c:pt>
                <c:pt idx="9">
                  <c:v>126821.29391692024</c:v>
                </c:pt>
                <c:pt idx="10">
                  <c:v>139692.48580861225</c:v>
                </c:pt>
                <c:pt idx="11">
                  <c:v>152598.05270030428</c:v>
                </c:pt>
                <c:pt idx="12">
                  <c:v>165537.99459199631</c:v>
                </c:pt>
                <c:pt idx="13">
                  <c:v>178512.31148368833</c:v>
                </c:pt>
                <c:pt idx="14">
                  <c:v>191521.00337538036</c:v>
                </c:pt>
                <c:pt idx="15">
                  <c:v>204564.07026707238</c:v>
                </c:pt>
                <c:pt idx="16">
                  <c:v>217641.51215876441</c:v>
                </c:pt>
                <c:pt idx="17">
                  <c:v>230753.32905045644</c:v>
                </c:pt>
                <c:pt idx="18">
                  <c:v>243899.52094214846</c:v>
                </c:pt>
                <c:pt idx="19">
                  <c:v>257080.08783384049</c:v>
                </c:pt>
                <c:pt idx="20">
                  <c:v>270295.02972553251</c:v>
                </c:pt>
                <c:pt idx="21">
                  <c:v>283544.34661722451</c:v>
                </c:pt>
                <c:pt idx="22">
                  <c:v>296828.03850891651</c:v>
                </c:pt>
                <c:pt idx="23">
                  <c:v>310146.1054006085</c:v>
                </c:pt>
                <c:pt idx="24">
                  <c:v>323498.5472923005</c:v>
                </c:pt>
                <c:pt idx="25">
                  <c:v>336885.3641839925</c:v>
                </c:pt>
                <c:pt idx="26">
                  <c:v>350306.55607568449</c:v>
                </c:pt>
                <c:pt idx="27">
                  <c:v>363762.12296737649</c:v>
                </c:pt>
                <c:pt idx="28">
                  <c:v>377252.06485906849</c:v>
                </c:pt>
                <c:pt idx="29">
                  <c:v>315776.38175076048</c:v>
                </c:pt>
                <c:pt idx="30">
                  <c:v>329335.07364245248</c:v>
                </c:pt>
                <c:pt idx="31">
                  <c:v>342928.14053414448</c:v>
                </c:pt>
                <c:pt idx="32">
                  <c:v>356555.58242583647</c:v>
                </c:pt>
                <c:pt idx="33">
                  <c:v>370217.39931752847</c:v>
                </c:pt>
                <c:pt idx="34">
                  <c:v>383913.59120922047</c:v>
                </c:pt>
                <c:pt idx="35">
                  <c:v>397644.15810091246</c:v>
                </c:pt>
                <c:pt idx="36">
                  <c:v>411409.09999260446</c:v>
                </c:pt>
                <c:pt idx="37">
                  <c:v>425208.41688429646</c:v>
                </c:pt>
                <c:pt idx="38">
                  <c:v>439042.10877598845</c:v>
                </c:pt>
                <c:pt idx="39">
                  <c:v>452910.17566768045</c:v>
                </c:pt>
                <c:pt idx="40">
                  <c:v>466812.61755937245</c:v>
                </c:pt>
                <c:pt idx="41">
                  <c:v>480749.43445106444</c:v>
                </c:pt>
                <c:pt idx="42">
                  <c:v>494720.62634275644</c:v>
                </c:pt>
                <c:pt idx="43">
                  <c:v>508726.19323444844</c:v>
                </c:pt>
                <c:pt idx="44">
                  <c:v>522766.13512614043</c:v>
                </c:pt>
                <c:pt idx="45">
                  <c:v>536840.45201783243</c:v>
                </c:pt>
                <c:pt idx="46">
                  <c:v>550949.14390952443</c:v>
                </c:pt>
                <c:pt idx="47">
                  <c:v>490092.21080121642</c:v>
                </c:pt>
                <c:pt idx="48">
                  <c:v>504269.65269290842</c:v>
                </c:pt>
                <c:pt idx="49">
                  <c:v>518481.46958460042</c:v>
                </c:pt>
                <c:pt idx="50">
                  <c:v>532727.66147629241</c:v>
                </c:pt>
                <c:pt idx="51">
                  <c:v>547008.22836798441</c:v>
                </c:pt>
                <c:pt idx="52">
                  <c:v>561323.17025967641</c:v>
                </c:pt>
                <c:pt idx="53">
                  <c:v>575672.4871513684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9-3345-841D-CBBFF0CFD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191528"/>
        <c:axId val="2115188504"/>
      </c:lineChart>
      <c:catAx>
        <c:axId val="211519152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15188504"/>
        <c:crosses val="autoZero"/>
        <c:auto val="1"/>
        <c:lblAlgn val="ctr"/>
        <c:lblOffset val="100"/>
        <c:noMultiLvlLbl val="0"/>
      </c:catAx>
      <c:valAx>
        <c:axId val="2115188504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1519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'EXC374'!$X$6</c:f>
              <c:strCache>
                <c:ptCount val="1"/>
                <c:pt idx="0">
                  <c:v>Net Cumulative Cashflow</c:v>
                </c:pt>
              </c:strCache>
            </c:strRef>
          </c:tx>
          <c:marker>
            <c:symbol val="none"/>
          </c:marker>
          <c:cat>
            <c:numRef>
              <c:f>'EXC374'!$O$7:$O$66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'EXC374'!$X$7:$X$66</c:f>
              <c:numCache>
                <c:formatCode>_("$"* #,##0.00_);_("$"* \(#,##0.00\);_("$"* "-"??_);_(@_)</c:formatCode>
                <c:ptCount val="60"/>
                <c:pt idx="0">
                  <c:v>8793.0741009880876</c:v>
                </c:pt>
                <c:pt idx="1">
                  <c:v>17610.276186351177</c:v>
                </c:pt>
                <c:pt idx="2">
                  <c:v>26451.606256089264</c:v>
                </c:pt>
                <c:pt idx="3">
                  <c:v>35317.064310202353</c:v>
                </c:pt>
                <c:pt idx="4">
                  <c:v>44206.65034869044</c:v>
                </c:pt>
                <c:pt idx="5">
                  <c:v>53120.364371553529</c:v>
                </c:pt>
                <c:pt idx="6">
                  <c:v>62058.206378791619</c:v>
                </c:pt>
                <c:pt idx="7">
                  <c:v>71020.176370404704</c:v>
                </c:pt>
                <c:pt idx="8">
                  <c:v>80006.274346392791</c:v>
                </c:pt>
                <c:pt idx="9">
                  <c:v>89016.500306755886</c:v>
                </c:pt>
                <c:pt idx="10">
                  <c:v>98050.854251493976</c:v>
                </c:pt>
                <c:pt idx="11">
                  <c:v>107109.33618060706</c:v>
                </c:pt>
                <c:pt idx="12">
                  <c:v>116191.94609409515</c:v>
                </c:pt>
                <c:pt idx="13">
                  <c:v>125298.68399195824</c:v>
                </c:pt>
                <c:pt idx="14">
                  <c:v>134429.54987419632</c:v>
                </c:pt>
                <c:pt idx="15">
                  <c:v>143584.5437408094</c:v>
                </c:pt>
                <c:pt idx="16">
                  <c:v>152763.6655917975</c:v>
                </c:pt>
                <c:pt idx="17">
                  <c:v>161966.91542716059</c:v>
                </c:pt>
                <c:pt idx="18">
                  <c:v>171194.29324689868</c:v>
                </c:pt>
                <c:pt idx="19">
                  <c:v>180445.79905101177</c:v>
                </c:pt>
                <c:pt idx="20">
                  <c:v>189721.43283949984</c:v>
                </c:pt>
                <c:pt idx="21">
                  <c:v>199021.19461236295</c:v>
                </c:pt>
                <c:pt idx="22">
                  <c:v>208345.08436960104</c:v>
                </c:pt>
                <c:pt idx="23">
                  <c:v>217693.10211121413</c:v>
                </c:pt>
                <c:pt idx="24">
                  <c:v>227065.24783720222</c:v>
                </c:pt>
                <c:pt idx="25">
                  <c:v>236461.52154756529</c:v>
                </c:pt>
                <c:pt idx="26">
                  <c:v>245881.92324230337</c:v>
                </c:pt>
                <c:pt idx="27">
                  <c:v>255326.45292141646</c:v>
                </c:pt>
                <c:pt idx="28">
                  <c:v>264795.11058490456</c:v>
                </c:pt>
                <c:pt idx="29">
                  <c:v>221645.02123276764</c:v>
                </c:pt>
                <c:pt idx="30">
                  <c:v>231161.93486500572</c:v>
                </c:pt>
                <c:pt idx="31">
                  <c:v>240702.97648161883</c:v>
                </c:pt>
                <c:pt idx="32">
                  <c:v>250268.14608260692</c:v>
                </c:pt>
                <c:pt idx="33">
                  <c:v>259857.44366797002</c:v>
                </c:pt>
                <c:pt idx="34">
                  <c:v>269470.8692377081</c:v>
                </c:pt>
                <c:pt idx="35">
                  <c:v>279108.42279182118</c:v>
                </c:pt>
                <c:pt idx="36">
                  <c:v>288770.10433030926</c:v>
                </c:pt>
                <c:pt idx="37">
                  <c:v>298455.91385317233</c:v>
                </c:pt>
                <c:pt idx="38">
                  <c:v>308165.85136041039</c:v>
                </c:pt>
                <c:pt idx="39">
                  <c:v>317899.91685202345</c:v>
                </c:pt>
                <c:pt idx="40">
                  <c:v>327658.11032801156</c:v>
                </c:pt>
                <c:pt idx="41">
                  <c:v>337440.43178837467</c:v>
                </c:pt>
                <c:pt idx="42">
                  <c:v>347246.88123311277</c:v>
                </c:pt>
                <c:pt idx="43">
                  <c:v>357077.45866222586</c:v>
                </c:pt>
                <c:pt idx="44">
                  <c:v>366932.16407571395</c:v>
                </c:pt>
                <c:pt idx="45">
                  <c:v>376810.99747357704</c:v>
                </c:pt>
                <c:pt idx="46">
                  <c:v>386713.95885581512</c:v>
                </c:pt>
                <c:pt idx="47">
                  <c:v>343998.17322242819</c:v>
                </c:pt>
                <c:pt idx="48">
                  <c:v>353949.39057341625</c:v>
                </c:pt>
                <c:pt idx="49">
                  <c:v>363924.73590877932</c:v>
                </c:pt>
                <c:pt idx="50">
                  <c:v>373924.20922851743</c:v>
                </c:pt>
                <c:pt idx="51">
                  <c:v>383947.81053263054</c:v>
                </c:pt>
                <c:pt idx="52">
                  <c:v>393995.53982111864</c:v>
                </c:pt>
                <c:pt idx="53">
                  <c:v>404067.39709398174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6-4984-8788-679527CD8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191528"/>
        <c:axId val="2115188504"/>
      </c:lineChart>
      <c:catAx>
        <c:axId val="211519152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15188504"/>
        <c:crosses val="autoZero"/>
        <c:auto val="1"/>
        <c:lblAlgn val="ctr"/>
        <c:lblOffset val="100"/>
        <c:noMultiLvlLbl val="0"/>
      </c:catAx>
      <c:valAx>
        <c:axId val="2115188504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1519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'Ore Truck'!$X$6</c:f>
              <c:strCache>
                <c:ptCount val="1"/>
                <c:pt idx="0">
                  <c:v>Net Cumulative Cashflow</c:v>
                </c:pt>
              </c:strCache>
            </c:strRef>
          </c:tx>
          <c:marker>
            <c:symbol val="none"/>
          </c:marker>
          <c:cat>
            <c:numRef>
              <c:f>'Ore Truck'!$O$7:$O$66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'Ore Truck'!$X$7:$X$66</c:f>
              <c:numCache>
                <c:formatCode>_("$"* #,##0.00_);_("$"* \(#,##0.00\);_("$"* "-"??_);_(@_)</c:formatCode>
                <c:ptCount val="60"/>
                <c:pt idx="0">
                  <c:v>2064.7110445914477</c:v>
                </c:pt>
                <c:pt idx="1">
                  <c:v>4133.1689641828953</c:v>
                </c:pt>
                <c:pt idx="2">
                  <c:v>6205.3737587743426</c:v>
                </c:pt>
                <c:pt idx="3">
                  <c:v>8281.3254283657898</c:v>
                </c:pt>
                <c:pt idx="4">
                  <c:v>10361.023972957237</c:v>
                </c:pt>
                <c:pt idx="5">
                  <c:v>12444.469392548684</c:v>
                </c:pt>
                <c:pt idx="6">
                  <c:v>14531.661687140131</c:v>
                </c:pt>
                <c:pt idx="7">
                  <c:v>16622.60085673158</c:v>
                </c:pt>
                <c:pt idx="8">
                  <c:v>18717.286901323027</c:v>
                </c:pt>
                <c:pt idx="9">
                  <c:v>20815.719820914474</c:v>
                </c:pt>
                <c:pt idx="10">
                  <c:v>22917.899615505921</c:v>
                </c:pt>
                <c:pt idx="11">
                  <c:v>25023.82628509737</c:v>
                </c:pt>
                <c:pt idx="12">
                  <c:v>27133.499829688815</c:v>
                </c:pt>
                <c:pt idx="13">
                  <c:v>29246.920249280261</c:v>
                </c:pt>
                <c:pt idx="14">
                  <c:v>31364.087543871708</c:v>
                </c:pt>
                <c:pt idx="15">
                  <c:v>33485.001713463156</c:v>
                </c:pt>
                <c:pt idx="16">
                  <c:v>35609.662758054605</c:v>
                </c:pt>
                <c:pt idx="17">
                  <c:v>37738.07067764605</c:v>
                </c:pt>
                <c:pt idx="18">
                  <c:v>39870.2254722375</c:v>
                </c:pt>
                <c:pt idx="19">
                  <c:v>42006.127141828947</c:v>
                </c:pt>
                <c:pt idx="20">
                  <c:v>44145.775686420398</c:v>
                </c:pt>
                <c:pt idx="21">
                  <c:v>46289.171106011847</c:v>
                </c:pt>
                <c:pt idx="22">
                  <c:v>48436.313400603292</c:v>
                </c:pt>
                <c:pt idx="23">
                  <c:v>50587.202570194742</c:v>
                </c:pt>
                <c:pt idx="24">
                  <c:v>52741.838614786189</c:v>
                </c:pt>
                <c:pt idx="25">
                  <c:v>54900.221534377633</c:v>
                </c:pt>
                <c:pt idx="26">
                  <c:v>57062.351328969082</c:v>
                </c:pt>
                <c:pt idx="27">
                  <c:v>59228.227998560527</c:v>
                </c:pt>
                <c:pt idx="28">
                  <c:v>61397.851543151977</c:v>
                </c:pt>
                <c:pt idx="29">
                  <c:v>52671.221962743424</c:v>
                </c:pt>
                <c:pt idx="30">
                  <c:v>54848.339257334868</c:v>
                </c:pt>
                <c:pt idx="31">
                  <c:v>57029.203426926317</c:v>
                </c:pt>
                <c:pt idx="32">
                  <c:v>59213.814471517762</c:v>
                </c:pt>
                <c:pt idx="33">
                  <c:v>61402.172391109212</c:v>
                </c:pt>
                <c:pt idx="34">
                  <c:v>63594.277185700659</c:v>
                </c:pt>
                <c:pt idx="35">
                  <c:v>65790.128855292103</c:v>
                </c:pt>
                <c:pt idx="36">
                  <c:v>67989.727399883544</c:v>
                </c:pt>
                <c:pt idx="37">
                  <c:v>70193.072819474997</c:v>
                </c:pt>
                <c:pt idx="38">
                  <c:v>72400.165114066447</c:v>
                </c:pt>
                <c:pt idx="39">
                  <c:v>74611.004283657894</c:v>
                </c:pt>
                <c:pt idx="40">
                  <c:v>76825.590328249338</c:v>
                </c:pt>
                <c:pt idx="41">
                  <c:v>79043.923247840779</c:v>
                </c:pt>
                <c:pt idx="42">
                  <c:v>81266.003042432232</c:v>
                </c:pt>
                <c:pt idx="43">
                  <c:v>83491.829712023682</c:v>
                </c:pt>
                <c:pt idx="44">
                  <c:v>85721.403256615129</c:v>
                </c:pt>
                <c:pt idx="45">
                  <c:v>87954.723676206573</c:v>
                </c:pt>
                <c:pt idx="46">
                  <c:v>90191.790970798014</c:v>
                </c:pt>
                <c:pt idx="47">
                  <c:v>81532.605140389467</c:v>
                </c:pt>
                <c:pt idx="48">
                  <c:v>83777.166184980917</c:v>
                </c:pt>
                <c:pt idx="49">
                  <c:v>86025.474104572364</c:v>
                </c:pt>
                <c:pt idx="50">
                  <c:v>88277.528899163808</c:v>
                </c:pt>
                <c:pt idx="51">
                  <c:v>90533.330568755249</c:v>
                </c:pt>
                <c:pt idx="52">
                  <c:v>92792.879113346702</c:v>
                </c:pt>
                <c:pt idx="53">
                  <c:v>95056.174532938152</c:v>
                </c:pt>
                <c:pt idx="54">
                  <c:v>97323.216827529599</c:v>
                </c:pt>
                <c:pt idx="55">
                  <c:v>99594.005997121043</c:v>
                </c:pt>
                <c:pt idx="56">
                  <c:v>99597.75287212104</c:v>
                </c:pt>
                <c:pt idx="57">
                  <c:v>99601.499747121052</c:v>
                </c:pt>
                <c:pt idx="58">
                  <c:v>101876.03579171249</c:v>
                </c:pt>
                <c:pt idx="59">
                  <c:v>101879.78266671249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9-8B4B-85B7-AF89EAEB5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191528"/>
        <c:axId val="2115188504"/>
      </c:lineChart>
      <c:catAx>
        <c:axId val="211519152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15188504"/>
        <c:crosses val="autoZero"/>
        <c:auto val="1"/>
        <c:lblAlgn val="ctr"/>
        <c:lblOffset val="100"/>
        <c:noMultiLvlLbl val="0"/>
      </c:catAx>
      <c:valAx>
        <c:axId val="2115188504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1519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'Ore Truck'!$X$6</c:f>
              <c:strCache>
                <c:ptCount val="1"/>
                <c:pt idx="0">
                  <c:v>Net Cumulative Cashflow</c:v>
                </c:pt>
              </c:strCache>
            </c:strRef>
          </c:tx>
          <c:marker>
            <c:symbol val="none"/>
          </c:marker>
          <c:cat>
            <c:numRef>
              <c:f>'Ore Truck'!$O$7:$O$54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'Ore Truck'!$X$7:$X$54</c:f>
              <c:numCache>
                <c:formatCode>_("$"* #,##0.00_);_("$"* \(#,##0.00\);_("$"* "-"??_);_(@_)</c:formatCode>
                <c:ptCount val="48"/>
                <c:pt idx="0">
                  <c:v>2064.7110445914477</c:v>
                </c:pt>
                <c:pt idx="1">
                  <c:v>4133.1689641828953</c:v>
                </c:pt>
                <c:pt idx="2">
                  <c:v>6205.3737587743426</c:v>
                </c:pt>
                <c:pt idx="3">
                  <c:v>8281.3254283657898</c:v>
                </c:pt>
                <c:pt idx="4">
                  <c:v>10361.023972957237</c:v>
                </c:pt>
                <c:pt idx="5">
                  <c:v>12444.469392548684</c:v>
                </c:pt>
                <c:pt idx="6">
                  <c:v>14531.661687140131</c:v>
                </c:pt>
                <c:pt idx="7">
                  <c:v>16622.60085673158</c:v>
                </c:pt>
                <c:pt idx="8">
                  <c:v>18717.286901323027</c:v>
                </c:pt>
                <c:pt idx="9">
                  <c:v>20815.719820914474</c:v>
                </c:pt>
                <c:pt idx="10">
                  <c:v>22917.899615505921</c:v>
                </c:pt>
                <c:pt idx="11">
                  <c:v>25023.82628509737</c:v>
                </c:pt>
                <c:pt idx="12">
                  <c:v>27133.499829688815</c:v>
                </c:pt>
                <c:pt idx="13">
                  <c:v>29246.920249280261</c:v>
                </c:pt>
                <c:pt idx="14">
                  <c:v>31364.087543871708</c:v>
                </c:pt>
                <c:pt idx="15">
                  <c:v>33485.001713463156</c:v>
                </c:pt>
                <c:pt idx="16">
                  <c:v>35609.662758054605</c:v>
                </c:pt>
                <c:pt idx="17">
                  <c:v>37738.07067764605</c:v>
                </c:pt>
                <c:pt idx="18">
                  <c:v>39870.2254722375</c:v>
                </c:pt>
                <c:pt idx="19">
                  <c:v>42006.127141828947</c:v>
                </c:pt>
                <c:pt idx="20">
                  <c:v>44145.775686420398</c:v>
                </c:pt>
                <c:pt idx="21">
                  <c:v>46289.171106011847</c:v>
                </c:pt>
                <c:pt idx="22">
                  <c:v>48436.313400603292</c:v>
                </c:pt>
                <c:pt idx="23">
                  <c:v>50587.202570194742</c:v>
                </c:pt>
                <c:pt idx="24">
                  <c:v>52741.838614786189</c:v>
                </c:pt>
                <c:pt idx="25">
                  <c:v>54900.221534377633</c:v>
                </c:pt>
                <c:pt idx="26">
                  <c:v>57062.351328969082</c:v>
                </c:pt>
                <c:pt idx="27">
                  <c:v>59228.227998560527</c:v>
                </c:pt>
                <c:pt idx="28">
                  <c:v>61397.851543151977</c:v>
                </c:pt>
                <c:pt idx="29">
                  <c:v>52671.221962743424</c:v>
                </c:pt>
                <c:pt idx="30">
                  <c:v>54848.339257334868</c:v>
                </c:pt>
                <c:pt idx="31">
                  <c:v>57029.203426926317</c:v>
                </c:pt>
                <c:pt idx="32">
                  <c:v>59213.814471517762</c:v>
                </c:pt>
                <c:pt idx="33">
                  <c:v>61402.172391109212</c:v>
                </c:pt>
                <c:pt idx="34">
                  <c:v>63594.277185700659</c:v>
                </c:pt>
                <c:pt idx="35">
                  <c:v>65790.128855292103</c:v>
                </c:pt>
                <c:pt idx="36">
                  <c:v>67989.727399883544</c:v>
                </c:pt>
                <c:pt idx="37">
                  <c:v>70193.072819474997</c:v>
                </c:pt>
                <c:pt idx="38">
                  <c:v>72400.165114066447</c:v>
                </c:pt>
                <c:pt idx="39">
                  <c:v>74611.004283657894</c:v>
                </c:pt>
                <c:pt idx="40">
                  <c:v>76825.590328249338</c:v>
                </c:pt>
                <c:pt idx="41">
                  <c:v>79043.923247840779</c:v>
                </c:pt>
                <c:pt idx="42">
                  <c:v>81266.003042432232</c:v>
                </c:pt>
                <c:pt idx="43">
                  <c:v>83491.829712023682</c:v>
                </c:pt>
                <c:pt idx="44">
                  <c:v>85721.403256615129</c:v>
                </c:pt>
                <c:pt idx="45">
                  <c:v>87954.723676206573</c:v>
                </c:pt>
                <c:pt idx="46">
                  <c:v>90191.790970798014</c:v>
                </c:pt>
                <c:pt idx="47">
                  <c:v>81532.605140389467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0-AD43-A791-A3B108535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159736"/>
        <c:axId val="2115156712"/>
      </c:lineChart>
      <c:catAx>
        <c:axId val="21151597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15156712"/>
        <c:crosses val="autoZero"/>
        <c:auto val="1"/>
        <c:lblAlgn val="ctr"/>
        <c:lblOffset val="100"/>
        <c:noMultiLvlLbl val="0"/>
      </c:catAx>
      <c:valAx>
        <c:axId val="2115156712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15159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Tonly6X4!$X$6</c:f>
              <c:strCache>
                <c:ptCount val="1"/>
                <c:pt idx="0">
                  <c:v>Net Cumulative Cashflow</c:v>
                </c:pt>
              </c:strCache>
            </c:strRef>
          </c:tx>
          <c:marker>
            <c:symbol val="none"/>
          </c:marker>
          <c:cat>
            <c:numRef>
              <c:f>Tonly6X4!$O$7:$O$66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Tonly6X4!$X$7:$X$66</c:f>
              <c:numCache>
                <c:formatCode>_("$"* #,##0.00_);_("$"* \(#,##0.00\);_("$"* "-"??_);_(@_)</c:formatCode>
                <c:ptCount val="60"/>
                <c:pt idx="0">
                  <c:v>8944.8470259959849</c:v>
                </c:pt>
                <c:pt idx="1">
                  <c:v>17899.49092699197</c:v>
                </c:pt>
                <c:pt idx="2">
                  <c:v>26863.931702987953</c:v>
                </c:pt>
                <c:pt idx="3">
                  <c:v>35838.16935398394</c:v>
                </c:pt>
                <c:pt idx="4">
                  <c:v>44822.203879979927</c:v>
                </c:pt>
                <c:pt idx="5">
                  <c:v>53816.035280975913</c:v>
                </c:pt>
                <c:pt idx="6">
                  <c:v>62819.6635569719</c:v>
                </c:pt>
                <c:pt idx="7">
                  <c:v>71833.08870796788</c:v>
                </c:pt>
                <c:pt idx="8">
                  <c:v>80856.310733963866</c:v>
                </c:pt>
                <c:pt idx="9">
                  <c:v>89889.329634959853</c:v>
                </c:pt>
                <c:pt idx="10">
                  <c:v>98932.14541095584</c:v>
                </c:pt>
                <c:pt idx="11">
                  <c:v>107984.75806195183</c:v>
                </c:pt>
                <c:pt idx="12">
                  <c:v>117047.16758794781</c:v>
                </c:pt>
                <c:pt idx="13">
                  <c:v>126119.3739889438</c:v>
                </c:pt>
                <c:pt idx="14">
                  <c:v>135201.37726493977</c:v>
                </c:pt>
                <c:pt idx="15">
                  <c:v>144293.17741593576</c:v>
                </c:pt>
                <c:pt idx="16">
                  <c:v>153394.77444193175</c:v>
                </c:pt>
                <c:pt idx="17">
                  <c:v>162506.16834292773</c:v>
                </c:pt>
                <c:pt idx="18">
                  <c:v>171627.35911892372</c:v>
                </c:pt>
                <c:pt idx="19">
                  <c:v>180758.34676991971</c:v>
                </c:pt>
                <c:pt idx="20">
                  <c:v>189899.13129591569</c:v>
                </c:pt>
                <c:pt idx="21">
                  <c:v>199049.71269691168</c:v>
                </c:pt>
                <c:pt idx="22">
                  <c:v>208210.09097290767</c:v>
                </c:pt>
                <c:pt idx="23">
                  <c:v>217380.26612390365</c:v>
                </c:pt>
                <c:pt idx="24">
                  <c:v>226560.23814989964</c:v>
                </c:pt>
                <c:pt idx="25">
                  <c:v>235750.00705089563</c:v>
                </c:pt>
                <c:pt idx="26">
                  <c:v>244949.57282689161</c:v>
                </c:pt>
                <c:pt idx="27">
                  <c:v>254158.9354778876</c:v>
                </c:pt>
                <c:pt idx="28">
                  <c:v>263378.09500388359</c:v>
                </c:pt>
                <c:pt idx="29">
                  <c:v>251232.05140487957</c:v>
                </c:pt>
                <c:pt idx="30">
                  <c:v>260470.80468087556</c:v>
                </c:pt>
                <c:pt idx="31">
                  <c:v>269719.35483187152</c:v>
                </c:pt>
                <c:pt idx="32">
                  <c:v>278977.70185786748</c:v>
                </c:pt>
                <c:pt idx="33">
                  <c:v>288245.84575886343</c:v>
                </c:pt>
                <c:pt idx="34">
                  <c:v>297523.78653485939</c:v>
                </c:pt>
                <c:pt idx="35">
                  <c:v>306811.52418585535</c:v>
                </c:pt>
                <c:pt idx="36">
                  <c:v>316109.05871185131</c:v>
                </c:pt>
                <c:pt idx="37">
                  <c:v>325416.39011284726</c:v>
                </c:pt>
                <c:pt idx="38">
                  <c:v>334733.51838884322</c:v>
                </c:pt>
                <c:pt idx="39">
                  <c:v>344060.44353983918</c:v>
                </c:pt>
                <c:pt idx="40">
                  <c:v>353397.16556583514</c:v>
                </c:pt>
                <c:pt idx="41">
                  <c:v>362743.6844668311</c:v>
                </c:pt>
                <c:pt idx="42">
                  <c:v>372100.00024282705</c:v>
                </c:pt>
                <c:pt idx="43">
                  <c:v>381466.11289382301</c:v>
                </c:pt>
                <c:pt idx="44">
                  <c:v>390842.02241981897</c:v>
                </c:pt>
                <c:pt idx="45">
                  <c:v>400227.72882081493</c:v>
                </c:pt>
                <c:pt idx="46">
                  <c:v>409623.23209681088</c:v>
                </c:pt>
                <c:pt idx="47">
                  <c:v>397653.53224780684</c:v>
                </c:pt>
                <c:pt idx="48">
                  <c:v>407068.6292738028</c:v>
                </c:pt>
                <c:pt idx="49">
                  <c:v>416493.52317479876</c:v>
                </c:pt>
                <c:pt idx="50">
                  <c:v>425928.21395079471</c:v>
                </c:pt>
                <c:pt idx="51">
                  <c:v>435372.70160179067</c:v>
                </c:pt>
                <c:pt idx="52">
                  <c:v>444826.98612778663</c:v>
                </c:pt>
                <c:pt idx="53">
                  <c:v>454291.06752878259</c:v>
                </c:pt>
                <c:pt idx="54">
                  <c:v>463764.94580477854</c:v>
                </c:pt>
                <c:pt idx="55">
                  <c:v>473248.6209557745</c:v>
                </c:pt>
                <c:pt idx="56">
                  <c:v>473258.4178307745</c:v>
                </c:pt>
                <c:pt idx="57">
                  <c:v>473268.2147057745</c:v>
                </c:pt>
                <c:pt idx="58">
                  <c:v>482761.68673177046</c:v>
                </c:pt>
                <c:pt idx="59">
                  <c:v>482771.48360677046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43DA-BBCC-DAB4C88AA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191528"/>
        <c:axId val="2115188504"/>
      </c:lineChart>
      <c:catAx>
        <c:axId val="211519152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15188504"/>
        <c:crosses val="autoZero"/>
        <c:auto val="1"/>
        <c:lblAlgn val="ctr"/>
        <c:lblOffset val="100"/>
        <c:noMultiLvlLbl val="0"/>
      </c:catAx>
      <c:valAx>
        <c:axId val="2115188504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1519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Tonly6X4!$X$6</c:f>
              <c:strCache>
                <c:ptCount val="1"/>
                <c:pt idx="0">
                  <c:v>Net Cumulative Cashflow</c:v>
                </c:pt>
              </c:strCache>
            </c:strRef>
          </c:tx>
          <c:marker>
            <c:symbol val="none"/>
          </c:marker>
          <c:cat>
            <c:numRef>
              <c:f>Tonly6X4!$O$7:$O$54</c:f>
              <c:numCache>
                <c:formatCode>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Tonly6X4!$X$7:$X$54</c:f>
              <c:numCache>
                <c:formatCode>_("$"* #,##0.00_);_("$"* \(#,##0.00\);_("$"* "-"??_);_(@_)</c:formatCode>
                <c:ptCount val="48"/>
                <c:pt idx="0">
                  <c:v>8944.8470259959849</c:v>
                </c:pt>
                <c:pt idx="1">
                  <c:v>17899.49092699197</c:v>
                </c:pt>
                <c:pt idx="2">
                  <c:v>26863.931702987953</c:v>
                </c:pt>
                <c:pt idx="3">
                  <c:v>35838.16935398394</c:v>
                </c:pt>
                <c:pt idx="4">
                  <c:v>44822.203879979927</c:v>
                </c:pt>
                <c:pt idx="5">
                  <c:v>53816.035280975913</c:v>
                </c:pt>
                <c:pt idx="6">
                  <c:v>62819.6635569719</c:v>
                </c:pt>
                <c:pt idx="7">
                  <c:v>71833.08870796788</c:v>
                </c:pt>
                <c:pt idx="8">
                  <c:v>80856.310733963866</c:v>
                </c:pt>
                <c:pt idx="9">
                  <c:v>89889.329634959853</c:v>
                </c:pt>
                <c:pt idx="10">
                  <c:v>98932.14541095584</c:v>
                </c:pt>
                <c:pt idx="11">
                  <c:v>107984.75806195183</c:v>
                </c:pt>
                <c:pt idx="12">
                  <c:v>117047.16758794781</c:v>
                </c:pt>
                <c:pt idx="13">
                  <c:v>126119.3739889438</c:v>
                </c:pt>
                <c:pt idx="14">
                  <c:v>135201.37726493977</c:v>
                </c:pt>
                <c:pt idx="15">
                  <c:v>144293.17741593576</c:v>
                </c:pt>
                <c:pt idx="16">
                  <c:v>153394.77444193175</c:v>
                </c:pt>
                <c:pt idx="17">
                  <c:v>162506.16834292773</c:v>
                </c:pt>
                <c:pt idx="18">
                  <c:v>171627.35911892372</c:v>
                </c:pt>
                <c:pt idx="19">
                  <c:v>180758.34676991971</c:v>
                </c:pt>
                <c:pt idx="20">
                  <c:v>189899.13129591569</c:v>
                </c:pt>
                <c:pt idx="21">
                  <c:v>199049.71269691168</c:v>
                </c:pt>
                <c:pt idx="22">
                  <c:v>208210.09097290767</c:v>
                </c:pt>
                <c:pt idx="23">
                  <c:v>217380.26612390365</c:v>
                </c:pt>
                <c:pt idx="24">
                  <c:v>226560.23814989964</c:v>
                </c:pt>
                <c:pt idx="25">
                  <c:v>235750.00705089563</c:v>
                </c:pt>
                <c:pt idx="26">
                  <c:v>244949.57282689161</c:v>
                </c:pt>
                <c:pt idx="27">
                  <c:v>254158.9354778876</c:v>
                </c:pt>
                <c:pt idx="28">
                  <c:v>263378.09500388359</c:v>
                </c:pt>
                <c:pt idx="29">
                  <c:v>251232.05140487957</c:v>
                </c:pt>
                <c:pt idx="30">
                  <c:v>260470.80468087556</c:v>
                </c:pt>
                <c:pt idx="31">
                  <c:v>269719.35483187152</c:v>
                </c:pt>
                <c:pt idx="32">
                  <c:v>278977.70185786748</c:v>
                </c:pt>
                <c:pt idx="33">
                  <c:v>288245.84575886343</c:v>
                </c:pt>
                <c:pt idx="34">
                  <c:v>297523.78653485939</c:v>
                </c:pt>
                <c:pt idx="35">
                  <c:v>306811.52418585535</c:v>
                </c:pt>
                <c:pt idx="36">
                  <c:v>316109.05871185131</c:v>
                </c:pt>
                <c:pt idx="37">
                  <c:v>325416.39011284726</c:v>
                </c:pt>
                <c:pt idx="38">
                  <c:v>334733.51838884322</c:v>
                </c:pt>
                <c:pt idx="39">
                  <c:v>344060.44353983918</c:v>
                </c:pt>
                <c:pt idx="40">
                  <c:v>353397.16556583514</c:v>
                </c:pt>
                <c:pt idx="41">
                  <c:v>362743.6844668311</c:v>
                </c:pt>
                <c:pt idx="42">
                  <c:v>372100.00024282705</c:v>
                </c:pt>
                <c:pt idx="43">
                  <c:v>381466.11289382301</c:v>
                </c:pt>
                <c:pt idx="44">
                  <c:v>390842.02241981897</c:v>
                </c:pt>
                <c:pt idx="45">
                  <c:v>400227.72882081493</c:v>
                </c:pt>
                <c:pt idx="46">
                  <c:v>409623.23209681088</c:v>
                </c:pt>
                <c:pt idx="47">
                  <c:v>397653.53224780684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6-41C1-BD95-F81F6B72D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159736"/>
        <c:axId val="2115156712"/>
      </c:lineChart>
      <c:catAx>
        <c:axId val="21151597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15156712"/>
        <c:crosses val="autoZero"/>
        <c:auto val="1"/>
        <c:lblAlgn val="ctr"/>
        <c:lblOffset val="100"/>
        <c:noMultiLvlLbl val="0"/>
      </c:catAx>
      <c:valAx>
        <c:axId val="2115156712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15159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DT80t!$X$6</c:f>
              <c:strCache>
                <c:ptCount val="1"/>
                <c:pt idx="0">
                  <c:v>Net Cumulative Cashflow</c:v>
                </c:pt>
              </c:strCache>
            </c:strRef>
          </c:tx>
          <c:marker>
            <c:symbol val="none"/>
          </c:marker>
          <c:cat>
            <c:numRef>
              <c:f>DT80t!$O$7:$O$66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DT80t!$X$7:$X$66</c:f>
              <c:numCache>
                <c:formatCode>_("$"* #,##0.00_);_("$"* \(#,##0.00\);_("$"* "-"??_);_(@_)</c:formatCode>
                <c:ptCount val="60"/>
                <c:pt idx="0">
                  <c:v>6904.7941955056731</c:v>
                </c:pt>
                <c:pt idx="1">
                  <c:v>13817.150891011346</c:v>
                </c:pt>
                <c:pt idx="2">
                  <c:v>20737.070086517018</c:v>
                </c:pt>
                <c:pt idx="3">
                  <c:v>27664.551782022692</c:v>
                </c:pt>
                <c:pt idx="4">
                  <c:v>34599.595977528363</c:v>
                </c:pt>
                <c:pt idx="5">
                  <c:v>41542.202673034037</c:v>
                </c:pt>
                <c:pt idx="6">
                  <c:v>48492.371868539711</c:v>
                </c:pt>
                <c:pt idx="7">
                  <c:v>55450.103564045385</c:v>
                </c:pt>
                <c:pt idx="8">
                  <c:v>62415.397759551059</c:v>
                </c:pt>
                <c:pt idx="9">
                  <c:v>69388.254455056725</c:v>
                </c:pt>
                <c:pt idx="10">
                  <c:v>76368.673650562399</c:v>
                </c:pt>
                <c:pt idx="11">
                  <c:v>83356.655346068073</c:v>
                </c:pt>
                <c:pt idx="12">
                  <c:v>90352.199541573747</c:v>
                </c:pt>
                <c:pt idx="13">
                  <c:v>97355.306237079421</c:v>
                </c:pt>
                <c:pt idx="14">
                  <c:v>104365.9754325851</c:v>
                </c:pt>
                <c:pt idx="15">
                  <c:v>111384.20712809077</c:v>
                </c:pt>
                <c:pt idx="16">
                  <c:v>118410.00132359644</c:v>
                </c:pt>
                <c:pt idx="17">
                  <c:v>125443.35801910212</c:v>
                </c:pt>
                <c:pt idx="18">
                  <c:v>132484.27721460778</c:v>
                </c:pt>
                <c:pt idx="19">
                  <c:v>139532.75891011345</c:v>
                </c:pt>
                <c:pt idx="20">
                  <c:v>146588.80310561912</c:v>
                </c:pt>
                <c:pt idx="21">
                  <c:v>153652.4098011248</c:v>
                </c:pt>
                <c:pt idx="22">
                  <c:v>160723.57899663047</c:v>
                </c:pt>
                <c:pt idx="23">
                  <c:v>167802.31069213615</c:v>
                </c:pt>
                <c:pt idx="24">
                  <c:v>174888.60488764182</c:v>
                </c:pt>
                <c:pt idx="25">
                  <c:v>181982.46158314749</c:v>
                </c:pt>
                <c:pt idx="26">
                  <c:v>189083.88077865317</c:v>
                </c:pt>
                <c:pt idx="27">
                  <c:v>196192.86247415884</c:v>
                </c:pt>
                <c:pt idx="28">
                  <c:v>203309.40666966452</c:v>
                </c:pt>
                <c:pt idx="29">
                  <c:v>193933.51336517019</c:v>
                </c:pt>
                <c:pt idx="30">
                  <c:v>201065.18256067586</c:v>
                </c:pt>
                <c:pt idx="31">
                  <c:v>208204.41425618154</c:v>
                </c:pt>
                <c:pt idx="32">
                  <c:v>215351.20845168721</c:v>
                </c:pt>
                <c:pt idx="33">
                  <c:v>222505.56514719289</c:v>
                </c:pt>
                <c:pt idx="34">
                  <c:v>229667.48434269856</c:v>
                </c:pt>
                <c:pt idx="35">
                  <c:v>236836.96603820423</c:v>
                </c:pt>
                <c:pt idx="36">
                  <c:v>244014.01023370991</c:v>
                </c:pt>
                <c:pt idx="37">
                  <c:v>251198.61692921558</c:v>
                </c:pt>
                <c:pt idx="38">
                  <c:v>258390.78612472126</c:v>
                </c:pt>
                <c:pt idx="39">
                  <c:v>265590.5178202269</c:v>
                </c:pt>
                <c:pt idx="40">
                  <c:v>272797.81201573258</c:v>
                </c:pt>
                <c:pt idx="41">
                  <c:v>280012.66871123825</c:v>
                </c:pt>
                <c:pt idx="42">
                  <c:v>287235.08790674392</c:v>
                </c:pt>
                <c:pt idx="43">
                  <c:v>294465.0696022496</c:v>
                </c:pt>
                <c:pt idx="44">
                  <c:v>301702.61379775527</c:v>
                </c:pt>
                <c:pt idx="45">
                  <c:v>308947.72049326095</c:v>
                </c:pt>
                <c:pt idx="46">
                  <c:v>316200.38968876662</c:v>
                </c:pt>
                <c:pt idx="47">
                  <c:v>306960.62138427229</c:v>
                </c:pt>
                <c:pt idx="48">
                  <c:v>314228.41557977797</c:v>
                </c:pt>
                <c:pt idx="49">
                  <c:v>321503.77227528364</c:v>
                </c:pt>
                <c:pt idx="50">
                  <c:v>328786.69147078932</c:v>
                </c:pt>
                <c:pt idx="51">
                  <c:v>336077.17316629499</c:v>
                </c:pt>
                <c:pt idx="52">
                  <c:v>343375.21736180066</c:v>
                </c:pt>
                <c:pt idx="53">
                  <c:v>350680.82405730634</c:v>
                </c:pt>
                <c:pt idx="54">
                  <c:v>357993.99325281201</c:v>
                </c:pt>
                <c:pt idx="55">
                  <c:v>365314.72494831769</c:v>
                </c:pt>
                <c:pt idx="56">
                  <c:v>365322.28744831769</c:v>
                </c:pt>
                <c:pt idx="57">
                  <c:v>365329.84994831769</c:v>
                </c:pt>
                <c:pt idx="58">
                  <c:v>372658.14414382336</c:v>
                </c:pt>
                <c:pt idx="59">
                  <c:v>372665.70664382336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E-2445-9077-12C2368C2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191528"/>
        <c:axId val="2115188504"/>
      </c:lineChart>
      <c:catAx>
        <c:axId val="211519152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15188504"/>
        <c:crosses val="autoZero"/>
        <c:auto val="1"/>
        <c:lblAlgn val="ctr"/>
        <c:lblOffset val="100"/>
        <c:noMultiLvlLbl val="0"/>
      </c:catAx>
      <c:valAx>
        <c:axId val="2115188504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1519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43</xdr:row>
      <xdr:rowOff>179070</xdr:rowOff>
    </xdr:from>
    <xdr:to>
      <xdr:col>7</xdr:col>
      <xdr:colOff>510540</xdr:colOff>
      <xdr:row>55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BD336-B019-4B9E-8D45-74968E2BC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43</xdr:row>
      <xdr:rowOff>52070</xdr:rowOff>
    </xdr:from>
    <xdr:to>
      <xdr:col>7</xdr:col>
      <xdr:colOff>510540</xdr:colOff>
      <xdr:row>66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816CBD-5452-F440-A788-DE0B761E0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112</xdr:row>
      <xdr:rowOff>26670</xdr:rowOff>
    </xdr:from>
    <xdr:to>
      <xdr:col>7</xdr:col>
      <xdr:colOff>495300</xdr:colOff>
      <xdr:row>123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60C2E7-6BBD-D842-945A-6C5C1145C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43</xdr:row>
      <xdr:rowOff>52070</xdr:rowOff>
    </xdr:from>
    <xdr:to>
      <xdr:col>7</xdr:col>
      <xdr:colOff>510540</xdr:colOff>
      <xdr:row>66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03273-80AE-8247-955F-858CD008F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112</xdr:row>
      <xdr:rowOff>26670</xdr:rowOff>
    </xdr:from>
    <xdr:to>
      <xdr:col>7</xdr:col>
      <xdr:colOff>495300</xdr:colOff>
      <xdr:row>123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908DB4-D8E6-A94A-A606-FDD460975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43</xdr:row>
      <xdr:rowOff>52070</xdr:rowOff>
    </xdr:from>
    <xdr:to>
      <xdr:col>7</xdr:col>
      <xdr:colOff>510540</xdr:colOff>
      <xdr:row>66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43E28-4DA6-7045-A5A8-143F9D4A3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112</xdr:row>
      <xdr:rowOff>26670</xdr:rowOff>
    </xdr:from>
    <xdr:to>
      <xdr:col>7</xdr:col>
      <xdr:colOff>495300</xdr:colOff>
      <xdr:row>123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F4162E-57DC-2640-834E-7B98C182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43</xdr:row>
      <xdr:rowOff>52070</xdr:rowOff>
    </xdr:from>
    <xdr:to>
      <xdr:col>7</xdr:col>
      <xdr:colOff>510540</xdr:colOff>
      <xdr:row>66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79374-9AAF-9B47-949B-B0B41980A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112</xdr:row>
      <xdr:rowOff>26670</xdr:rowOff>
    </xdr:from>
    <xdr:to>
      <xdr:col>7</xdr:col>
      <xdr:colOff>495300</xdr:colOff>
      <xdr:row>123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5C749E-4A36-4449-8900-496378E1C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43</xdr:row>
      <xdr:rowOff>52070</xdr:rowOff>
    </xdr:from>
    <xdr:to>
      <xdr:col>7</xdr:col>
      <xdr:colOff>510540</xdr:colOff>
      <xdr:row>66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BE4A7-F45C-B542-ABDA-22D0B68B6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112</xdr:row>
      <xdr:rowOff>26670</xdr:rowOff>
    </xdr:from>
    <xdr:to>
      <xdr:col>7</xdr:col>
      <xdr:colOff>495300</xdr:colOff>
      <xdr:row>123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359714-C0DF-1C4C-B6DD-33647AF56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43</xdr:row>
      <xdr:rowOff>52070</xdr:rowOff>
    </xdr:from>
    <xdr:to>
      <xdr:col>7</xdr:col>
      <xdr:colOff>510540</xdr:colOff>
      <xdr:row>66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743A7B-2C01-474D-A074-BC578271E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112</xdr:row>
      <xdr:rowOff>26670</xdr:rowOff>
    </xdr:from>
    <xdr:to>
      <xdr:col>7</xdr:col>
      <xdr:colOff>495300</xdr:colOff>
      <xdr:row>123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8C97A3-DA42-4C48-9A5F-252EAAD93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43</xdr:row>
      <xdr:rowOff>179070</xdr:rowOff>
    </xdr:from>
    <xdr:to>
      <xdr:col>7</xdr:col>
      <xdr:colOff>510540</xdr:colOff>
      <xdr:row>55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D44E1-3CA9-284A-8B49-6175BBFEF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43</xdr:row>
      <xdr:rowOff>179070</xdr:rowOff>
    </xdr:from>
    <xdr:to>
      <xdr:col>7</xdr:col>
      <xdr:colOff>510540</xdr:colOff>
      <xdr:row>55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A00C2-8779-7247-8A67-48D1CE9B1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43</xdr:row>
      <xdr:rowOff>179070</xdr:rowOff>
    </xdr:from>
    <xdr:to>
      <xdr:col>7</xdr:col>
      <xdr:colOff>510540</xdr:colOff>
      <xdr:row>55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456EC-00A8-4608-95C3-9DEA62CDB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43</xdr:row>
      <xdr:rowOff>179070</xdr:rowOff>
    </xdr:from>
    <xdr:to>
      <xdr:col>7</xdr:col>
      <xdr:colOff>510540</xdr:colOff>
      <xdr:row>55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7A915-14FF-7C4B-964F-8187954D6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115</xdr:row>
      <xdr:rowOff>179070</xdr:rowOff>
    </xdr:from>
    <xdr:to>
      <xdr:col>7</xdr:col>
      <xdr:colOff>510540</xdr:colOff>
      <xdr:row>127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24A746-FDA8-0541-B576-2AA1DDB9F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43</xdr:row>
      <xdr:rowOff>179070</xdr:rowOff>
    </xdr:from>
    <xdr:to>
      <xdr:col>7</xdr:col>
      <xdr:colOff>510540</xdr:colOff>
      <xdr:row>55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0EF43-7281-47F3-A3AF-B17000806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115</xdr:row>
      <xdr:rowOff>179070</xdr:rowOff>
    </xdr:from>
    <xdr:to>
      <xdr:col>7</xdr:col>
      <xdr:colOff>510540</xdr:colOff>
      <xdr:row>127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BEAD43-134F-4F4E-83BA-125082B54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43</xdr:row>
      <xdr:rowOff>179070</xdr:rowOff>
    </xdr:from>
    <xdr:to>
      <xdr:col>7</xdr:col>
      <xdr:colOff>510540</xdr:colOff>
      <xdr:row>55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004C0-3D30-EF41-8ECB-90BADED1E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115</xdr:row>
      <xdr:rowOff>179070</xdr:rowOff>
    </xdr:from>
    <xdr:to>
      <xdr:col>7</xdr:col>
      <xdr:colOff>510540</xdr:colOff>
      <xdr:row>127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AA6DA2-10EA-9747-A701-0561914A6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43</xdr:row>
      <xdr:rowOff>179070</xdr:rowOff>
    </xdr:from>
    <xdr:to>
      <xdr:col>7</xdr:col>
      <xdr:colOff>510540</xdr:colOff>
      <xdr:row>55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665229-6FBF-0B4D-809F-46D3206F7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115</xdr:row>
      <xdr:rowOff>179070</xdr:rowOff>
    </xdr:from>
    <xdr:to>
      <xdr:col>7</xdr:col>
      <xdr:colOff>510540</xdr:colOff>
      <xdr:row>127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318140-51D7-C34C-8801-6EB2C0C67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43</xdr:row>
      <xdr:rowOff>179070</xdr:rowOff>
    </xdr:from>
    <xdr:to>
      <xdr:col>7</xdr:col>
      <xdr:colOff>510540</xdr:colOff>
      <xdr:row>55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D52C0-A892-B348-9B4B-974FC9B7C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115</xdr:row>
      <xdr:rowOff>179070</xdr:rowOff>
    </xdr:from>
    <xdr:to>
      <xdr:col>7</xdr:col>
      <xdr:colOff>510540</xdr:colOff>
      <xdr:row>127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BC436E-7BCA-3B4A-B76E-C2A7A6103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:/BE&amp;E%20-%20ADG%20Work%20Folder/Projects/Spence/Model%20-%2002%20Development/Spence%20Model%20-%20Rev%201%20-%20ADG%2024%20Sep%20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L:/oracle/ctd2/ORACLE/IMP/V06/EXCEL/Data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Zacimpsrv011/xcsa$/My%20Documents/A%20Duiker/F%20Budgets/B%20Budget%202002/C%20Tonnages/G%20GK%20Tables/010824%20GK%20email24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agaidoo/Desktop/In%20Perth/Burkina%20Stuff/Natougou/Models/GC%20stat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S_ams_23/d/Budgets/2002/Budget%20book/Oracle%20Source%20Data/OAPSFI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grizzly/UserDocs/P.Bundo/My%20Documents/Process%20Standards/Calculations/Heap%20Leach/HEAPSIZ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tsclient/F/ENRC_Africa/LONDON%20SHARED%20SERVICES/CAMEC/CAMEC%20Plc/YE2010%20DECEMBER%20(new%20ENRC)/Reconciliations/Impairment%20analysis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unoAdriansens/Desktop/AA_Business/BRUTE%20GUINEA/PROSPECTS/DYNAMIC/zatmsfile01/documents/braam/Documents/Trollope/Tenders/2017/Belair/170912%20Bel%20Air%20RFT%20Mining%20and%20Haulage%20BoQs%20Rev%200%20(006)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zaergpom-fs01/userinfo$/Users/leslie.crabbe/AppData/Local/Microsoft/Windows/INetCache/Content.Outlook/JPG2H85D/Copper%20Mining%20(00000002).xlsb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unoAdriansens/Library/Containers/com.apple.mail/Data/Library/Mail%20Downloads/DF46E2B7-F167-45DD-B831-7851E99A42E8/Frontier%20-%20workings%20used%20-%202019013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zaergpom-fs01/userinfo$/Users/Stuart.Mciver/Documents/Projects%202017/BOSS/BOSS%20Scenario%20Analysis/F1%20Template%20-V3%20(3+9)%20with%20ERG%20Marketing%20confirmation%20%20Dist%20Chang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Z:/DOCUME~1/Barbara/LOCALS~1/Temp/Temporary%20Directory%203%20for%20Western%20Limb%20D0360.zip/Western%20Limb%20D0360/F/Mass%20Balance/Mass%20Balance.Rev3.xls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microsoft.com/office/2019/04/relationships/externalLinkLongPath" Target="/Users/BrunoAdriansens/Desktop/AA_Business/BRUTE%20GUINEA/PROSPECTS/DYNAMIC/Dynamic%20Round%202/Workings/10.1.18.16/Departments/MRM/Boss/Kelvin%20Mwangwewo/COMIDE%20Daily%20Production%20Summary%20For%20ENRC%2019%20September%202014%20Friday.xlsb?B4D905C7" TargetMode="External"/><Relationship Id="rId1" Type="http://schemas.openxmlformats.org/officeDocument/2006/relationships/externalLinkPath" Target="file:///\\B4D905C7\COMIDE%20Daily%20Production%20Summary%20For%20ENRC%2019%20September%202014%20Friday.xlsb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unoAdriansens/Google%20Drive/AA_Business/BRUTE/AFRICA%20DEVELOPMENT/ALUFER/VISIT%20LONDON/FINAL/Centralized%20Stockpile/171030%20Bel%20Air%20RFT%20Mining%20and%20Haulage%20BoQs%20Rev%200%20(Central%20ROM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:/MARACA/317777/DES/M/EqList/Emitido/H317777000MLI001-D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K/Documents%20and%20Settings/abhishekb/Local%20Settings/Temporary%20Internet%20Files/OLK431/InvCostMod%2009_1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unoAdriansens/Desktop/AA_Business/BRUTE%20GUINEA/PROSPECTS/DYNAMIC/Dynamic%20Round%202/Workings/zaergpom-fs01/userinfo$/2_Production/2_Monthly_Reports/2011/1107/DCE/MONTHLY%20REPORT%2011_07%20July_mod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unoadriansens/Downloads/07%20181123%20Bill%20of%20Quantities%20-%20Rev%20BCD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unoAdriansens/Desktop/AA_Business/BRUTE%20GUINEA/PROSPECTS/DYNAMIC/Dynamic%20Round%202/04%20CGNEBR3407%20Bon%20Ami%20Bill%20of%20Quantities%20-%20Rev%20G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Y:/Monthly%20Reports/TMS_Divisional_2016.xlsm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debs-mcl-fps-01/Users/Administration/Monthly%20Report/2009/Graphs/POWER%20AND%20WATER%20GRAPH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rpm02/ManAccount/COSTING/DAILY%20INC%20STATEMENT%20JAN%202000%20-%20DEC%202000/BU%20MAN%20report%20MAR%2020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unoadriansens/Desktop/AA_Business/BRUTE%20GUINEA/ALUFER/ALUFER%20_%20SCHEDULES/grizzly/UserDocs/P.Bundo/My%20Documents/Process%20Standards/Calculations/Heap%20Leach/HEAPSIZ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unoadriansens/Desktop/AA_Business/BRUTE%20GUINEA/ALUFER/ALUFER%20_%20SCHEDULES/PALLADIUM/Design/Flow/Pump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:/Design/Flow/Pump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Morupule_server/users/IBS/Report99/Graphs/mar'99/Safety_Stat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nual%20Input%20Qld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:/P/Current%20PCFNetwork/-%20RESEARCH/Gold/ASX%20Gold%20Companies/Gold%20Research%20Data%202401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uip Fleet Sum"/>
      <sheetName val="Equip Fleet Comp"/>
      <sheetName val="A4 OPEX DL-7xHS 42m3"/>
      <sheetName val="A3 OPEX 7 x HS 42m3 + 1xLET "/>
      <sheetName val="A2 OPEX Contractor Conveyor"/>
      <sheetName val="A1 OPEX Contractor Road"/>
      <sheetName val="OPEX OWOEA"/>
      <sheetName val="OPEX DL-9xRS 33m3"/>
      <sheetName val="OPEX 3xHS61+4xHS20 + 2xF"/>
      <sheetName val="OPEX 7 HS 20m3 - 6 FEL 30m3"/>
      <sheetName val="OPEX DL-5XRS 61m3"/>
      <sheetName val="Phase3-2 Schedule"/>
      <sheetName val="Cost Base"/>
      <sheetName val="Sum Boxcut Costs"/>
      <sheetName val="Tot Cap+Op"/>
      <sheetName val="Opex graphs R-prod t"/>
      <sheetName val="Opex graphs-R-a"/>
      <sheetName val="Opex Graph"/>
      <sheetName val="Labour Sum"/>
      <sheetName val="Top Soil Reb + Seeding"/>
      <sheetName val="MCC Khut"/>
      <sheetName val="Jef Drill &amp; Blast"/>
      <sheetName val="Kip Opt Comp"/>
      <sheetName val="A4 OPEX DL-5xHS 42m3"/>
      <sheetName val="A3 OPEX 5 x HS 42m3 + 2xLET "/>
      <sheetName val="OPEX DL-6xRS 33m3"/>
      <sheetName val="OPEX 2xHS61+3xHS42 + 1xF"/>
      <sheetName val="OPEX 6 HS 20m3 - 4 FEL 30m3"/>
      <sheetName val="OPEX1x DL-3xRS 61m3-HS 42m3"/>
      <sheetName val="P100 Eqiupment + Labour Summary"/>
      <sheetName val="Design"/>
      <sheetName val="Penetration rate SACMA formula"/>
      <sheetName val="Drilling Capital costs p.m"/>
      <sheetName val="Drilling Operating costs p.m"/>
      <sheetName val="Total Drilling cost p.m"/>
      <sheetName val="Total Drilling cost p.BCM"/>
      <sheetName val="Intro &amp; Protocols"/>
      <sheetName val="Summary"/>
      <sheetName val="Prodn&amp;Revenue"/>
      <sheetName val="Capex"/>
      <sheetName val="Opex"/>
      <sheetName val="Taxes"/>
      <sheetName val="Valuation"/>
      <sheetName val="Log"/>
      <sheetName val="X FM_Description"/>
      <sheetName val="Cash Flow"/>
      <sheetName val="X Cathode Production"/>
      <sheetName val="Production &amp; Revenue"/>
      <sheetName val="Op Costs &amp; Capital"/>
      <sheetName val="Deprec &amp; Amort"/>
      <sheetName val="Technical data"/>
      <sheetName val="Tax Model"/>
      <sheetName val="FUT Calculations"/>
      <sheetName val="Financial Statements"/>
      <sheetName val="Balance Sheet"/>
      <sheetName val="CF&amp;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"/>
      <sheetName val="int"/>
      <sheetName val="Port"/>
      <sheetName val="C"/>
      <sheetName val="CA"/>
      <sheetName val="D"/>
      <sheetName val="DA"/>
      <sheetName val="E"/>
      <sheetName val="F"/>
      <sheetName val="G"/>
      <sheetName val="H"/>
      <sheetName val="I"/>
      <sheetName val="J"/>
      <sheetName val="K"/>
      <sheetName val="L"/>
      <sheetName val="M"/>
      <sheetName val="N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A"/>
      <sheetName val="AB"/>
      <sheetName val="AC"/>
      <sheetName val="AD"/>
      <sheetName val="Declarations"/>
      <sheetName val="ReadIn"/>
      <sheetName val="AE"/>
      <sheetName val="AF"/>
      <sheetName val="AG"/>
      <sheetName val="InvConsol"/>
      <sheetName val="Validations"/>
      <sheetName val="ToAE"/>
      <sheetName val="modSheetList"/>
      <sheetName val="dlgSheetList"/>
      <sheetName val="ConshtCode"/>
      <sheetName val="Macros"/>
      <sheetName val="Eliminations"/>
      <sheetName val="ExtendFormulaRange"/>
      <sheetName val="FromAE"/>
      <sheetName val="DraftIndicatorM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C"/>
      <sheetName val="Stock"/>
      <sheetName val="Lists "/>
      <sheetName val="Contract Summary"/>
      <sheetName val="Cert &amp; Cost Sum"/>
      <sheetName val="Budget Mining Stat - 2015"/>
      <sheetName val="Budget_Mining 2017"/>
    </sheetNames>
    <sheetDataSet>
      <sheetData sheetId="0" refreshError="1">
        <row r="1">
          <cell r="D1" t="str">
            <v>Control samples on grade control - April '98</v>
          </cell>
        </row>
        <row r="7">
          <cell r="A7">
            <v>0.21</v>
          </cell>
          <cell r="B7">
            <v>0.21</v>
          </cell>
        </row>
        <row r="8">
          <cell r="A8">
            <v>0.31</v>
          </cell>
          <cell r="B8">
            <v>0.44</v>
          </cell>
        </row>
        <row r="9">
          <cell r="A9">
            <v>0.48</v>
          </cell>
          <cell r="B9">
            <v>0.48</v>
          </cell>
        </row>
        <row r="10">
          <cell r="A10">
            <v>0.54</v>
          </cell>
          <cell r="B10">
            <v>0.39</v>
          </cell>
        </row>
        <row r="11">
          <cell r="A11">
            <v>0.56000000000000005</v>
          </cell>
          <cell r="B11">
            <v>0.93</v>
          </cell>
        </row>
        <row r="12">
          <cell r="A12">
            <v>0.59</v>
          </cell>
          <cell r="B12">
            <v>0.24</v>
          </cell>
        </row>
        <row r="13">
          <cell r="A13">
            <v>0.6</v>
          </cell>
          <cell r="B13">
            <v>0.56000000000000005</v>
          </cell>
        </row>
        <row r="14">
          <cell r="A14">
            <v>0.63</v>
          </cell>
          <cell r="B14">
            <v>0.36</v>
          </cell>
        </row>
        <row r="15">
          <cell r="A15">
            <v>0.78</v>
          </cell>
          <cell r="B15">
            <v>0.68</v>
          </cell>
        </row>
        <row r="16">
          <cell r="A16">
            <v>0.79</v>
          </cell>
          <cell r="B16">
            <v>0.79</v>
          </cell>
        </row>
        <row r="17">
          <cell r="A17">
            <v>0.8</v>
          </cell>
          <cell r="B17">
            <v>0.73</v>
          </cell>
        </row>
        <row r="18">
          <cell r="A18">
            <v>0.95</v>
          </cell>
          <cell r="B18">
            <v>0.7</v>
          </cell>
        </row>
        <row r="19">
          <cell r="A19">
            <v>1.24</v>
          </cell>
          <cell r="B19">
            <v>1.3</v>
          </cell>
        </row>
        <row r="20">
          <cell r="A20">
            <v>1.41</v>
          </cell>
          <cell r="B20">
            <v>1.33</v>
          </cell>
        </row>
        <row r="21">
          <cell r="A21">
            <v>1.57</v>
          </cell>
          <cell r="B21">
            <v>4.0199999999999996</v>
          </cell>
        </row>
        <row r="22">
          <cell r="A22">
            <v>1.59</v>
          </cell>
          <cell r="B22">
            <v>1.83</v>
          </cell>
        </row>
        <row r="23">
          <cell r="A23">
            <v>1.64</v>
          </cell>
          <cell r="B23">
            <v>1.06</v>
          </cell>
        </row>
        <row r="24">
          <cell r="A24">
            <v>1.91</v>
          </cell>
          <cell r="B24">
            <v>1.26</v>
          </cell>
        </row>
        <row r="25">
          <cell r="A25">
            <v>2.04</v>
          </cell>
          <cell r="B25">
            <v>2.0499999999999998</v>
          </cell>
        </row>
        <row r="26">
          <cell r="A26">
            <v>2.06</v>
          </cell>
          <cell r="B26">
            <v>2.2799999999999998</v>
          </cell>
        </row>
        <row r="27">
          <cell r="A27">
            <v>2.13</v>
          </cell>
          <cell r="B27">
            <v>2.64</v>
          </cell>
        </row>
        <row r="28">
          <cell r="A28">
            <v>2.16</v>
          </cell>
          <cell r="B28">
            <v>2.0099999999999998</v>
          </cell>
        </row>
        <row r="29">
          <cell r="A29">
            <v>2.58</v>
          </cell>
          <cell r="B29">
            <v>3.32</v>
          </cell>
        </row>
        <row r="30">
          <cell r="A30">
            <v>2.68</v>
          </cell>
          <cell r="B30">
            <v>2.1800000000000002</v>
          </cell>
        </row>
        <row r="31">
          <cell r="A31">
            <v>2.94</v>
          </cell>
          <cell r="B31">
            <v>3.87</v>
          </cell>
        </row>
        <row r="32">
          <cell r="A32">
            <v>3.12</v>
          </cell>
          <cell r="B32">
            <v>1.76</v>
          </cell>
        </row>
        <row r="33">
          <cell r="A33">
            <v>3.14</v>
          </cell>
          <cell r="B33">
            <v>3.79</v>
          </cell>
        </row>
        <row r="34">
          <cell r="A34">
            <v>3.25</v>
          </cell>
          <cell r="B34">
            <v>4.47</v>
          </cell>
        </row>
        <row r="35">
          <cell r="A35">
            <v>3.4</v>
          </cell>
          <cell r="B35">
            <v>3.22</v>
          </cell>
        </row>
        <row r="36">
          <cell r="A36">
            <v>3.52</v>
          </cell>
          <cell r="B36">
            <v>2.5499999999999998</v>
          </cell>
        </row>
        <row r="37">
          <cell r="A37">
            <v>3.53</v>
          </cell>
          <cell r="B37">
            <v>3.87</v>
          </cell>
        </row>
        <row r="38">
          <cell r="A38">
            <v>3.54</v>
          </cell>
          <cell r="B38">
            <v>3.96</v>
          </cell>
        </row>
        <row r="39">
          <cell r="A39">
            <v>3.67</v>
          </cell>
          <cell r="B39">
            <v>3.14</v>
          </cell>
        </row>
        <row r="40">
          <cell r="A40">
            <v>3.75</v>
          </cell>
          <cell r="B40">
            <v>3.85</v>
          </cell>
        </row>
        <row r="41">
          <cell r="A41">
            <v>3.79</v>
          </cell>
          <cell r="B41">
            <v>3.02</v>
          </cell>
        </row>
        <row r="42">
          <cell r="A42">
            <v>4.21</v>
          </cell>
          <cell r="B42">
            <v>4.13</v>
          </cell>
        </row>
        <row r="43">
          <cell r="A43">
            <v>4.22</v>
          </cell>
          <cell r="B43">
            <v>4.24</v>
          </cell>
        </row>
        <row r="44">
          <cell r="A44">
            <v>4.3099999999999996</v>
          </cell>
          <cell r="B44">
            <v>6.07</v>
          </cell>
        </row>
        <row r="45">
          <cell r="A45">
            <v>4.6500000000000004</v>
          </cell>
          <cell r="B45">
            <v>7.22</v>
          </cell>
        </row>
        <row r="46">
          <cell r="A46">
            <v>4.8600000000000003</v>
          </cell>
          <cell r="B46">
            <v>5.4</v>
          </cell>
        </row>
        <row r="47">
          <cell r="A47">
            <v>5</v>
          </cell>
          <cell r="B47">
            <v>5.18</v>
          </cell>
        </row>
        <row r="48">
          <cell r="A48">
            <v>5.23</v>
          </cell>
          <cell r="B48">
            <v>6.92</v>
          </cell>
        </row>
        <row r="49">
          <cell r="A49">
            <v>5.28</v>
          </cell>
          <cell r="B49">
            <v>4.0999999999999996</v>
          </cell>
        </row>
        <row r="50">
          <cell r="A50">
            <v>5.34</v>
          </cell>
          <cell r="B50">
            <v>4.32</v>
          </cell>
        </row>
        <row r="51">
          <cell r="A51">
            <v>6.14</v>
          </cell>
          <cell r="B51">
            <v>6.45</v>
          </cell>
        </row>
        <row r="52">
          <cell r="A52">
            <v>6.41</v>
          </cell>
          <cell r="B52">
            <v>5.21</v>
          </cell>
        </row>
        <row r="53">
          <cell r="A53">
            <v>6.52</v>
          </cell>
          <cell r="B53">
            <v>7.17</v>
          </cell>
        </row>
        <row r="54">
          <cell r="A54">
            <v>6.56</v>
          </cell>
          <cell r="B54">
            <v>8.31</v>
          </cell>
        </row>
        <row r="55">
          <cell r="A55">
            <v>6.79</v>
          </cell>
          <cell r="B55">
            <v>4.7300000000000004</v>
          </cell>
        </row>
        <row r="56">
          <cell r="A56">
            <v>6.89</v>
          </cell>
          <cell r="B56">
            <v>5.4</v>
          </cell>
        </row>
        <row r="57">
          <cell r="A57">
            <v>7.38</v>
          </cell>
          <cell r="B57">
            <v>7.06</v>
          </cell>
        </row>
        <row r="58">
          <cell r="A58">
            <v>7.39</v>
          </cell>
          <cell r="B58">
            <v>6.24</v>
          </cell>
        </row>
        <row r="59">
          <cell r="A59">
            <v>7.77</v>
          </cell>
          <cell r="B59">
            <v>8.89</v>
          </cell>
        </row>
        <row r="60">
          <cell r="A60">
            <v>8.75</v>
          </cell>
          <cell r="B60">
            <v>6.86</v>
          </cell>
        </row>
        <row r="61">
          <cell r="A61">
            <v>9.3699999999999992</v>
          </cell>
          <cell r="B61">
            <v>15.7</v>
          </cell>
        </row>
        <row r="62">
          <cell r="A62">
            <v>9.56</v>
          </cell>
          <cell r="B62">
            <v>10.08</v>
          </cell>
        </row>
        <row r="63">
          <cell r="A63">
            <v>9.67</v>
          </cell>
          <cell r="B63">
            <v>9.09</v>
          </cell>
        </row>
        <row r="64">
          <cell r="A64">
            <v>10.5</v>
          </cell>
          <cell r="B64">
            <v>8.5299999999999994</v>
          </cell>
        </row>
        <row r="65">
          <cell r="A65">
            <v>10.62</v>
          </cell>
          <cell r="B65">
            <v>9.43</v>
          </cell>
        </row>
        <row r="66">
          <cell r="A66">
            <v>11.02</v>
          </cell>
          <cell r="B66">
            <v>9.24</v>
          </cell>
        </row>
        <row r="67">
          <cell r="A67">
            <v>11.36</v>
          </cell>
          <cell r="B67">
            <v>12.85</v>
          </cell>
        </row>
        <row r="68">
          <cell r="A68">
            <v>11.88</v>
          </cell>
          <cell r="B68">
            <v>19.96</v>
          </cell>
        </row>
        <row r="69">
          <cell r="A69">
            <v>13.95</v>
          </cell>
          <cell r="B69">
            <v>17.2</v>
          </cell>
        </row>
        <row r="70">
          <cell r="A70">
            <v>13.97</v>
          </cell>
          <cell r="B70">
            <v>14.73</v>
          </cell>
        </row>
        <row r="71">
          <cell r="A71">
            <v>20.18</v>
          </cell>
          <cell r="B71">
            <v>22.2</v>
          </cell>
        </row>
        <row r="72">
          <cell r="A72">
            <v>38.33</v>
          </cell>
          <cell r="B72">
            <v>41.4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LY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mpairment analysis"/>
    </sheetNames>
    <definedNames>
      <definedName name="aaa"/>
      <definedName name="aaaaaa"/>
      <definedName name="abcd"/>
      <definedName name="abcde"/>
      <definedName name="ag"/>
      <definedName name="agingrep"/>
      <definedName name="asfafq"/>
      <definedName name="avaaaaav"/>
      <definedName name="ChangeRange"/>
      <definedName name="ContentsHelp"/>
      <definedName name="CreateTable"/>
      <definedName name="DeleteRange"/>
      <definedName name="DeleteTable"/>
      <definedName name="ENRC"/>
      <definedName name="Intfffff"/>
      <definedName name="MerrillPrintIt"/>
      <definedName name="NewRange"/>
      <definedName name="qgq"/>
      <definedName name="RedefinePrintTableRange"/>
      <definedName name="shshryhasyhj"/>
      <definedName name="shss"/>
      <definedName name="ssy"/>
      <definedName name="vaaaaaavavv"/>
      <definedName name="wergqerrgqwergr"/>
      <definedName name="xfhs"/>
    </defined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ufer Inputs (Hidden)"/>
      <sheetName val="Rise and Run Matrices"/>
    </sheetNames>
    <sheetDataSet>
      <sheetData sheetId="0" refreshError="1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l_Scenario_production_detai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ulage_Detailed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esign crit"/>
      <sheetName val="MassBal-Phase I"/>
      <sheetName val="MassBal-Phase II"/>
      <sheetName val="design crit 540"/>
      <sheetName val="design crit540"/>
    </sheetNames>
    <sheetDataSet>
      <sheetData sheetId="0" refreshError="1"/>
      <sheetData sheetId="1" refreshError="1"/>
      <sheetData sheetId="2" refreshError="1"/>
      <sheetData sheetId="3" refreshError="1">
        <row r="50">
          <cell r="B50" t="str">
            <v xml:space="preserve">GRINDING </v>
          </cell>
        </row>
        <row r="51">
          <cell r="B51" t="str">
            <v>Ball mill feed</v>
          </cell>
          <cell r="D51">
            <v>1301.3698630136985</v>
          </cell>
          <cell r="E51">
            <v>57</v>
          </cell>
          <cell r="F51">
            <v>981.73515981735159</v>
          </cell>
          <cell r="G51">
            <v>3.1500181502362925</v>
          </cell>
          <cell r="H51">
            <v>2283.1050228310501</v>
          </cell>
        </row>
        <row r="52">
          <cell r="B52" t="str">
            <v>Water - ball mill feed</v>
          </cell>
          <cell r="F52">
            <v>0</v>
          </cell>
        </row>
        <row r="53">
          <cell r="B53" t="str">
            <v>Ball mill discharge</v>
          </cell>
          <cell r="D53">
            <v>3904.1095890410952</v>
          </cell>
          <cell r="E53">
            <v>67</v>
          </cell>
          <cell r="F53">
            <v>1922.9196483336736</v>
          </cell>
          <cell r="G53">
            <v>3.1500181502362925</v>
          </cell>
          <cell r="H53">
            <v>5827.0292373747689</v>
          </cell>
        </row>
        <row r="54">
          <cell r="B54" t="str">
            <v>Ball Mill Cyclone Overflow</v>
          </cell>
          <cell r="D54">
            <v>1301.3698630136985</v>
          </cell>
          <cell r="E54">
            <v>38</v>
          </cell>
          <cell r="F54">
            <v>2123.2876712328762</v>
          </cell>
          <cell r="G54">
            <v>3.1500181502362925</v>
          </cell>
          <cell r="H54">
            <v>3424.6575342465749</v>
          </cell>
        </row>
        <row r="55">
          <cell r="B55" t="str">
            <v>Water - Ball mill discharge pumpbox</v>
          </cell>
          <cell r="F55">
            <v>1127.3525114155248</v>
          </cell>
        </row>
        <row r="56">
          <cell r="B56" t="str">
            <v>GSW - cyclone feed pumps</v>
          </cell>
          <cell r="F56">
            <v>14.2</v>
          </cell>
        </row>
        <row r="57">
          <cell r="B57" t="str">
            <v>Cyclone Feed</v>
          </cell>
          <cell r="D57">
            <v>3904.1095890410952</v>
          </cell>
          <cell r="E57">
            <v>56.024449877750612</v>
          </cell>
          <cell r="F57">
            <v>3064.472159749198</v>
          </cell>
          <cell r="G57">
            <v>3.1500181502362925</v>
          </cell>
          <cell r="H57">
            <v>6968.5817487902932</v>
          </cell>
        </row>
        <row r="58">
          <cell r="B58" t="str">
            <v>Cyclone Underflow</v>
          </cell>
          <cell r="D58">
            <v>2602.7397260273965</v>
          </cell>
          <cell r="E58">
            <v>73.442307692307693</v>
          </cell>
          <cell r="F58">
            <v>941.18448851632184</v>
          </cell>
          <cell r="G58">
            <v>3.1500181502362925</v>
          </cell>
          <cell r="H58">
            <v>3543.9242145437183</v>
          </cell>
        </row>
        <row r="59">
          <cell r="B59" t="str">
            <v>GSW - cyclone feed pumps</v>
          </cell>
          <cell r="F59">
            <v>14.2</v>
          </cell>
        </row>
        <row r="60">
          <cell r="B60" t="str">
            <v>Flotation Feed</v>
          </cell>
          <cell r="D60">
            <v>1301.3698630136985</v>
          </cell>
          <cell r="E60">
            <v>37.843087422312124</v>
          </cell>
          <cell r="F60">
            <v>2137.487671232876</v>
          </cell>
          <cell r="G60">
            <v>3.1500181502362925</v>
          </cell>
          <cell r="H60">
            <v>3438.8575342465747</v>
          </cell>
        </row>
        <row r="61">
          <cell r="B61" t="str">
            <v>Sand Addition</v>
          </cell>
          <cell r="D61">
            <v>0</v>
          </cell>
          <cell r="E61">
            <v>0</v>
          </cell>
          <cell r="F61">
            <v>0</v>
          </cell>
          <cell r="G61">
            <v>3.1440352641809999</v>
          </cell>
          <cell r="H61">
            <v>0</v>
          </cell>
        </row>
        <row r="63">
          <cell r="B63" t="str">
            <v>ROUGHER FEED FINE REMOVAL AND REGRIND</v>
          </cell>
        </row>
        <row r="64">
          <cell r="B64" t="str">
            <v>Flow from grinding</v>
          </cell>
          <cell r="D64" t="str">
            <v>tbc</v>
          </cell>
          <cell r="E64" t="str">
            <v>tbc</v>
          </cell>
          <cell r="F64" t="str">
            <v>tbc</v>
          </cell>
          <cell r="G64" t="str">
            <v>tbc</v>
          </cell>
          <cell r="H64" t="str">
            <v>tbc</v>
          </cell>
        </row>
        <row r="65">
          <cell r="B65" t="str">
            <v>Cyclone underflow to Mill</v>
          </cell>
          <cell r="D65" t="str">
            <v>tbc</v>
          </cell>
          <cell r="E65" t="str">
            <v>tbc</v>
          </cell>
          <cell r="F65" t="str">
            <v>tbc</v>
          </cell>
          <cell r="G65" t="str">
            <v>tbc</v>
          </cell>
          <cell r="H65" t="str">
            <v>tbc</v>
          </cell>
        </row>
        <row r="66">
          <cell r="B66" t="str">
            <v>Cyclone overflow to rougher flot</v>
          </cell>
          <cell r="D66" t="str">
            <v>tbc</v>
          </cell>
          <cell r="E66" t="str">
            <v>tbc</v>
          </cell>
          <cell r="F66" t="str">
            <v>tbc</v>
          </cell>
          <cell r="G66" t="str">
            <v>tbc</v>
          </cell>
          <cell r="H66" t="str">
            <v>tbc</v>
          </cell>
        </row>
        <row r="67">
          <cell r="B67" t="str">
            <v>Water to cyclone feed</v>
          </cell>
          <cell r="D67" t="str">
            <v>tbc</v>
          </cell>
          <cell r="E67" t="str">
            <v>tbc</v>
          </cell>
          <cell r="F67" t="str">
            <v>tbc</v>
          </cell>
          <cell r="G67" t="str">
            <v>tbc</v>
          </cell>
          <cell r="H67" t="str">
            <v>tbc</v>
          </cell>
        </row>
        <row r="68">
          <cell r="B68" t="str">
            <v xml:space="preserve">Isa Cyclone Feed </v>
          </cell>
          <cell r="D68" t="str">
            <v>tbc</v>
          </cell>
          <cell r="E68" t="str">
            <v>tbc</v>
          </cell>
          <cell r="F68" t="str">
            <v>tbc</v>
          </cell>
          <cell r="G68" t="str">
            <v>tbc</v>
          </cell>
          <cell r="H68" t="str">
            <v>tbc</v>
          </cell>
        </row>
        <row r="69">
          <cell r="B69" t="str">
            <v>Water at mill feed</v>
          </cell>
          <cell r="D69" t="str">
            <v>tbc</v>
          </cell>
          <cell r="E69" t="str">
            <v>tbc</v>
          </cell>
          <cell r="F69" t="str">
            <v>tbc</v>
          </cell>
          <cell r="G69" t="str">
            <v>tbc</v>
          </cell>
          <cell r="H69" t="str">
            <v>tbc</v>
          </cell>
        </row>
        <row r="70">
          <cell r="B70" t="str">
            <v>Isa Mill density</v>
          </cell>
          <cell r="D70" t="str">
            <v>tbc</v>
          </cell>
          <cell r="E70" t="str">
            <v>tbc</v>
          </cell>
          <cell r="F70" t="str">
            <v>tbc</v>
          </cell>
          <cell r="G70" t="str">
            <v>tbc</v>
          </cell>
          <cell r="H70" t="str">
            <v>tbc</v>
          </cell>
        </row>
        <row r="71">
          <cell r="B71" t="str">
            <v>GSW-mill discharge</v>
          </cell>
          <cell r="D71" t="str">
            <v>tbc</v>
          </cell>
          <cell r="E71" t="str">
            <v>tbc</v>
          </cell>
          <cell r="F71" t="str">
            <v>tbc</v>
          </cell>
          <cell r="G71" t="str">
            <v>tbc</v>
          </cell>
          <cell r="H71" t="str">
            <v>tbc</v>
          </cell>
        </row>
        <row r="72">
          <cell r="B72" t="str">
            <v>Rougher flotation feed</v>
          </cell>
          <cell r="D72" t="str">
            <v>tbc</v>
          </cell>
          <cell r="E72" t="str">
            <v>tbc</v>
          </cell>
          <cell r="F72" t="str">
            <v>tbc</v>
          </cell>
          <cell r="G72" t="str">
            <v>tbc</v>
          </cell>
          <cell r="H72" t="str">
            <v>tbc</v>
          </cell>
        </row>
        <row r="74">
          <cell r="B74" t="str">
            <v>ROUGHER FLOTATION</v>
          </cell>
        </row>
        <row r="75">
          <cell r="B75" t="str">
            <v>Rougher Feed</v>
          </cell>
          <cell r="D75">
            <v>1301.3698630136985</v>
          </cell>
          <cell r="E75">
            <v>37.843087422312131</v>
          </cell>
          <cell r="F75">
            <v>2137.487671232876</v>
          </cell>
          <cell r="G75">
            <v>3.1500181502362925</v>
          </cell>
          <cell r="H75">
            <v>3438.8575342465747</v>
          </cell>
        </row>
        <row r="76">
          <cell r="B76" t="str">
            <v>rougher conc over lip</v>
          </cell>
          <cell r="D76">
            <v>109.58904109589041</v>
          </cell>
          <cell r="E76">
            <v>15.625</v>
          </cell>
          <cell r="F76">
            <v>591.78082191780823</v>
          </cell>
          <cell r="G76">
            <v>3.1854934051358952</v>
          </cell>
          <cell r="H76">
            <v>701.36986301369859</v>
          </cell>
        </row>
        <row r="77">
          <cell r="B77" t="str">
            <v xml:space="preserve">Water - rougher conc launder </v>
          </cell>
          <cell r="F77">
            <v>40</v>
          </cell>
        </row>
        <row r="78">
          <cell r="B78" t="str">
            <v>Rougher conc.</v>
          </cell>
          <cell r="D78">
            <v>109.58904109589041</v>
          </cell>
          <cell r="E78">
            <v>14.781966001478196</v>
          </cell>
          <cell r="F78">
            <v>631.78082191780823</v>
          </cell>
          <cell r="G78">
            <v>3.1854934051358952</v>
          </cell>
          <cell r="H78">
            <v>741.36986301369859</v>
          </cell>
        </row>
        <row r="79">
          <cell r="B79" t="str">
            <v>GSW - rougher conc pump</v>
          </cell>
          <cell r="F79">
            <v>3</v>
          </cell>
        </row>
        <row r="80">
          <cell r="B80" t="str">
            <v>Rougher Conc to pre cleaners</v>
          </cell>
          <cell r="D80">
            <v>109.58904109589041</v>
          </cell>
          <cell r="E80">
            <v>14.722390916284805</v>
          </cell>
          <cell r="F80">
            <v>634.78082191780823</v>
          </cell>
          <cell r="G80">
            <v>3.1854934051358952</v>
          </cell>
          <cell r="H80">
            <v>744.36986301369859</v>
          </cell>
        </row>
        <row r="81">
          <cell r="B81" t="str">
            <v>Rougher Tailing</v>
          </cell>
          <cell r="D81">
            <v>1191.780821917808</v>
          </cell>
          <cell r="E81">
            <v>43.535568559513131</v>
          </cell>
          <cell r="F81">
            <v>1545.7068493150678</v>
          </cell>
          <cell r="G81">
            <v>3.1467560578317313</v>
          </cell>
          <cell r="H81">
            <v>2737.487671232876</v>
          </cell>
        </row>
        <row r="82">
          <cell r="B82" t="str">
            <v>GSW-rougher tails</v>
          </cell>
          <cell r="F82">
            <v>10.8</v>
          </cell>
        </row>
        <row r="83">
          <cell r="B83" t="str">
            <v>Desliming cluster overflow</v>
          </cell>
          <cell r="D83">
            <v>68.493150684931507</v>
          </cell>
          <cell r="E83">
            <v>15</v>
          </cell>
          <cell r="F83">
            <v>388.12785388127855</v>
          </cell>
          <cell r="G83">
            <v>3.1496551455104411</v>
          </cell>
          <cell r="H83">
            <v>456.62100456621005</v>
          </cell>
        </row>
        <row r="84">
          <cell r="B84" t="str">
            <v>Rougher Tails to cyclone</v>
          </cell>
          <cell r="D84">
            <v>1260.2739726027396</v>
          </cell>
          <cell r="E84">
            <v>39.323241317898493</v>
          </cell>
          <cell r="F84">
            <v>1944.6347031963462</v>
          </cell>
          <cell r="G84">
            <v>3.1467560578317313</v>
          </cell>
          <cell r="H84">
            <v>3204.9086757990858</v>
          </cell>
        </row>
        <row r="85">
          <cell r="B85" t="str">
            <v>Tails cyclone overflow</v>
          </cell>
          <cell r="D85">
            <v>1119.829528158295</v>
          </cell>
          <cell r="E85">
            <v>37.598543704725174</v>
          </cell>
          <cell r="F85">
            <v>1858.5558501497512</v>
          </cell>
          <cell r="G85">
            <v>3.1440352641809999</v>
          </cell>
          <cell r="H85">
            <v>2978.3853783080463</v>
          </cell>
        </row>
        <row r="86">
          <cell r="B86" t="str">
            <v>Tails cyclone underflow</v>
          </cell>
          <cell r="D86">
            <v>140.44444444444446</v>
          </cell>
          <cell r="E86">
            <v>62</v>
          </cell>
          <cell r="F86">
            <v>86.078853046594986</v>
          </cell>
          <cell r="G86">
            <v>3.1440352641809999</v>
          </cell>
          <cell r="H86">
            <v>226.52329749103944</v>
          </cell>
        </row>
        <row r="88">
          <cell r="B88" t="str">
            <v>TAILINGS THICKENING AND PUMPING</v>
          </cell>
        </row>
        <row r="89">
          <cell r="B89" t="str">
            <v>Desliming cyclone overflow</v>
          </cell>
          <cell r="D89">
            <v>0</v>
          </cell>
          <cell r="E89">
            <v>0</v>
          </cell>
          <cell r="F89">
            <v>0</v>
          </cell>
          <cell r="G89">
            <v>3.1496551455104411</v>
          </cell>
          <cell r="H89">
            <v>0</v>
          </cell>
        </row>
        <row r="90">
          <cell r="B90" t="str">
            <v>Tails cyclone overflow</v>
          </cell>
          <cell r="D90">
            <v>1119.829528158295</v>
          </cell>
          <cell r="E90">
            <v>37.598543704725174</v>
          </cell>
          <cell r="F90">
            <v>1858.5558501497512</v>
          </cell>
          <cell r="G90">
            <v>3.1467560578317313</v>
          </cell>
          <cell r="H90">
            <v>2978.3853783080463</v>
          </cell>
        </row>
        <row r="91">
          <cell r="B91" t="str">
            <v>Fine cleaner tails</v>
          </cell>
          <cell r="D91">
            <v>95.191780821917803</v>
          </cell>
          <cell r="E91">
            <v>41.095352788112081</v>
          </cell>
          <cell r="F91">
            <v>136.44458281444582</v>
          </cell>
          <cell r="G91">
            <v>3.1686916584314488</v>
          </cell>
          <cell r="H91">
            <v>231.63636363636363</v>
          </cell>
        </row>
        <row r="92">
          <cell r="B92" t="str">
            <v>Flocculant</v>
          </cell>
          <cell r="F92">
            <v>14.69077625570776</v>
          </cell>
        </row>
        <row r="93">
          <cell r="B93" t="str">
            <v>Total Thickener Feed</v>
          </cell>
          <cell r="D93">
            <v>1215.0213089802128</v>
          </cell>
          <cell r="E93">
            <v>37.678438066112648</v>
          </cell>
          <cell r="F93">
            <v>2009.6912092199047</v>
          </cell>
          <cell r="G93">
            <v>3.1484746193656341</v>
          </cell>
          <cell r="H93">
            <v>3224.7125182001173</v>
          </cell>
        </row>
        <row r="94">
          <cell r="B94" t="str">
            <v>Thickener underflow</v>
          </cell>
          <cell r="D94">
            <v>1215.0213089802128</v>
          </cell>
          <cell r="E94">
            <v>52</v>
          </cell>
          <cell r="F94">
            <v>1121.5581313663502</v>
          </cell>
          <cell r="G94">
            <v>3.1484746193656341</v>
          </cell>
          <cell r="H94">
            <v>2336.5794403465629</v>
          </cell>
        </row>
        <row r="95">
          <cell r="B95" t="str">
            <v>GSW-thickner u/f pumps</v>
          </cell>
          <cell r="F95">
            <v>10.8</v>
          </cell>
        </row>
        <row r="96">
          <cell r="B96" t="str">
            <v>Thickener underflow to tails</v>
          </cell>
          <cell r="D96">
            <v>1215.0213089802128</v>
          </cell>
          <cell r="E96">
            <v>51.760754486323236</v>
          </cell>
          <cell r="F96">
            <v>1132.3581313663501</v>
          </cell>
          <cell r="G96">
            <v>3.1484746193656341</v>
          </cell>
          <cell r="H96">
            <v>2347.3794403465627</v>
          </cell>
        </row>
        <row r="97">
          <cell r="B97" t="str">
            <v>Thickener overflow</v>
          </cell>
          <cell r="F97">
            <v>888.1330778535546</v>
          </cell>
        </row>
        <row r="98">
          <cell r="B98" t="str">
            <v>Tails Cyclone underflow</v>
          </cell>
          <cell r="D98">
            <v>140.44444444444446</v>
          </cell>
          <cell r="E98">
            <v>62</v>
          </cell>
          <cell r="F98">
            <v>86.078853046594986</v>
          </cell>
          <cell r="G98">
            <v>3.1484746193656341</v>
          </cell>
          <cell r="H98">
            <v>226.52329749103944</v>
          </cell>
        </row>
        <row r="99">
          <cell r="B99" t="str">
            <v>Feed to tails box</v>
          </cell>
          <cell r="D99">
            <v>1355.4657534246571</v>
          </cell>
          <cell r="E99">
            <v>52.661887082936808</v>
          </cell>
          <cell r="F99">
            <v>1218.4369844129451</v>
          </cell>
          <cell r="G99">
            <v>3.1484746193656341</v>
          </cell>
          <cell r="H99">
            <v>2573.9027378376022</v>
          </cell>
        </row>
        <row r="100">
          <cell r="B100" t="str">
            <v>GSW-final tails pumps</v>
          </cell>
          <cell r="F100">
            <v>54</v>
          </cell>
        </row>
        <row r="101">
          <cell r="B101" t="str">
            <v>Final Tails</v>
          </cell>
          <cell r="D101">
            <v>1355.4657534246571</v>
          </cell>
          <cell r="E101">
            <v>51.579753463022634</v>
          </cell>
          <cell r="F101">
            <v>1272.4369844129451</v>
          </cell>
          <cell r="G101">
            <v>3.1484746193656341</v>
          </cell>
          <cell r="H101">
            <v>2627.9027378376022</v>
          </cell>
        </row>
        <row r="103">
          <cell r="B103" t="str">
            <v>PRE CLEANER FEED THICKENING</v>
          </cell>
        </row>
        <row r="104">
          <cell r="B104" t="str">
            <v>Rougher Con</v>
          </cell>
          <cell r="D104">
            <v>109.58904109589041</v>
          </cell>
          <cell r="E104">
            <v>14.722390916284805</v>
          </cell>
          <cell r="F104">
            <v>634.78082191780823</v>
          </cell>
          <cell r="G104">
            <v>3.1854934051358952</v>
          </cell>
          <cell r="H104">
            <v>744.36986301369859</v>
          </cell>
        </row>
        <row r="105">
          <cell r="B105" t="str">
            <v>Flocculant</v>
          </cell>
          <cell r="F105">
            <v>1.6438356164383561</v>
          </cell>
        </row>
        <row r="106">
          <cell r="B106" t="str">
            <v>Regrind thickener feed</v>
          </cell>
          <cell r="D106">
            <v>109.58904109589041</v>
          </cell>
          <cell r="E106">
            <v>14.689950237793569</v>
          </cell>
          <cell r="F106">
            <v>636.42465753424653</v>
          </cell>
          <cell r="G106">
            <v>3.1854934051358952</v>
          </cell>
          <cell r="H106">
            <v>746.0136986301369</v>
          </cell>
        </row>
        <row r="107">
          <cell r="B107" t="str">
            <v>Regrind thickener underflow</v>
          </cell>
          <cell r="D107">
            <v>109.58904109589041</v>
          </cell>
          <cell r="E107">
            <v>40</v>
          </cell>
          <cell r="F107">
            <v>164.38356164383561</v>
          </cell>
          <cell r="G107">
            <v>3.1854934051358952</v>
          </cell>
          <cell r="H107">
            <v>273.97260273972603</v>
          </cell>
        </row>
        <row r="108">
          <cell r="B108" t="str">
            <v>Thickener Overflow</v>
          </cell>
          <cell r="F108">
            <v>472.04109589041093</v>
          </cell>
        </row>
        <row r="109">
          <cell r="B109" t="str">
            <v>Gland Water</v>
          </cell>
          <cell r="F109">
            <v>2</v>
          </cell>
        </row>
        <row r="110">
          <cell r="B110" t="str">
            <v>Pre - cleaner Feed</v>
          </cell>
          <cell r="D110">
            <v>109.58904109589041</v>
          </cell>
          <cell r="E110">
            <v>39.710116152089746</v>
          </cell>
          <cell r="F110">
            <v>166.38356164383561</v>
          </cell>
          <cell r="G110">
            <v>3.1854934051358952</v>
          </cell>
          <cell r="H110">
            <v>275.97260273972603</v>
          </cell>
        </row>
        <row r="112">
          <cell r="B112" t="str">
            <v xml:space="preserve">PRE CLEANER FLOTATION </v>
          </cell>
        </row>
        <row r="113">
          <cell r="B113" t="str">
            <v>Pre-cleaner feed</v>
          </cell>
          <cell r="D113">
            <v>109.58904109589041</v>
          </cell>
          <cell r="E113">
            <v>39.710116152089739</v>
          </cell>
          <cell r="F113">
            <v>166.38356164383561</v>
          </cell>
          <cell r="G113">
            <v>3.1854934051358952</v>
          </cell>
          <cell r="H113">
            <v>275.97260273972603</v>
          </cell>
        </row>
        <row r="114">
          <cell r="B114" t="str">
            <v>Pre-cleaner feed total</v>
          </cell>
          <cell r="D114">
            <v>109.58904109589041</v>
          </cell>
          <cell r="E114">
            <v>39.710116152089739</v>
          </cell>
          <cell r="F114">
            <v>166.38356164383561</v>
          </cell>
          <cell r="G114">
            <v>3.1854934051358952</v>
          </cell>
          <cell r="H114">
            <v>275.97260273972603</v>
          </cell>
        </row>
        <row r="115">
          <cell r="B115" t="str">
            <v>Pre-cleaner conc over lip</v>
          </cell>
          <cell r="D115">
            <v>6.8493150684931505</v>
          </cell>
          <cell r="E115">
            <v>16.3</v>
          </cell>
          <cell r="F115">
            <v>35.171022775023111</v>
          </cell>
          <cell r="G115">
            <v>3.3513259689554773</v>
          </cell>
          <cell r="H115">
            <v>42.020337843516259</v>
          </cell>
        </row>
        <row r="116">
          <cell r="B116" t="str">
            <v xml:space="preserve">Water - pre-cleaner launder </v>
          </cell>
          <cell r="F116">
            <v>12</v>
          </cell>
        </row>
        <row r="117">
          <cell r="B117" t="str">
            <v xml:space="preserve">GSW - pre-cleaner conc. pump </v>
          </cell>
          <cell r="F117">
            <v>0</v>
          </cell>
        </row>
        <row r="118">
          <cell r="B118" t="str">
            <v xml:space="preserve">Pre-cleaner conc </v>
          </cell>
          <cell r="D118">
            <v>6.8493150684931505</v>
          </cell>
          <cell r="E118">
            <v>12.679141489884691</v>
          </cell>
          <cell r="F118">
            <v>47.171022775023111</v>
          </cell>
          <cell r="G118">
            <v>3.3513259689554773</v>
          </cell>
          <cell r="H118">
            <v>54.020337843516259</v>
          </cell>
        </row>
        <row r="119">
          <cell r="B119" t="str">
            <v xml:space="preserve">GSW - pre-cleaner tails </v>
          </cell>
          <cell r="F119">
            <v>1</v>
          </cell>
        </row>
        <row r="120">
          <cell r="B120" t="str">
            <v>Total pre-cleaner tails</v>
          </cell>
          <cell r="D120">
            <v>102.73972602739725</v>
          </cell>
          <cell r="E120">
            <v>43.727914720372063</v>
          </cell>
          <cell r="F120">
            <v>132.21253886881249</v>
          </cell>
          <cell r="G120">
            <v>3.1744379008812564</v>
          </cell>
          <cell r="H120">
            <v>234.95226489620973</v>
          </cell>
        </row>
        <row r="122">
          <cell r="B122" t="str">
            <v>CLEANER  FEED REGRIND</v>
          </cell>
        </row>
        <row r="123">
          <cell r="B123" t="str">
            <v>Isa mill feed</v>
          </cell>
          <cell r="D123">
            <v>102.73972602739725</v>
          </cell>
          <cell r="E123">
            <v>38.175710068207266</v>
          </cell>
          <cell r="F123">
            <v>166.38356164383561</v>
          </cell>
          <cell r="G123">
            <v>3.1854934051358952</v>
          </cell>
          <cell r="H123">
            <v>269.12328767123284</v>
          </cell>
        </row>
        <row r="124">
          <cell r="B124" t="str">
            <v>Water - ISA mill feed</v>
          </cell>
          <cell r="F124">
            <v>-37.623910336239078</v>
          </cell>
        </row>
        <row r="125">
          <cell r="B125" t="str">
            <v>Sand Addition</v>
          </cell>
          <cell r="D125">
            <v>0.5</v>
          </cell>
          <cell r="E125">
            <v>100</v>
          </cell>
          <cell r="F125">
            <v>0</v>
          </cell>
          <cell r="G125">
            <v>3.19</v>
          </cell>
          <cell r="H125">
            <v>0.5</v>
          </cell>
        </row>
        <row r="126">
          <cell r="B126" t="str">
            <v>GSW - mill feed pumps</v>
          </cell>
          <cell r="F126">
            <v>2</v>
          </cell>
        </row>
        <row r="127">
          <cell r="B127" t="str">
            <v>ISA mill discharge</v>
          </cell>
          <cell r="D127">
            <v>102.73972602739725</v>
          </cell>
          <cell r="E127">
            <v>44</v>
          </cell>
          <cell r="F127">
            <v>130.75965130759653</v>
          </cell>
          <cell r="G127">
            <v>3.1854934051358952</v>
          </cell>
          <cell r="H127">
            <v>233.49937733499377</v>
          </cell>
        </row>
        <row r="128">
          <cell r="B128" t="str">
            <v>GSW - mill discharge pumps</v>
          </cell>
          <cell r="F128">
            <v>2</v>
          </cell>
        </row>
        <row r="129">
          <cell r="B129" t="str">
            <v>Regrind Product</v>
          </cell>
          <cell r="D129">
            <v>102.73972602739725</v>
          </cell>
          <cell r="E129">
            <v>43.62632597590769</v>
          </cell>
          <cell r="F129">
            <v>132.75965130759653</v>
          </cell>
          <cell r="G129">
            <v>3.1854934051358952</v>
          </cell>
          <cell r="H129">
            <v>235.49937733499377</v>
          </cell>
        </row>
        <row r="131">
          <cell r="B131" t="str">
            <v xml:space="preserve">CLEANER FLOTATION </v>
          </cell>
        </row>
        <row r="132">
          <cell r="B132" t="str">
            <v>Recleaner tails</v>
          </cell>
          <cell r="D132">
            <v>74.643835616438352</v>
          </cell>
          <cell r="E132">
            <v>18.426213986203166</v>
          </cell>
          <cell r="F132">
            <v>330.45205479452051</v>
          </cell>
          <cell r="G132">
            <v>3.3213066262563413</v>
          </cell>
          <cell r="H132">
            <v>405.09589041095887</v>
          </cell>
        </row>
        <row r="133">
          <cell r="B133" t="str">
            <v>Isa Mill product</v>
          </cell>
          <cell r="D133">
            <v>102.73972602739725</v>
          </cell>
          <cell r="E133">
            <v>43.62632597590769</v>
          </cell>
          <cell r="F133">
            <v>132.75965130759653</v>
          </cell>
          <cell r="G133">
            <v>3.1854934051358952</v>
          </cell>
          <cell r="H133">
            <v>235.49937733499377</v>
          </cell>
        </row>
        <row r="134">
          <cell r="B134" t="str">
            <v>Cleaner feed total</v>
          </cell>
          <cell r="D134">
            <v>177.38356164383561</v>
          </cell>
          <cell r="E134">
            <v>27.690426479107614</v>
          </cell>
          <cell r="F134">
            <v>463.21170610211703</v>
          </cell>
          <cell r="G134">
            <v>3.2426442462730725</v>
          </cell>
          <cell r="H134">
            <v>640.5952677459527</v>
          </cell>
        </row>
        <row r="135">
          <cell r="B135" t="str">
            <v>Cleaner conc over lip</v>
          </cell>
          <cell r="D135">
            <v>82.191780821917803</v>
          </cell>
          <cell r="E135">
            <v>20</v>
          </cell>
          <cell r="F135">
            <v>328.76712328767121</v>
          </cell>
          <cell r="G135">
            <v>3.3282936684249798</v>
          </cell>
          <cell r="H135">
            <v>410.95890410958901</v>
          </cell>
        </row>
        <row r="136">
          <cell r="B136" t="str">
            <v xml:space="preserve">Water - cleaner launder </v>
          </cell>
          <cell r="F136">
            <v>12</v>
          </cell>
        </row>
        <row r="137">
          <cell r="B137" t="str">
            <v xml:space="preserve">GSW - cleaner conc. pump </v>
          </cell>
          <cell r="F137">
            <v>2</v>
          </cell>
        </row>
        <row r="138">
          <cell r="B138" t="str">
            <v>Cleaner conc from pump</v>
          </cell>
          <cell r="D138">
            <v>82.191780821917803</v>
          </cell>
          <cell r="E138">
            <v>19.341112758687384</v>
          </cell>
          <cell r="F138">
            <v>342.76712328767121</v>
          </cell>
          <cell r="G138">
            <v>3.3282936684249798</v>
          </cell>
          <cell r="H138">
            <v>424.95890410958901</v>
          </cell>
        </row>
        <row r="139">
          <cell r="B139" t="str">
            <v>Cleaner Tails</v>
          </cell>
          <cell r="D139">
            <v>95.191780821917803</v>
          </cell>
          <cell r="E139">
            <v>41.453269558238162</v>
          </cell>
          <cell r="F139">
            <v>134.44458281444582</v>
          </cell>
          <cell r="G139">
            <v>3.3282936684249798</v>
          </cell>
          <cell r="H139">
            <v>229.63636363636363</v>
          </cell>
        </row>
        <row r="140">
          <cell r="B140" t="str">
            <v xml:space="preserve">GSW - cleaner tails </v>
          </cell>
          <cell r="F140">
            <v>2</v>
          </cell>
        </row>
        <row r="141">
          <cell r="B141" t="str">
            <v>Total cleaner tails</v>
          </cell>
          <cell r="D141">
            <v>95.191780821917803</v>
          </cell>
          <cell r="E141">
            <v>41.095352788112081</v>
          </cell>
          <cell r="F141">
            <v>136.44458281444582</v>
          </cell>
          <cell r="G141">
            <v>3.1686916584314488</v>
          </cell>
          <cell r="H141">
            <v>231.63636363636363</v>
          </cell>
        </row>
        <row r="143">
          <cell r="B143" t="str">
            <v>RECLEANER FLOTATION</v>
          </cell>
        </row>
        <row r="144">
          <cell r="B144" t="str">
            <v>Total Recleaner Feed</v>
          </cell>
          <cell r="D144">
            <v>82.191780821917803</v>
          </cell>
          <cell r="E144">
            <v>19.341112758687384</v>
          </cell>
          <cell r="F144">
            <v>342.76712328767121</v>
          </cell>
          <cell r="G144">
            <v>3.3282936684249798</v>
          </cell>
          <cell r="H144">
            <v>424.95890410958901</v>
          </cell>
        </row>
        <row r="145">
          <cell r="B145" t="str">
            <v>Recleaner Conc over lip</v>
          </cell>
          <cell r="D145">
            <v>7.5479452054794516</v>
          </cell>
          <cell r="E145">
            <v>38</v>
          </cell>
          <cell r="F145">
            <v>12.315068493150683</v>
          </cell>
          <cell r="G145">
            <v>3.3973905700164724</v>
          </cell>
          <cell r="H145">
            <v>19.863013698630134</v>
          </cell>
        </row>
        <row r="146">
          <cell r="B146" t="str">
            <v xml:space="preserve">Water - Recleaner launder </v>
          </cell>
          <cell r="F146">
            <v>12</v>
          </cell>
        </row>
        <row r="147">
          <cell r="B147" t="str">
            <v>Recleaner conc</v>
          </cell>
          <cell r="D147">
            <v>7.5479452054794516</v>
          </cell>
          <cell r="E147">
            <v>23.688736027515048</v>
          </cell>
          <cell r="F147">
            <v>24.315068493150683</v>
          </cell>
          <cell r="G147">
            <v>3.3973905700164724</v>
          </cell>
          <cell r="H147">
            <v>31.863013698630134</v>
          </cell>
        </row>
        <row r="148">
          <cell r="B148" t="str">
            <v>Pre-Cleaner conc</v>
          </cell>
          <cell r="D148">
            <v>6.8493150684931505</v>
          </cell>
          <cell r="E148">
            <v>16.3</v>
          </cell>
          <cell r="F148">
            <v>35.171022775023111</v>
          </cell>
          <cell r="G148">
            <v>3.3513259689554773</v>
          </cell>
          <cell r="H148">
            <v>42.020337843516259</v>
          </cell>
        </row>
        <row r="149">
          <cell r="B149" t="str">
            <v xml:space="preserve">GSW - recleaner conc pump </v>
          </cell>
          <cell r="F149">
            <v>2</v>
          </cell>
        </row>
        <row r="150">
          <cell r="B150" t="str">
            <v>Total final conc. from pump</v>
          </cell>
          <cell r="D150">
            <v>14.397260273972602</v>
          </cell>
          <cell r="E150">
            <v>18.972884013927896</v>
          </cell>
          <cell r="F150">
            <v>61.486091268173794</v>
          </cell>
          <cell r="G150">
            <v>3.3973905700164724</v>
          </cell>
          <cell r="H150">
            <v>75.8833515421464</v>
          </cell>
        </row>
        <row r="151">
          <cell r="B151" t="str">
            <v>Recleaner Tails</v>
          </cell>
          <cell r="D151">
            <v>74.643835616438352</v>
          </cell>
          <cell r="E151">
            <v>18.426213986203166</v>
          </cell>
          <cell r="F151">
            <v>330.45205479452051</v>
          </cell>
          <cell r="G151">
            <v>3.3213066262563413</v>
          </cell>
          <cell r="H151">
            <v>405.09589041095887</v>
          </cell>
        </row>
        <row r="154">
          <cell r="B154" t="str">
            <v>CONCENTRATE STORAGE</v>
          </cell>
        </row>
        <row r="155">
          <cell r="B155" t="str">
            <v>Cleaner Concentrate</v>
          </cell>
          <cell r="D155" t="str">
            <v>tbc</v>
          </cell>
          <cell r="E155" t="str">
            <v>tbc</v>
          </cell>
          <cell r="F155" t="str">
            <v>tbc</v>
          </cell>
          <cell r="G155" t="str">
            <v>tbc</v>
          </cell>
          <cell r="H155" t="str">
            <v>tbc</v>
          </cell>
        </row>
        <row r="156">
          <cell r="B156" t="str">
            <v>Fine recleaner conc</v>
          </cell>
          <cell r="D156" t="str">
            <v>tbc</v>
          </cell>
          <cell r="E156" t="str">
            <v>tbc</v>
          </cell>
          <cell r="F156" t="str">
            <v>tbc</v>
          </cell>
          <cell r="G156" t="str">
            <v>tbc</v>
          </cell>
          <cell r="H156" t="str">
            <v>tbc</v>
          </cell>
        </row>
        <row r="157">
          <cell r="B157" t="str">
            <v>Total Conc</v>
          </cell>
          <cell r="D157" t="str">
            <v>tbc</v>
          </cell>
          <cell r="E157" t="str">
            <v>tbc</v>
          </cell>
          <cell r="F157" t="str">
            <v>tbc</v>
          </cell>
          <cell r="G157" t="str">
            <v>tbc</v>
          </cell>
          <cell r="H157" t="str">
            <v>tbc</v>
          </cell>
        </row>
        <row r="158">
          <cell r="B158" t="str">
            <v>GSW-conc pumps</v>
          </cell>
          <cell r="D158" t="str">
            <v>tbc</v>
          </cell>
          <cell r="E158" t="str">
            <v>tbc</v>
          </cell>
          <cell r="F158" t="str">
            <v>tbc</v>
          </cell>
          <cell r="G158" t="str">
            <v>tbc</v>
          </cell>
          <cell r="H158" t="str">
            <v>tbc</v>
          </cell>
        </row>
        <row r="159">
          <cell r="B159" t="str">
            <v>Pumped to Waterval</v>
          </cell>
          <cell r="D159" t="str">
            <v>tbc</v>
          </cell>
          <cell r="E159" t="str">
            <v>tbc</v>
          </cell>
          <cell r="F159" t="str">
            <v>tbc</v>
          </cell>
          <cell r="G159" t="str">
            <v>tbc</v>
          </cell>
          <cell r="H159" t="str">
            <v>tbc</v>
          </cell>
        </row>
        <row r="161">
          <cell r="B161" t="str">
            <v>TAILINGS DAM</v>
          </cell>
        </row>
        <row r="162">
          <cell r="B162" t="str">
            <v>Pumped to tailings</v>
          </cell>
          <cell r="D162">
            <v>1355.4657534246571</v>
          </cell>
          <cell r="E162">
            <v>51.579753463022627</v>
          </cell>
          <cell r="F162">
            <v>1272.4369844129451</v>
          </cell>
          <cell r="G162">
            <v>3.1484746193656341</v>
          </cell>
          <cell r="H162">
            <v>2627.9027378376022</v>
          </cell>
        </row>
        <row r="163">
          <cell r="B163" t="str">
            <v>Deposition</v>
          </cell>
          <cell r="D163">
            <v>1355.4657534246571</v>
          </cell>
          <cell r="E163">
            <v>75</v>
          </cell>
          <cell r="F163">
            <v>451.82191780821904</v>
          </cell>
          <cell r="G163">
            <v>3.1484746193656341</v>
          </cell>
          <cell r="H163">
            <v>1807.2876712328762</v>
          </cell>
        </row>
        <row r="166">
          <cell r="B166" t="str">
            <v>CONCENTRATOR TOTAL</v>
          </cell>
        </row>
        <row r="168">
          <cell r="B168" t="str">
            <v>CONCENTRATE THICKENING</v>
          </cell>
        </row>
        <row r="170">
          <cell r="B170" t="str">
            <v>Feed to Concentrate Thickener</v>
          </cell>
          <cell r="D170">
            <v>14.397260273972602</v>
          </cell>
          <cell r="E170">
            <v>18.972884013927896</v>
          </cell>
          <cell r="F170">
            <v>61.486091268173794</v>
          </cell>
          <cell r="G170">
            <v>3.3973905700164724</v>
          </cell>
          <cell r="H170">
            <v>75.8833515421464</v>
          </cell>
        </row>
        <row r="171">
          <cell r="B171" t="str">
            <v>Filtrate from pressure filter</v>
          </cell>
          <cell r="F171">
            <v>15.003056239156155</v>
          </cell>
        </row>
        <row r="172">
          <cell r="B172" t="str">
            <v>Flocculant</v>
          </cell>
          <cell r="F172">
            <v>1.0797945205479453</v>
          </cell>
        </row>
        <row r="173">
          <cell r="B173" t="str">
            <v>Screen Sprays</v>
          </cell>
          <cell r="F173">
            <v>7.5015281195780776</v>
          </cell>
        </row>
        <row r="174">
          <cell r="B174" t="str">
            <v>Total Concentrate thickener feed</v>
          </cell>
          <cell r="D174">
            <v>14.397260273972602</v>
          </cell>
          <cell r="E174">
            <v>14.474302583334067</v>
          </cell>
          <cell r="F174">
            <v>85.070470147455978</v>
          </cell>
          <cell r="G174">
            <v>3.1440352641809999</v>
          </cell>
          <cell r="H174">
            <v>99.467730421428584</v>
          </cell>
        </row>
        <row r="175">
          <cell r="B175" t="str">
            <v>Conc thickener underflow</v>
          </cell>
          <cell r="D175">
            <v>14.397260273972602</v>
          </cell>
          <cell r="E175">
            <v>55.500000000000007</v>
          </cell>
          <cell r="F175">
            <v>11.543749228680731</v>
          </cell>
          <cell r="G175">
            <v>3.1440352641809999</v>
          </cell>
          <cell r="H175">
            <v>25.941009502653333</v>
          </cell>
        </row>
        <row r="176">
          <cell r="B176" t="str">
            <v>Thickener Overflow</v>
          </cell>
          <cell r="F176">
            <v>73.526720918775254</v>
          </cell>
        </row>
        <row r="177">
          <cell r="B177" t="str">
            <v>Gland Water</v>
          </cell>
          <cell r="F177">
            <v>2</v>
          </cell>
        </row>
        <row r="178">
          <cell r="B178" t="str">
            <v>Concentrate Product</v>
          </cell>
          <cell r="D178">
            <v>14.397260273972602</v>
          </cell>
          <cell r="E178">
            <v>51.527344681678052</v>
          </cell>
          <cell r="F178">
            <v>13.543749228680731</v>
          </cell>
          <cell r="G178">
            <v>3.1440352641809999</v>
          </cell>
          <cell r="H178">
            <v>27.941009502653333</v>
          </cell>
        </row>
        <row r="180">
          <cell r="B180" t="str">
            <v>CONCENTRATE STORAGE AND FILTRATION</v>
          </cell>
        </row>
        <row r="181">
          <cell r="B181" t="str">
            <v>Thickener product</v>
          </cell>
          <cell r="D181">
            <v>14.397260273972602</v>
          </cell>
          <cell r="E181">
            <v>51.527344681678059</v>
          </cell>
          <cell r="F181">
            <v>13.543749228680731</v>
          </cell>
          <cell r="G181">
            <v>3.1440352641809999</v>
          </cell>
          <cell r="H181">
            <v>27.941009502653333</v>
          </cell>
        </row>
        <row r="182">
          <cell r="B182" t="str">
            <v xml:space="preserve">GSW - filter feed pump </v>
          </cell>
          <cell r="F182">
            <v>2</v>
          </cell>
        </row>
        <row r="183">
          <cell r="B183" t="str">
            <v>Filter feed</v>
          </cell>
          <cell r="D183">
            <v>14.397260273972602</v>
          </cell>
          <cell r="E183">
            <v>48.085420341945166</v>
          </cell>
          <cell r="F183">
            <v>15.543749228680731</v>
          </cell>
          <cell r="G183">
            <v>3.1440352641809999</v>
          </cell>
          <cell r="H183">
            <v>29.941009502653333</v>
          </cell>
        </row>
        <row r="184">
          <cell r="B184" t="str">
            <v>Filter product</v>
          </cell>
          <cell r="D184">
            <v>14.397260273972602</v>
          </cell>
          <cell r="E184">
            <v>85</v>
          </cell>
          <cell r="F184">
            <v>2.540692989524576</v>
          </cell>
          <cell r="G184">
            <v>3.1440352641809999</v>
          </cell>
          <cell r="H184">
            <v>16.937953263497178</v>
          </cell>
        </row>
        <row r="185">
          <cell r="B185" t="str">
            <v>Cloth Wash water</v>
          </cell>
          <cell r="F185">
            <v>2</v>
          </cell>
        </row>
        <row r="186">
          <cell r="B186" t="str">
            <v>Filtrate</v>
          </cell>
          <cell r="F186">
            <v>15.003056239156155</v>
          </cell>
        </row>
        <row r="189">
          <cell r="B189" t="str">
            <v>Water Balances</v>
          </cell>
          <cell r="F189" t="str">
            <v>AVE</v>
          </cell>
          <cell r="G189" t="str">
            <v>AVE</v>
          </cell>
          <cell r="H189" t="str">
            <v>AVE</v>
          </cell>
        </row>
        <row r="190">
          <cell r="F190" t="str">
            <v>SOLN</v>
          </cell>
          <cell r="G190" t="str">
            <v>SOLN</v>
          </cell>
          <cell r="H190" t="str">
            <v>SOLN</v>
          </cell>
        </row>
        <row r="191">
          <cell r="B191" t="str">
            <v>Plant</v>
          </cell>
          <cell r="F191" t="str">
            <v>tph</v>
          </cell>
          <cell r="G191" t="str">
            <v>tpm</v>
          </cell>
          <cell r="H191" t="str">
            <v>tpy</v>
          </cell>
        </row>
        <row r="192">
          <cell r="B192" t="str">
            <v>In with ore</v>
          </cell>
          <cell r="F192">
            <v>152.20700152206996</v>
          </cell>
          <cell r="G192">
            <v>111111.11111111107</v>
          </cell>
          <cell r="H192">
            <v>1333333.3333333328</v>
          </cell>
        </row>
        <row r="193">
          <cell r="B193" t="str">
            <v>Tailings to dam</v>
          </cell>
          <cell r="F193">
            <v>1272.4369844129451</v>
          </cell>
          <cell r="G193">
            <v>928878.99862144992</v>
          </cell>
          <cell r="H193">
            <v>11146547.9834574</v>
          </cell>
        </row>
        <row r="194">
          <cell r="B194" t="str">
            <v>Out with concentrate</v>
          </cell>
          <cell r="F194">
            <v>2.540692989524576</v>
          </cell>
          <cell r="G194">
            <v>1854.7058823529405</v>
          </cell>
          <cell r="H194">
            <v>22256.470588235286</v>
          </cell>
        </row>
        <row r="195">
          <cell r="B195" t="str">
            <v>Sewage</v>
          </cell>
          <cell r="F195">
            <v>3.125</v>
          </cell>
          <cell r="G195">
            <v>2281.25</v>
          </cell>
          <cell r="H195">
            <v>27375</v>
          </cell>
        </row>
        <row r="196">
          <cell r="B196" t="str">
            <v>Returned from tailings</v>
          </cell>
          <cell r="F196">
            <v>677.05410770061656</v>
          </cell>
          <cell r="G196">
            <v>494249.4986214501</v>
          </cell>
          <cell r="H196">
            <v>5930993.9834574014</v>
          </cell>
        </row>
        <row r="197">
          <cell r="B197" t="str">
            <v>Rainfall at plant</v>
          </cell>
          <cell r="F197">
            <v>37.667579908675798</v>
          </cell>
          <cell r="G197">
            <v>27497.333333333332</v>
          </cell>
          <cell r="H197">
            <v>329968</v>
          </cell>
        </row>
        <row r="198">
          <cell r="B198" t="str">
            <v>Makeup required</v>
          </cell>
          <cell r="F198">
            <v>411.17398827110736</v>
          </cell>
          <cell r="G198">
            <v>300157.0114379084</v>
          </cell>
          <cell r="H198">
            <v>3601884.1372549008</v>
          </cell>
        </row>
        <row r="200">
          <cell r="B200" t="str">
            <v>Tailings Dam</v>
          </cell>
        </row>
        <row r="201">
          <cell r="B201" t="str">
            <v>From Plant</v>
          </cell>
          <cell r="F201">
            <v>1272.4369844129451</v>
          </cell>
          <cell r="G201">
            <v>928878.99862144992</v>
          </cell>
          <cell r="H201">
            <v>11146547.9834574</v>
          </cell>
        </row>
        <row r="202">
          <cell r="B202" t="str">
            <v>Rainfall/runoff</v>
          </cell>
          <cell r="F202">
            <v>700.61484018264844</v>
          </cell>
          <cell r="G202">
            <v>511448.83333333331</v>
          </cell>
          <cell r="H202">
            <v>6137386</v>
          </cell>
        </row>
        <row r="203">
          <cell r="B203" t="str">
            <v>Evap</v>
          </cell>
          <cell r="F203">
            <v>855.87796803652964</v>
          </cell>
          <cell r="G203">
            <v>624790.91666666663</v>
          </cell>
          <cell r="H203">
            <v>7497491</v>
          </cell>
        </row>
        <row r="204">
          <cell r="B204" t="str">
            <v>Seepage</v>
          </cell>
          <cell r="F204">
            <v>33.480022831050228</v>
          </cell>
          <cell r="G204">
            <v>24440.416666666668</v>
          </cell>
          <cell r="H204">
            <v>293285</v>
          </cell>
        </row>
        <row r="205">
          <cell r="B205" t="str">
            <v>Deposition with material</v>
          </cell>
          <cell r="F205">
            <v>406.63972602739716</v>
          </cell>
          <cell r="G205">
            <v>296846.99999999994</v>
          </cell>
          <cell r="H205">
            <v>3562163.9999999991</v>
          </cell>
        </row>
        <row r="206">
          <cell r="B206" t="str">
            <v>Returned from tailings</v>
          </cell>
          <cell r="F206">
            <v>677.05410770061656</v>
          </cell>
          <cell r="G206">
            <v>494249.4986214501</v>
          </cell>
          <cell r="H206">
            <v>5930993.9834574014</v>
          </cell>
        </row>
        <row r="208">
          <cell r="B208" t="str">
            <v>Other Water Flows</v>
          </cell>
        </row>
        <row r="209">
          <cell r="B209" t="str">
            <v>Total Fresh water</v>
          </cell>
          <cell r="F209">
            <v>124.82776255707762</v>
          </cell>
        </row>
        <row r="210">
          <cell r="B210" t="str">
            <v>Total Gland water</v>
          </cell>
          <cell r="F210">
            <v>208.40000000000003</v>
          </cell>
        </row>
        <row r="211">
          <cell r="B211" t="str">
            <v>Total Process water</v>
          </cell>
          <cell r="F211">
            <v>2794.9949726382501</v>
          </cell>
        </row>
      </sheetData>
      <sheetData sheetId="4" refreshError="1"/>
      <sheetData sheetId="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traints Summary"/>
      <sheetName val="Crushing Downtime 1"/>
      <sheetName val="Crushing Downtime 2"/>
      <sheetName val="Database"/>
      <sheetName val="Input 1 Sheet"/>
      <sheetName val="Input sp Sheet"/>
      <sheetName val="DMS 1 Downtime"/>
      <sheetName val="DMS 2 Downtime"/>
      <sheetName val="Reclaim Downtime"/>
      <sheetName val="Spiral 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ufer Inputs (Hidden)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wg_s"/>
      <sheetName val="Sheet1"/>
      <sheetName val="EQUIP"/>
      <sheetName val="Portada"/>
      <sheetName val="Classifications"/>
      <sheetName val="Configur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Fr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nits&amp;Instructions"/>
      <sheetName val="Schedule - Periods"/>
    </sheet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nits&amp;Instructions"/>
      <sheetName val="Schedule - Periods"/>
    </sheetNames>
    <sheetDataSet>
      <sheetData sheetId="0" refreshError="1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KPI"/>
      <sheetName val="Temp"/>
      <sheetName val="Broommm"/>
      <sheetName val="Boooom"/>
      <sheetName val="Volumes"/>
      <sheetName val="KPIData"/>
      <sheetName val="Diesel"/>
      <sheetName val="EKPIA"/>
      <sheetName val="EKPIU"/>
      <sheetName val="Summary"/>
      <sheetName val="PD"/>
      <sheetName val="MonthSum"/>
      <sheetName val="Treasury"/>
      <sheetName val="SiteSum"/>
      <sheetName val="TrsInfo"/>
      <sheetName val="Aviation"/>
      <sheetName val="Fly_Data"/>
      <sheetName val="Operators"/>
      <sheetName val="R&amp;M"/>
      <sheetName val="WS_Admin"/>
      <sheetName val="PD_Pay"/>
      <sheetName val="Admin"/>
      <sheetName val="Forecast"/>
      <sheetName val="Static"/>
      <sheetName val="Selection"/>
      <sheetName val="Data_Raw"/>
      <sheetName val="Allocation"/>
      <sheetName val="TMS_Divisional_20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4">
          <cell r="D4">
            <v>42216</v>
          </cell>
        </row>
        <row r="21">
          <cell r="C21" t="str">
            <v>Pilansberg Platinum</v>
          </cell>
        </row>
        <row r="22">
          <cell r="C22" t="str">
            <v>Continental Coal</v>
          </cell>
        </row>
        <row r="23">
          <cell r="C23" t="str">
            <v>Exxaro - Eerstelings</v>
          </cell>
        </row>
        <row r="24">
          <cell r="C24" t="str">
            <v>Exxaro - Grootegeluk</v>
          </cell>
        </row>
        <row r="25">
          <cell r="C25" t="str">
            <v>KalGold</v>
          </cell>
        </row>
        <row r="26">
          <cell r="C26" t="str">
            <v>Kangra Coal</v>
          </cell>
        </row>
        <row r="27">
          <cell r="C27" t="str">
            <v>Machine rentals</v>
          </cell>
        </row>
        <row r="28">
          <cell r="C28" t="str">
            <v>Mintails - Mogale</v>
          </cell>
        </row>
        <row r="29">
          <cell r="C29" t="str">
            <v>Management Services</v>
          </cell>
        </row>
        <row r="30">
          <cell r="C30" t="str">
            <v>Northam Platinum</v>
          </cell>
        </row>
        <row r="31">
          <cell r="C31" t="str">
            <v>Rhino Andalusite</v>
          </cell>
        </row>
        <row r="32">
          <cell r="C32" t="str">
            <v>Trollope - Kleinwater</v>
          </cell>
        </row>
        <row r="33">
          <cell r="C33" t="str">
            <v>Umthombo Singani</v>
          </cell>
        </row>
        <row r="34">
          <cell r="C34" t="str">
            <v>Universal - Roodekop</v>
          </cell>
        </row>
        <row r="35">
          <cell r="C35" t="str">
            <v>Mbuyelo Coal</v>
          </cell>
        </row>
        <row r="36">
          <cell r="C36" t="str">
            <v>Anglo - Mogalakwena</v>
          </cell>
        </row>
        <row r="37">
          <cell r="C37" t="str">
            <v>Anglo - New Vaal</v>
          </cell>
        </row>
        <row r="38">
          <cell r="C38" t="str">
            <v>Sumo Coal</v>
          </cell>
        </row>
        <row r="39">
          <cell r="C39" t="str">
            <v>Sundry income</v>
          </cell>
        </row>
        <row r="40">
          <cell r="C40" t="str">
            <v>Other</v>
          </cell>
        </row>
      </sheetData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T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f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urry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urry"/>
      <sheetName val="Solution"/>
      <sheetName val="Key"/>
      <sheetName val="LGMill"/>
      <sheetName val="Design Basis"/>
      <sheetName val="RefTables"/>
    </sheetNames>
    <sheetDataSet>
      <sheetData sheetId="0" refreshError="1">
        <row r="103">
          <cell r="B103" t="str">
            <v>DATASHEET No :</v>
          </cell>
        </row>
        <row r="145">
          <cell r="V145">
            <v>849</v>
          </cell>
          <cell r="X145">
            <v>98.359128742779305</v>
          </cell>
        </row>
        <row r="146">
          <cell r="V146">
            <v>713</v>
          </cell>
          <cell r="X146">
            <v>97.19627071948716</v>
          </cell>
        </row>
        <row r="147">
          <cell r="V147">
            <v>600</v>
          </cell>
          <cell r="X147">
            <v>95.554906270976844</v>
          </cell>
        </row>
        <row r="148">
          <cell r="V148">
            <v>505</v>
          </cell>
          <cell r="X148">
            <v>93.361812800175613</v>
          </cell>
        </row>
        <row r="149">
          <cell r="V149">
            <v>424</v>
          </cell>
          <cell r="X149">
            <v>90.542080173987969</v>
          </cell>
        </row>
        <row r="150">
          <cell r="V150">
            <v>357</v>
          </cell>
          <cell r="X150">
            <v>87.192678673144485</v>
          </cell>
        </row>
        <row r="151">
          <cell r="V151">
            <v>300</v>
          </cell>
          <cell r="X151">
            <v>83.273251761697935</v>
          </cell>
        </row>
        <row r="152">
          <cell r="V152">
            <v>252</v>
          </cell>
          <cell r="X152">
            <v>78.888597825892774</v>
          </cell>
        </row>
        <row r="153">
          <cell r="V153">
            <v>212</v>
          </cell>
          <cell r="X153">
            <v>74.192314271891675</v>
          </cell>
        </row>
        <row r="154">
          <cell r="V154">
            <v>178</v>
          </cell>
          <cell r="X154">
            <v>69.202285674699766</v>
          </cell>
        </row>
        <row r="155">
          <cell r="V155">
            <v>150</v>
          </cell>
          <cell r="X155">
            <v>64.193073452510106</v>
          </cell>
        </row>
        <row r="156">
          <cell r="V156">
            <v>126</v>
          </cell>
          <cell r="X156">
            <v>59.070452809449691</v>
          </cell>
        </row>
        <row r="157">
          <cell r="V157">
            <v>106</v>
          </cell>
          <cell r="X157">
            <v>54.065546127278587</v>
          </cell>
        </row>
        <row r="158">
          <cell r="V158">
            <v>89</v>
          </cell>
          <cell r="X158">
            <v>49.157018146623066</v>
          </cell>
        </row>
        <row r="159">
          <cell r="V159">
            <v>75</v>
          </cell>
          <cell r="X159">
            <v>44.560240276520588</v>
          </cell>
        </row>
        <row r="160">
          <cell r="V160">
            <v>63</v>
          </cell>
          <cell r="X160">
            <v>40.134896788325214</v>
          </cell>
        </row>
        <row r="161">
          <cell r="V161">
            <v>53</v>
          </cell>
          <cell r="X161">
            <v>36.033946307822653</v>
          </cell>
        </row>
        <row r="162">
          <cell r="V162">
            <v>45</v>
          </cell>
          <cell r="X162">
            <v>32.429196604904888</v>
          </cell>
        </row>
        <row r="163">
          <cell r="V163">
            <v>38</v>
          </cell>
          <cell r="X163">
            <v>28.99374172487671</v>
          </cell>
        </row>
        <row r="164">
          <cell r="V164">
            <v>32</v>
          </cell>
          <cell r="X164">
            <v>25.801122061316839</v>
          </cell>
        </row>
        <row r="165">
          <cell r="V165">
            <v>27</v>
          </cell>
          <cell r="X165">
            <v>22.933056729999834</v>
          </cell>
        </row>
        <row r="166">
          <cell r="V166">
            <v>22</v>
          </cell>
          <cell r="X166">
            <v>19.838757995552935</v>
          </cell>
        </row>
        <row r="167">
          <cell r="V167">
            <v>19</v>
          </cell>
          <cell r="X167">
            <v>17.852880302957828</v>
          </cell>
        </row>
        <row r="168">
          <cell r="V168">
            <v>16</v>
          </cell>
          <cell r="X168">
            <v>15.751375784369447</v>
          </cell>
        </row>
        <row r="169">
          <cell r="V169">
            <v>13</v>
          </cell>
          <cell r="X169">
            <v>13.512111532979043</v>
          </cell>
        </row>
        <row r="170">
          <cell r="V170">
            <v>11</v>
          </cell>
          <cell r="X170">
            <v>11.927149292548311</v>
          </cell>
        </row>
        <row r="171">
          <cell r="V171">
            <v>8</v>
          </cell>
          <cell r="X171">
            <v>9.3751990923713677</v>
          </cell>
        </row>
        <row r="172">
          <cell r="V172">
            <v>6</v>
          </cell>
          <cell r="X172">
            <v>7.5224523714051861</v>
          </cell>
        </row>
        <row r="173">
          <cell r="V173">
            <v>4</v>
          </cell>
          <cell r="X173">
            <v>5.4971541031776923</v>
          </cell>
        </row>
        <row r="174">
          <cell r="V174">
            <v>2</v>
          </cell>
          <cell r="X174">
            <v>3.1952224826048425</v>
          </cell>
        </row>
      </sheetData>
      <sheetData sheetId="1">
        <row r="99">
          <cell r="B99" t="str">
            <v>DATASHEET No :</v>
          </cell>
        </row>
      </sheetData>
      <sheetData sheetId="2">
        <row r="2">
          <cell r="E2" t="str">
            <v>Light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partments"/>
      <sheetName val="98stats"/>
      <sheetName val="Char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claimer"/>
      <sheetName val="Update Instructions"/>
      <sheetName val="Presentation"/>
      <sheetName val="&gt;&gt;&gt; Graphs"/>
      <sheetName val="Australian Companies"/>
      <sheetName val="Gold Price"/>
      <sheetName val="Summary"/>
      <sheetName val="Statistics"/>
      <sheetName val="Producers"/>
      <sheetName val="Developers"/>
      <sheetName val="&gt;&gt;&gt; Profiles"/>
      <sheetName val="Input data"/>
      <sheetName val="ALD"/>
      <sheetName val="BCD"/>
      <sheetName val="BMO"/>
      <sheetName val="CRE"/>
      <sheetName val="CTO"/>
      <sheetName val="DOM"/>
      <sheetName val="DRA"/>
      <sheetName val="DIO"/>
      <sheetName val="EMP"/>
      <sheetName val="EQI"/>
      <sheetName val="IAU"/>
      <sheetName val="HIG"/>
      <sheetName val="KCN"/>
      <sheetName val="LGL"/>
      <sheetName val="MON"/>
      <sheetName val="NCM"/>
      <sheetName val="NGF"/>
      <sheetName val="NQM"/>
      <sheetName val="OGC"/>
      <sheetName val="PNA"/>
      <sheetName val="PSV"/>
      <sheetName val="RNG"/>
      <sheetName val="RSG"/>
      <sheetName val="RSN"/>
      <sheetName val="SBM"/>
      <sheetName val="TAM"/>
      <sheetName val="SGX"/>
      <sheetName val="TBR"/>
      <sheetName val="TRY"/>
      <sheetName val="VRE"/>
      <sheetName val="ADU"/>
      <sheetName val="AAM"/>
      <sheetName val="AND"/>
      <sheetName val="AXM"/>
      <sheetName val="ARX"/>
      <sheetName val="ATV"/>
      <sheetName val="AVO"/>
      <sheetName val="AZM"/>
      <sheetName val="BTV"/>
      <sheetName val="BDG"/>
      <sheetName val="CRK"/>
      <sheetName val="CGX"/>
      <sheetName val="CNT"/>
      <sheetName val="EXM"/>
      <sheetName val="FML"/>
      <sheetName val="IRN"/>
      <sheetName val="IGR"/>
      <sheetName val="KAL"/>
      <sheetName val="MDL"/>
      <sheetName val="MEE"/>
      <sheetName val="MUN"/>
      <sheetName val="MYG"/>
      <sheetName val="NAV"/>
      <sheetName val="ORP"/>
      <sheetName val="PRU"/>
      <sheetName val="RRL"/>
      <sheetName val="SAR"/>
      <sheetName val="TTR"/>
      <sheetName val="WEZ"/>
      <sheetName val="Gold Data"/>
      <sheetName val="Master"/>
      <sheetName val="Resolute"/>
      <sheetName val="Resolute - FWD"/>
      <sheetName val="Crescent"/>
      <sheetName val="Crescent - FWD "/>
      <sheetName val="Equigold"/>
      <sheetName val="Equigold - FWD  "/>
      <sheetName val="Oceanagold"/>
      <sheetName val="Oceanagold - FWD "/>
      <sheetName val="Norton"/>
      <sheetName val="Norton - FWD  "/>
      <sheetName val="St Barbara"/>
      <sheetName val="St Barbara - FWD"/>
      <sheetName val="GOLDOPT"/>
      <sheetName val="Gold 1 yr volatility"/>
      <sheetName val="Gold 2 Yr volatility"/>
      <sheetName val="Gold Data (2)"/>
    </sheetNames>
    <sheetDataSet>
      <sheetData sheetId="0"/>
      <sheetData sheetId="1"/>
      <sheetData sheetId="2"/>
      <sheetData sheetId="3"/>
      <sheetData sheetId="4"/>
      <sheetData sheetId="5">
        <row r="65">
          <cell r="Q65">
            <v>5000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1">
          <cell r="B1" t="str">
            <v xml:space="preserve"> DATE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sareh Mansoori" id="{AE5A2051-FEF2-4836-9182-B95006626D70}" userId="d50075633c83d44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6" dT="2023-01-05T15:33:46.34" personId="{AE5A2051-FEF2-4836-9182-B95006626D70}" id="{2D7FA715-869B-41D5-AF59-2F064AB0D80C}">
    <text>20 for LV, 40 Handheld, 5 base station and 53 Equipment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75" dT="2022-10-14T16:59:13.78" personId="{AE5A2051-FEF2-4836-9182-B95006626D70}" id="{253060E3-1417-4B93-B974-D562322D8F35}">
    <text xml:space="preserve">Advised by Hassan
</text>
  </threadedComment>
  <threadedComment ref="K96" dT="2022-10-14T16:59:13.78" personId="{AE5A2051-FEF2-4836-9182-B95006626D70}" id="{96DE1D5C-7CA1-471B-91B0-E6DC5F3E8054}">
    <text xml:space="preserve">Advised by Hassan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15" dT="2023-01-06T09:58:14.78" personId="{AE5A2051-FEF2-4836-9182-B95006626D70}" id="{3636FEFD-40D2-45A0-8FB6-D3C81613519D}">
    <text>Allowed for low production due to: geological mapping, tight excavation area due to dilution control, hang time due to lack of trucks, floor clean up and angle of orebody</text>
  </threadedComment>
  <threadedComment ref="M27" dT="2023-01-06T09:59:29.88" personId="{AE5A2051-FEF2-4836-9182-B95006626D70}" id="{FE58CF79-4F18-476C-9123-E21783D82744}">
    <text>Conservative production rate for 70t Excavator, allowed for lower rate due to insufficient fragmentation, spillage and floor clean up and truck spot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02CA-CDF9-4977-9DC3-FB31874D78F4}">
  <dimension ref="A1:I112"/>
  <sheetViews>
    <sheetView topLeftCell="A90" zoomScale="115" zoomScaleNormal="115" workbookViewId="0">
      <selection activeCell="B1" sqref="B1"/>
    </sheetView>
  </sheetViews>
  <sheetFormatPr defaultRowHeight="14.25" x14ac:dyDescent="0.45"/>
  <cols>
    <col min="1" max="1" width="5.59765625" style="413" customWidth="1"/>
    <col min="2" max="2" width="23.73046875" style="412" bestFit="1" customWidth="1"/>
    <col min="3" max="3" width="68.59765625" customWidth="1"/>
    <col min="4" max="4" width="14.3984375" bestFit="1" customWidth="1"/>
    <col min="6" max="6" width="11.86328125" bestFit="1" customWidth="1"/>
    <col min="7" max="7" width="22.19921875" bestFit="1" customWidth="1"/>
  </cols>
  <sheetData>
    <row r="1" spans="1:4" x14ac:dyDescent="0.45">
      <c r="B1" s="516"/>
    </row>
    <row r="3" spans="1:4" x14ac:dyDescent="0.45">
      <c r="B3" s="500">
        <v>10.25</v>
      </c>
      <c r="C3" t="s">
        <v>235</v>
      </c>
    </row>
    <row r="5" spans="1:4" x14ac:dyDescent="0.45">
      <c r="A5" s="501" t="s">
        <v>82</v>
      </c>
      <c r="B5" s="502">
        <v>0</v>
      </c>
      <c r="C5" s="503" t="s">
        <v>109</v>
      </c>
    </row>
    <row r="6" spans="1:4" x14ac:dyDescent="0.45">
      <c r="A6" s="501" t="s">
        <v>82</v>
      </c>
      <c r="B6" s="505">
        <v>0.05</v>
      </c>
      <c r="C6" s="503" t="s">
        <v>110</v>
      </c>
    </row>
    <row r="7" spans="1:4" x14ac:dyDescent="0.45">
      <c r="A7" s="501" t="s">
        <v>82</v>
      </c>
      <c r="B7" s="505">
        <v>0</v>
      </c>
      <c r="C7" s="503" t="s">
        <v>111</v>
      </c>
    </row>
    <row r="8" spans="1:4" x14ac:dyDescent="0.45">
      <c r="A8" s="501" t="s">
        <v>82</v>
      </c>
      <c r="B8" s="506">
        <v>5.2999999999999999E-2</v>
      </c>
      <c r="C8" s="503" t="s">
        <v>112</v>
      </c>
    </row>
    <row r="9" spans="1:4" x14ac:dyDescent="0.45">
      <c r="A9" s="507" t="s">
        <v>82</v>
      </c>
      <c r="B9" s="502">
        <v>0</v>
      </c>
      <c r="C9" s="503" t="s">
        <v>120</v>
      </c>
    </row>
    <row r="10" spans="1:4" x14ac:dyDescent="0.45">
      <c r="A10" s="501" t="s">
        <v>82</v>
      </c>
      <c r="B10" s="506">
        <v>2.5000000000000001E-2</v>
      </c>
      <c r="C10" s="503" t="s">
        <v>113</v>
      </c>
    </row>
    <row r="11" spans="1:4" x14ac:dyDescent="0.45">
      <c r="A11" s="501" t="s">
        <v>82</v>
      </c>
      <c r="B11" s="502">
        <v>0.01</v>
      </c>
      <c r="C11" s="503" t="s">
        <v>114</v>
      </c>
    </row>
    <row r="12" spans="1:4" x14ac:dyDescent="0.45">
      <c r="A12" s="501" t="s">
        <v>115</v>
      </c>
      <c r="B12" s="508">
        <v>60</v>
      </c>
      <c r="C12" s="503" t="s">
        <v>116</v>
      </c>
    </row>
    <row r="13" spans="1:4" x14ac:dyDescent="0.45">
      <c r="A13" s="501"/>
      <c r="B13" s="502">
        <v>0</v>
      </c>
      <c r="C13" s="503" t="s">
        <v>215</v>
      </c>
    </row>
    <row r="14" spans="1:4" x14ac:dyDescent="0.45">
      <c r="A14" s="501" t="s">
        <v>117</v>
      </c>
      <c r="B14" s="509">
        <v>1.4</v>
      </c>
      <c r="C14" s="503" t="s">
        <v>118</v>
      </c>
    </row>
    <row r="15" spans="1:4" x14ac:dyDescent="0.45">
      <c r="A15" s="501" t="s">
        <v>82</v>
      </c>
      <c r="B15" s="502">
        <v>0.9</v>
      </c>
      <c r="C15" s="503" t="s">
        <v>119</v>
      </c>
    </row>
    <row r="16" spans="1:4" x14ac:dyDescent="0.45">
      <c r="A16" s="501" t="s">
        <v>236</v>
      </c>
      <c r="B16" s="528">
        <f>(B95/(B59/5/12))+B112</f>
        <v>4.0777974265984701E-2</v>
      </c>
      <c r="C16" s="503" t="s">
        <v>253</v>
      </c>
      <c r="D16" s="484"/>
    </row>
    <row r="17" spans="1:9" x14ac:dyDescent="0.45">
      <c r="A17" s="501" t="s">
        <v>236</v>
      </c>
      <c r="B17" s="528">
        <f>(F95/(B66/5/12))+B112</f>
        <v>4.9222948508092453E-2</v>
      </c>
      <c r="C17" s="503" t="s">
        <v>254</v>
      </c>
    </row>
    <row r="18" spans="1:9" x14ac:dyDescent="0.45">
      <c r="A18" s="501" t="s">
        <v>82</v>
      </c>
      <c r="B18" s="510">
        <v>0.32</v>
      </c>
      <c r="C18" s="511" t="s">
        <v>232</v>
      </c>
      <c r="E18" s="410"/>
      <c r="F18" s="410"/>
      <c r="H18" s="410"/>
      <c r="I18" s="410"/>
    </row>
    <row r="19" spans="1:9" x14ac:dyDescent="0.45">
      <c r="A19" s="501" t="s">
        <v>82</v>
      </c>
      <c r="B19" s="608">
        <v>0.08</v>
      </c>
      <c r="C19" s="503" t="s">
        <v>319</v>
      </c>
      <c r="E19" s="410"/>
      <c r="F19" s="410"/>
      <c r="H19" s="410"/>
      <c r="I19" s="410"/>
    </row>
    <row r="20" spans="1:9" x14ac:dyDescent="0.45">
      <c r="A20" s="501" t="s">
        <v>236</v>
      </c>
      <c r="B20" s="557">
        <f>B110/(B59+B66)</f>
        <v>8.2004219409282705E-3</v>
      </c>
      <c r="C20" s="498" t="s">
        <v>288</v>
      </c>
      <c r="E20" s="410"/>
      <c r="F20" s="410"/>
      <c r="H20" s="410"/>
      <c r="I20" s="410"/>
    </row>
    <row r="21" spans="1:9" x14ac:dyDescent="0.45">
      <c r="B21" s="497"/>
      <c r="C21" s="498"/>
      <c r="E21" s="410"/>
      <c r="F21" s="410"/>
      <c r="H21" s="410"/>
      <c r="I21" s="410"/>
    </row>
    <row r="23" spans="1:9" x14ac:dyDescent="0.45">
      <c r="C23" s="470" t="s">
        <v>121</v>
      </c>
    </row>
    <row r="24" spans="1:9" x14ac:dyDescent="0.45">
      <c r="A24" s="501" t="s">
        <v>122</v>
      </c>
      <c r="B24" s="504">
        <v>20000</v>
      </c>
      <c r="C24" s="503" t="s">
        <v>123</v>
      </c>
    </row>
    <row r="25" spans="1:9" x14ac:dyDescent="0.45">
      <c r="A25" s="501" t="s">
        <v>122</v>
      </c>
      <c r="B25" s="504">
        <v>18000</v>
      </c>
      <c r="C25" s="503" t="s">
        <v>124</v>
      </c>
    </row>
    <row r="26" spans="1:9" x14ac:dyDescent="0.45">
      <c r="A26" s="501" t="s">
        <v>122</v>
      </c>
      <c r="B26" s="504">
        <v>12000</v>
      </c>
      <c r="C26" s="503" t="s">
        <v>125</v>
      </c>
      <c r="E26" s="410"/>
    </row>
    <row r="27" spans="1:9" x14ac:dyDescent="0.45">
      <c r="A27" s="501" t="s">
        <v>122</v>
      </c>
      <c r="B27" s="504">
        <v>20000</v>
      </c>
      <c r="C27" s="503" t="s">
        <v>126</v>
      </c>
    </row>
    <row r="28" spans="1:9" x14ac:dyDescent="0.45">
      <c r="A28" s="501" t="s">
        <v>122</v>
      </c>
      <c r="B28" s="504">
        <v>20000</v>
      </c>
      <c r="C28" s="503" t="s">
        <v>127</v>
      </c>
    </row>
    <row r="29" spans="1:9" x14ac:dyDescent="0.45">
      <c r="A29" s="501" t="s">
        <v>122</v>
      </c>
      <c r="B29" s="504">
        <v>15000</v>
      </c>
      <c r="C29" s="503" t="s">
        <v>128</v>
      </c>
    </row>
    <row r="30" spans="1:9" x14ac:dyDescent="0.45">
      <c r="A30" s="501" t="s">
        <v>122</v>
      </c>
      <c r="B30" s="504">
        <v>18000</v>
      </c>
      <c r="C30" s="503" t="s">
        <v>129</v>
      </c>
    </row>
    <row r="31" spans="1:9" x14ac:dyDescent="0.45">
      <c r="A31" s="501" t="s">
        <v>122</v>
      </c>
      <c r="B31" s="504">
        <v>15000</v>
      </c>
      <c r="C31" s="503" t="s">
        <v>130</v>
      </c>
    </row>
    <row r="32" spans="1:9" x14ac:dyDescent="0.45">
      <c r="A32" s="501" t="s">
        <v>122</v>
      </c>
      <c r="B32" s="504">
        <v>10000</v>
      </c>
      <c r="C32" s="503" t="s">
        <v>144</v>
      </c>
    </row>
    <row r="33" spans="1:4" x14ac:dyDescent="0.45">
      <c r="A33" s="501" t="s">
        <v>122</v>
      </c>
      <c r="B33" s="504">
        <v>18000</v>
      </c>
      <c r="C33" s="503" t="s">
        <v>227</v>
      </c>
    </row>
    <row r="35" spans="1:4" x14ac:dyDescent="0.45">
      <c r="A35" s="501" t="s">
        <v>82</v>
      </c>
      <c r="B35" s="502">
        <v>0.8</v>
      </c>
      <c r="C35" s="503" t="s">
        <v>131</v>
      </c>
    </row>
    <row r="37" spans="1:4" x14ac:dyDescent="0.45">
      <c r="C37" s="470" t="s">
        <v>238</v>
      </c>
    </row>
    <row r="38" spans="1:4" x14ac:dyDescent="0.45">
      <c r="A38" s="501" t="s">
        <v>82</v>
      </c>
      <c r="B38" s="502">
        <v>0.5</v>
      </c>
      <c r="C38" s="503" t="s">
        <v>89</v>
      </c>
    </row>
    <row r="39" spans="1:4" x14ac:dyDescent="0.45">
      <c r="A39" s="501" t="s">
        <v>82</v>
      </c>
      <c r="B39" s="502">
        <v>0.15</v>
      </c>
      <c r="C39" s="503" t="s">
        <v>132</v>
      </c>
      <c r="D39" t="s">
        <v>258</v>
      </c>
    </row>
    <row r="40" spans="1:4" x14ac:dyDescent="0.45">
      <c r="A40" s="501" t="s">
        <v>82</v>
      </c>
      <c r="B40" s="502">
        <v>0.03</v>
      </c>
      <c r="C40" s="503" t="s">
        <v>133</v>
      </c>
    </row>
    <row r="41" spans="1:4" x14ac:dyDescent="0.45">
      <c r="B41" s="513"/>
    </row>
    <row r="42" spans="1:4" x14ac:dyDescent="0.45">
      <c r="C42" s="470" t="s">
        <v>239</v>
      </c>
    </row>
    <row r="43" spans="1:4" x14ac:dyDescent="0.45">
      <c r="A43" s="501" t="s">
        <v>82</v>
      </c>
      <c r="B43" s="502">
        <v>0.1</v>
      </c>
      <c r="C43" s="503" t="s">
        <v>89</v>
      </c>
    </row>
    <row r="44" spans="1:4" x14ac:dyDescent="0.45">
      <c r="A44" s="501" t="s">
        <v>82</v>
      </c>
      <c r="B44" s="502">
        <v>0.05</v>
      </c>
      <c r="C44" s="503" t="s">
        <v>132</v>
      </c>
    </row>
    <row r="45" spans="1:4" x14ac:dyDescent="0.45">
      <c r="A45" s="501" t="s">
        <v>82</v>
      </c>
      <c r="B45" s="502">
        <v>0</v>
      </c>
      <c r="C45" s="503" t="s">
        <v>133</v>
      </c>
    </row>
    <row r="46" spans="1:4" x14ac:dyDescent="0.45">
      <c r="A46" s="413" t="s">
        <v>314</v>
      </c>
      <c r="B46" s="412">
        <f>(AVERAGE(2775,2583))</f>
        <v>2679</v>
      </c>
      <c r="C46" t="s">
        <v>315</v>
      </c>
    </row>
    <row r="47" spans="1:4" x14ac:dyDescent="0.45">
      <c r="A47" s="413" t="s">
        <v>314</v>
      </c>
      <c r="B47" s="412">
        <f>((AVERAGE(1576,1449,1482,1509,955,1258,1021)))</f>
        <v>1321.4285714285713</v>
      </c>
      <c r="C47" t="s">
        <v>316</v>
      </c>
    </row>
    <row r="48" spans="1:4" x14ac:dyDescent="0.45">
      <c r="A48" s="413" t="s">
        <v>82</v>
      </c>
      <c r="B48" s="411">
        <v>0.05</v>
      </c>
      <c r="C48" t="s">
        <v>246</v>
      </c>
    </row>
    <row r="50" spans="1:5" x14ac:dyDescent="0.45">
      <c r="A50" s="413" t="s">
        <v>82</v>
      </c>
      <c r="B50" s="411">
        <v>0.8</v>
      </c>
      <c r="C50" t="s">
        <v>140</v>
      </c>
    </row>
    <row r="52" spans="1:5" x14ac:dyDescent="0.45">
      <c r="B52" s="412">
        <v>2.7</v>
      </c>
      <c r="C52" t="s">
        <v>145</v>
      </c>
    </row>
    <row r="53" spans="1:5" x14ac:dyDescent="0.45">
      <c r="B53" s="412">
        <v>1.83</v>
      </c>
      <c r="C53" t="s">
        <v>146</v>
      </c>
    </row>
    <row r="55" spans="1:5" x14ac:dyDescent="0.45">
      <c r="A55" s="501" t="s">
        <v>147</v>
      </c>
      <c r="B55" s="508">
        <v>4</v>
      </c>
      <c r="C55" s="503" t="s">
        <v>237</v>
      </c>
    </row>
    <row r="57" spans="1:5" x14ac:dyDescent="0.45">
      <c r="A57" s="413" t="s">
        <v>156</v>
      </c>
      <c r="B57" s="412">
        <v>300</v>
      </c>
      <c r="C57" t="s">
        <v>155</v>
      </c>
    </row>
    <row r="59" spans="1:5" x14ac:dyDescent="0.45">
      <c r="B59" s="526">
        <f>B60+B61</f>
        <v>44300000</v>
      </c>
      <c r="C59" s="470" t="s">
        <v>251</v>
      </c>
    </row>
    <row r="60" spans="1:5" x14ac:dyDescent="0.45">
      <c r="A60" s="501" t="s">
        <v>216</v>
      </c>
      <c r="B60" s="524">
        <v>38900000</v>
      </c>
      <c r="C60" s="503" t="s">
        <v>217</v>
      </c>
      <c r="D60" s="525">
        <f>B60/$B$53</f>
        <v>21256830.601092894</v>
      </c>
      <c r="E60" s="501" t="s">
        <v>222</v>
      </c>
    </row>
    <row r="61" spans="1:5" x14ac:dyDescent="0.45">
      <c r="A61" s="501" t="s">
        <v>216</v>
      </c>
      <c r="B61" s="524">
        <v>5400000</v>
      </c>
      <c r="C61" s="503" t="s">
        <v>218</v>
      </c>
      <c r="D61" s="525">
        <f>B61/$B$53</f>
        <v>2950819.6721311472</v>
      </c>
      <c r="E61" s="501" t="s">
        <v>222</v>
      </c>
    </row>
    <row r="62" spans="1:5" x14ac:dyDescent="0.45">
      <c r="A62" s="501" t="s">
        <v>216</v>
      </c>
      <c r="B62" s="524"/>
      <c r="C62" s="503" t="s">
        <v>220</v>
      </c>
      <c r="D62" s="525">
        <f>B62/$B$53</f>
        <v>0</v>
      </c>
      <c r="E62" s="501" t="s">
        <v>222</v>
      </c>
    </row>
    <row r="63" spans="1:5" x14ac:dyDescent="0.45">
      <c r="A63" s="501" t="s">
        <v>216</v>
      </c>
      <c r="B63" s="524"/>
      <c r="C63" s="503" t="s">
        <v>219</v>
      </c>
      <c r="D63" s="525">
        <f>B63/$B$53</f>
        <v>0</v>
      </c>
      <c r="E63" s="501" t="s">
        <v>222</v>
      </c>
    </row>
    <row r="64" spans="1:5" x14ac:dyDescent="0.45">
      <c r="A64" s="501" t="s">
        <v>216</v>
      </c>
      <c r="B64" s="524"/>
      <c r="C64" s="503" t="s">
        <v>221</v>
      </c>
      <c r="D64" s="525">
        <f>B64/$B$53</f>
        <v>0</v>
      </c>
      <c r="E64" s="501" t="s">
        <v>222</v>
      </c>
    </row>
    <row r="65" spans="1:8" x14ac:dyDescent="0.45">
      <c r="B65" s="485"/>
      <c r="D65" s="453"/>
      <c r="E65" s="413"/>
    </row>
    <row r="66" spans="1:8" x14ac:dyDescent="0.45">
      <c r="B66" s="527">
        <f>B68+B67</f>
        <v>26800000</v>
      </c>
      <c r="C66" s="470" t="s">
        <v>252</v>
      </c>
      <c r="D66" s="453"/>
      <c r="E66" s="413"/>
    </row>
    <row r="67" spans="1:8" x14ac:dyDescent="0.45">
      <c r="A67" s="501" t="s">
        <v>216</v>
      </c>
      <c r="B67" s="524">
        <v>24000000</v>
      </c>
      <c r="C67" s="503" t="s">
        <v>217</v>
      </c>
      <c r="D67" s="525">
        <f t="shared" ref="D67:D68" si="0">B67/$B$53</f>
        <v>13114754.098360656</v>
      </c>
      <c r="E67" s="501" t="s">
        <v>222</v>
      </c>
    </row>
    <row r="68" spans="1:8" x14ac:dyDescent="0.45">
      <c r="A68" s="501" t="s">
        <v>216</v>
      </c>
      <c r="B68" s="524">
        <v>2800000</v>
      </c>
      <c r="C68" s="503" t="s">
        <v>218</v>
      </c>
      <c r="D68" s="525">
        <f t="shared" si="0"/>
        <v>1530054.6448087431</v>
      </c>
      <c r="E68" s="501" t="s">
        <v>222</v>
      </c>
    </row>
    <row r="69" spans="1:8" x14ac:dyDescent="0.45">
      <c r="A69" s="501" t="s">
        <v>216</v>
      </c>
      <c r="B69" s="524"/>
      <c r="C69" s="503" t="s">
        <v>220</v>
      </c>
      <c r="D69" s="503"/>
      <c r="E69" s="501" t="s">
        <v>222</v>
      </c>
    </row>
    <row r="70" spans="1:8" x14ac:dyDescent="0.45">
      <c r="A70" s="501" t="s">
        <v>216</v>
      </c>
      <c r="B70" s="524"/>
      <c r="C70" s="503" t="s">
        <v>219</v>
      </c>
      <c r="D70" s="503"/>
      <c r="E70" s="501" t="s">
        <v>222</v>
      </c>
    </row>
    <row r="71" spans="1:8" x14ac:dyDescent="0.45">
      <c r="A71" s="501" t="s">
        <v>216</v>
      </c>
      <c r="B71" s="524"/>
      <c r="C71" s="503" t="s">
        <v>221</v>
      </c>
      <c r="D71" s="503"/>
      <c r="E71" s="501" t="s">
        <v>222</v>
      </c>
    </row>
    <row r="72" spans="1:8" x14ac:dyDescent="0.45">
      <c r="B72" s="485"/>
    </row>
    <row r="73" spans="1:8" x14ac:dyDescent="0.45">
      <c r="C73" s="453"/>
      <c r="D73" s="410"/>
    </row>
    <row r="74" spans="1:8" x14ac:dyDescent="0.45">
      <c r="B74" s="412" t="s">
        <v>108</v>
      </c>
    </row>
    <row r="75" spans="1:8" x14ac:dyDescent="0.45">
      <c r="G75" s="621"/>
      <c r="H75" s="621"/>
    </row>
    <row r="76" spans="1:8" x14ac:dyDescent="0.45">
      <c r="B76" s="620" t="s">
        <v>255</v>
      </c>
      <c r="C76" s="620"/>
      <c r="F76" s="620" t="s">
        <v>256</v>
      </c>
      <c r="G76" s="620"/>
    </row>
    <row r="77" spans="1:8" x14ac:dyDescent="0.45">
      <c r="B77" s="416">
        <f>263051*0.6</f>
        <v>157830.6</v>
      </c>
      <c r="C77" t="s">
        <v>148</v>
      </c>
      <c r="F77" s="416">
        <f>263051*0.4</f>
        <v>105220.40000000001</v>
      </c>
      <c r="G77" t="s">
        <v>148</v>
      </c>
    </row>
    <row r="78" spans="1:8" x14ac:dyDescent="0.45">
      <c r="B78" s="416">
        <v>20000</v>
      </c>
      <c r="C78" t="s">
        <v>149</v>
      </c>
      <c r="F78" s="416">
        <v>10000</v>
      </c>
      <c r="G78" t="s">
        <v>149</v>
      </c>
    </row>
    <row r="79" spans="1:8" x14ac:dyDescent="0.45">
      <c r="B79" s="416">
        <f>2000+250+250</f>
        <v>2500</v>
      </c>
      <c r="C79" t="s">
        <v>297</v>
      </c>
      <c r="F79" s="416">
        <f>2000+250+250</f>
        <v>2500</v>
      </c>
      <c r="G79" t="s">
        <v>297</v>
      </c>
    </row>
    <row r="80" spans="1:8" x14ac:dyDescent="0.45">
      <c r="B80" s="416">
        <v>17500</v>
      </c>
      <c r="C80" t="s">
        <v>161</v>
      </c>
      <c r="F80" s="416">
        <v>17500</v>
      </c>
      <c r="G80" t="s">
        <v>161</v>
      </c>
    </row>
    <row r="81" spans="2:7" x14ac:dyDescent="0.45">
      <c r="B81" s="416">
        <v>2000</v>
      </c>
      <c r="C81" t="s">
        <v>162</v>
      </c>
      <c r="F81" s="416">
        <v>2000</v>
      </c>
      <c r="G81" t="s">
        <v>162</v>
      </c>
    </row>
    <row r="82" spans="2:7" x14ac:dyDescent="0.45">
      <c r="B82" s="416">
        <v>2000</v>
      </c>
      <c r="C82" t="s">
        <v>160</v>
      </c>
      <c r="F82" s="416">
        <v>2000</v>
      </c>
      <c r="G82" t="s">
        <v>160</v>
      </c>
    </row>
    <row r="83" spans="2:7" x14ac:dyDescent="0.45">
      <c r="B83" s="416">
        <v>1000</v>
      </c>
      <c r="C83" t="s">
        <v>150</v>
      </c>
      <c r="F83" s="416">
        <v>1000</v>
      </c>
      <c r="G83" t="s">
        <v>150</v>
      </c>
    </row>
    <row r="84" spans="2:7" x14ac:dyDescent="0.45">
      <c r="B84" s="416">
        <f>10*600</f>
        <v>6000</v>
      </c>
      <c r="C84" t="s">
        <v>164</v>
      </c>
      <c r="F84" s="416">
        <f>10*600</f>
        <v>6000</v>
      </c>
      <c r="G84" t="s">
        <v>164</v>
      </c>
    </row>
    <row r="85" spans="2:7" x14ac:dyDescent="0.45">
      <c r="B85" s="416">
        <v>6500</v>
      </c>
      <c r="C85" t="s">
        <v>151</v>
      </c>
      <c r="F85" s="416">
        <v>6500</v>
      </c>
      <c r="G85" t="s">
        <v>151</v>
      </c>
    </row>
    <row r="86" spans="2:7" x14ac:dyDescent="0.45">
      <c r="B86" s="416">
        <v>20000</v>
      </c>
      <c r="C86" t="s">
        <v>154</v>
      </c>
      <c r="F86" s="416">
        <v>20000</v>
      </c>
      <c r="G86" t="s">
        <v>154</v>
      </c>
    </row>
    <row r="87" spans="2:7" x14ac:dyDescent="0.45">
      <c r="B87" s="416">
        <v>10000</v>
      </c>
      <c r="C87" t="s">
        <v>152</v>
      </c>
      <c r="F87" s="416">
        <v>8000</v>
      </c>
      <c r="G87" t="s">
        <v>152</v>
      </c>
    </row>
    <row r="88" spans="2:7" x14ac:dyDescent="0.45">
      <c r="B88" s="416">
        <v>5000</v>
      </c>
      <c r="C88" t="s">
        <v>153</v>
      </c>
      <c r="D88" s="512"/>
      <c r="F88" s="416">
        <v>5000</v>
      </c>
      <c r="G88" t="s">
        <v>153</v>
      </c>
    </row>
    <row r="89" spans="2:7" x14ac:dyDescent="0.45">
      <c r="B89" s="416">
        <v>3500</v>
      </c>
      <c r="C89" t="s">
        <v>259</v>
      </c>
      <c r="D89" s="512"/>
      <c r="F89" s="416">
        <v>3500</v>
      </c>
      <c r="G89" t="s">
        <v>259</v>
      </c>
    </row>
    <row r="90" spans="2:7" x14ac:dyDescent="0.45">
      <c r="B90" s="416">
        <v>2500</v>
      </c>
      <c r="C90" t="s">
        <v>290</v>
      </c>
      <c r="D90" s="512"/>
      <c r="F90" s="416">
        <v>2000</v>
      </c>
      <c r="G90" t="s">
        <v>290</v>
      </c>
    </row>
    <row r="91" spans="2:7" x14ac:dyDescent="0.45">
      <c r="B91" s="416">
        <v>15000</v>
      </c>
      <c r="C91" t="s">
        <v>292</v>
      </c>
      <c r="D91" s="512"/>
      <c r="F91" s="416">
        <v>15000</v>
      </c>
      <c r="G91" t="s">
        <v>292</v>
      </c>
    </row>
    <row r="92" spans="2:7" x14ac:dyDescent="0.45">
      <c r="B92" s="416">
        <v>2000</v>
      </c>
      <c r="C92" t="s">
        <v>294</v>
      </c>
      <c r="D92" s="512"/>
      <c r="F92" s="416">
        <v>2000</v>
      </c>
      <c r="G92" t="s">
        <v>294</v>
      </c>
    </row>
    <row r="93" spans="2:7" x14ac:dyDescent="0.45">
      <c r="B93" s="416">
        <f>SUM(B77:B92)*0.1</f>
        <v>27333.059999999998</v>
      </c>
      <c r="C93" t="s">
        <v>257</v>
      </c>
      <c r="D93" s="512"/>
      <c r="F93" s="416">
        <f>SUM(F77:F92)*0.1</f>
        <v>20822.040000000005</v>
      </c>
      <c r="G93" t="s">
        <v>257</v>
      </c>
    </row>
    <row r="94" spans="2:7" x14ac:dyDescent="0.45">
      <c r="B94" s="417">
        <f>SUM(B77:B93)</f>
        <v>300663.65999999997</v>
      </c>
      <c r="C94" s="470" t="s">
        <v>320</v>
      </c>
      <c r="D94" s="470"/>
      <c r="E94" s="470"/>
      <c r="F94" s="417">
        <f>SUM(F77:F93)</f>
        <v>229042.44000000003</v>
      </c>
      <c r="G94" s="470" t="s">
        <v>320</v>
      </c>
    </row>
    <row r="95" spans="2:7" x14ac:dyDescent="0.45">
      <c r="B95" s="416">
        <f>B94*B19</f>
        <v>24053.092799999999</v>
      </c>
      <c r="C95" t="s">
        <v>321</v>
      </c>
      <c r="F95" s="416">
        <f>F94*B19</f>
        <v>18323.395200000003</v>
      </c>
      <c r="G95" t="s">
        <v>321</v>
      </c>
    </row>
    <row r="96" spans="2:7" x14ac:dyDescent="0.45">
      <c r="B96" s="418">
        <f>B94+B95</f>
        <v>324716.75279999996</v>
      </c>
      <c r="C96" s="498" t="s">
        <v>322</v>
      </c>
      <c r="D96" s="555"/>
      <c r="E96" s="498"/>
      <c r="F96" s="607">
        <f>F95+F94</f>
        <v>247365.83520000003</v>
      </c>
      <c r="G96" s="498" t="s">
        <v>322</v>
      </c>
    </row>
    <row r="97" spans="2:7" x14ac:dyDescent="0.45">
      <c r="B97" s="418"/>
      <c r="C97" s="498"/>
      <c r="D97" s="555"/>
      <c r="E97" s="498"/>
      <c r="F97" s="607"/>
      <c r="G97" s="498"/>
    </row>
    <row r="98" spans="2:7" x14ac:dyDescent="0.45">
      <c r="B98" s="621" t="s">
        <v>157</v>
      </c>
      <c r="C98" s="621"/>
    </row>
    <row r="99" spans="2:7" x14ac:dyDescent="0.45">
      <c r="B99" s="416">
        <f>1*20000</f>
        <v>20000</v>
      </c>
      <c r="C99" t="s">
        <v>158</v>
      </c>
      <c r="D99" s="410"/>
      <c r="F99" s="484"/>
      <c r="G99" s="484"/>
    </row>
    <row r="100" spans="2:7" x14ac:dyDescent="0.45">
      <c r="B100" s="416">
        <f>(10*4000)+8000</f>
        <v>48000</v>
      </c>
      <c r="C100" t="s">
        <v>293</v>
      </c>
    </row>
    <row r="101" spans="2:7" x14ac:dyDescent="0.45">
      <c r="B101" s="416">
        <f>40000+20000</f>
        <v>60000</v>
      </c>
      <c r="C101" t="s">
        <v>291</v>
      </c>
    </row>
    <row r="102" spans="2:7" x14ac:dyDescent="0.45">
      <c r="B102" s="416">
        <v>50000</v>
      </c>
      <c r="C102" t="s">
        <v>163</v>
      </c>
    </row>
    <row r="103" spans="2:7" x14ac:dyDescent="0.45">
      <c r="B103" s="416">
        <f>10 *15000</f>
        <v>150000</v>
      </c>
      <c r="C103" t="s">
        <v>159</v>
      </c>
    </row>
    <row r="104" spans="2:7" x14ac:dyDescent="0.45">
      <c r="B104" s="416">
        <f>4*1000</f>
        <v>4000</v>
      </c>
      <c r="C104" t="s">
        <v>295</v>
      </c>
    </row>
    <row r="105" spans="2:7" x14ac:dyDescent="0.45">
      <c r="B105" s="556">
        <v>4000</v>
      </c>
      <c r="C105" t="s">
        <v>296</v>
      </c>
    </row>
    <row r="106" spans="2:7" x14ac:dyDescent="0.45">
      <c r="B106" s="556">
        <v>70000</v>
      </c>
      <c r="C106" t="s">
        <v>287</v>
      </c>
    </row>
    <row r="107" spans="2:7" x14ac:dyDescent="0.45">
      <c r="B107" s="556">
        <f>(51*100+18*800+14*500+5000)+(15000)</f>
        <v>46500</v>
      </c>
      <c r="C107" t="s">
        <v>286</v>
      </c>
    </row>
    <row r="108" spans="2:7" x14ac:dyDescent="0.45">
      <c r="B108" s="416">
        <f>50000+4500</f>
        <v>54500</v>
      </c>
      <c r="C108" t="s">
        <v>260</v>
      </c>
    </row>
    <row r="109" spans="2:7" x14ac:dyDescent="0.45">
      <c r="B109" s="417">
        <f>SUM(B99:B108)</f>
        <v>507000</v>
      </c>
    </row>
    <row r="110" spans="2:7" x14ac:dyDescent="0.45">
      <c r="B110" s="418">
        <f>B109*1.15</f>
        <v>583050</v>
      </c>
      <c r="C110" t="s">
        <v>304</v>
      </c>
    </row>
    <row r="112" spans="2:7" x14ac:dyDescent="0.45">
      <c r="B112" s="416">
        <f>B110/(B59+B66)</f>
        <v>8.2004219409282705E-3</v>
      </c>
    </row>
  </sheetData>
  <mergeCells count="4">
    <mergeCell ref="B76:C76"/>
    <mergeCell ref="B98:C98"/>
    <mergeCell ref="F76:G76"/>
    <mergeCell ref="G75:H75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0EAE0-F1A5-4DFE-BE22-BD6F9FFA3190}">
  <sheetPr>
    <tabColor theme="9" tint="-0.249977111117893"/>
    <pageSetUpPr fitToPage="1"/>
  </sheetPr>
  <dimension ref="A1:AJ73"/>
  <sheetViews>
    <sheetView topLeftCell="A3" zoomScale="70" zoomScaleNormal="70" workbookViewId="0">
      <selection activeCell="F10" sqref="F10"/>
    </sheetView>
  </sheetViews>
  <sheetFormatPr defaultColWidth="9.1328125" defaultRowHeight="14.25" x14ac:dyDescent="0.45"/>
  <cols>
    <col min="1" max="1" width="6.265625" style="3" customWidth="1"/>
    <col min="2" max="2" width="18.265625" style="3" bestFit="1" customWidth="1"/>
    <col min="3" max="4" width="15" style="3" bestFit="1" customWidth="1"/>
    <col min="5" max="5" width="14" style="3" bestFit="1" customWidth="1"/>
    <col min="6" max="6" width="17.3984375" style="3" bestFit="1" customWidth="1"/>
    <col min="7" max="7" width="15.1328125" style="3" bestFit="1" customWidth="1"/>
    <col min="8" max="8" width="9.1328125" style="3"/>
    <col min="9" max="9" width="7.3984375" style="3" bestFit="1" customWidth="1"/>
    <col min="10" max="10" width="15" style="3" bestFit="1" customWidth="1"/>
    <col min="11" max="11" width="14" style="3" bestFit="1" customWidth="1"/>
    <col min="12" max="12" width="13.1328125" style="3" bestFit="1" customWidth="1"/>
    <col min="13" max="13" width="15" style="3" bestFit="1" customWidth="1"/>
    <col min="14" max="16" width="9.1328125" style="3"/>
    <col min="17" max="19" width="15.86328125" style="3" bestFit="1" customWidth="1"/>
    <col min="20" max="21" width="14.73046875" style="3" customWidth="1"/>
    <col min="22" max="22" width="13.265625" style="3" bestFit="1" customWidth="1"/>
    <col min="23" max="23" width="14.86328125" style="3" bestFit="1" customWidth="1"/>
    <col min="24" max="24" width="15.1328125" style="3" bestFit="1" customWidth="1"/>
    <col min="25" max="25" width="9.1328125" style="3"/>
    <col min="26" max="26" width="15" style="3" customWidth="1"/>
    <col min="27" max="27" width="9.1328125" style="3"/>
    <col min="28" max="28" width="16.265625" style="3" customWidth="1"/>
    <col min="29" max="29" width="6" style="3" customWidth="1"/>
    <col min="30" max="30" width="18.86328125" style="3" customWidth="1"/>
    <col min="31" max="31" width="9.1328125" style="3"/>
    <col min="32" max="32" width="9.86328125" style="3" bestFit="1" customWidth="1"/>
    <col min="33" max="33" width="13.86328125" style="3" customWidth="1"/>
    <col min="34" max="34" width="11.86328125" style="3" customWidth="1"/>
    <col min="35" max="35" width="14.1328125" style="3" customWidth="1"/>
    <col min="36" max="36" width="12.73046875" style="3" customWidth="1"/>
    <col min="37" max="16384" width="9.1328125" style="3"/>
  </cols>
  <sheetData>
    <row r="1" spans="1:36" ht="62.25" customHeight="1" thickBot="1" x14ac:dyDescent="0.5">
      <c r="A1" s="676">
        <f>+ASSUMPTIONS!B1</f>
        <v>0</v>
      </c>
      <c r="B1" s="677"/>
      <c r="C1" s="677"/>
      <c r="D1" s="677"/>
      <c r="E1" s="677"/>
      <c r="F1" s="677"/>
      <c r="G1" s="677"/>
      <c r="H1" s="677"/>
      <c r="I1" s="677"/>
      <c r="J1" s="677"/>
      <c r="K1" s="677"/>
      <c r="L1" s="677"/>
      <c r="M1" s="677"/>
      <c r="N1" s="677"/>
      <c r="O1" s="677"/>
      <c r="P1" s="677"/>
      <c r="Q1" s="677"/>
      <c r="R1" s="677"/>
      <c r="S1" s="677"/>
      <c r="T1" s="677"/>
      <c r="U1" s="677"/>
      <c r="V1" s="677"/>
      <c r="W1" s="677"/>
      <c r="X1" s="678"/>
    </row>
    <row r="2" spans="1:36" ht="16.149999999999999" thickBot="1" x14ac:dyDescent="0.5">
      <c r="A2" s="308"/>
      <c r="B2" s="308"/>
      <c r="C2" s="309"/>
      <c r="D2" s="309"/>
      <c r="E2" s="309"/>
      <c r="F2" s="309"/>
      <c r="G2" s="309"/>
      <c r="H2" s="309"/>
      <c r="I2" s="310"/>
      <c r="J2" s="309"/>
      <c r="K2" s="309"/>
      <c r="L2" s="309"/>
      <c r="M2" s="309"/>
    </row>
    <row r="3" spans="1:36" ht="32.25" customHeight="1" thickBot="1" x14ac:dyDescent="0.5">
      <c r="A3" s="679" t="str">
        <f>'Summary Equip'!B8</f>
        <v>EXC 374</v>
      </c>
      <c r="B3" s="680"/>
      <c r="C3" s="681"/>
      <c r="D3" s="682"/>
      <c r="E3" s="683"/>
      <c r="F3" s="683"/>
      <c r="G3" s="683"/>
      <c r="H3" s="683"/>
      <c r="I3" s="683"/>
      <c r="J3" s="683"/>
      <c r="K3" s="683"/>
      <c r="L3" s="683"/>
      <c r="M3" s="683"/>
      <c r="N3" s="683"/>
      <c r="O3" s="683"/>
      <c r="P3" s="683"/>
      <c r="Q3" s="683"/>
      <c r="R3" s="683"/>
      <c r="S3" s="683"/>
      <c r="T3" s="683"/>
      <c r="U3" s="683"/>
      <c r="V3" s="683"/>
      <c r="W3" s="683"/>
      <c r="X3" s="684"/>
      <c r="AG3" s="3">
        <v>0.8</v>
      </c>
      <c r="AI3" s="3">
        <f>1-AG3</f>
        <v>0.19999999999999996</v>
      </c>
    </row>
    <row r="4" spans="1:36" ht="14.65" thickBot="1" x14ac:dyDescent="0.5">
      <c r="C4" s="11"/>
      <c r="D4" s="11"/>
      <c r="E4" s="11"/>
      <c r="F4" s="11"/>
      <c r="G4" s="11"/>
      <c r="H4" s="11"/>
      <c r="I4" s="12"/>
      <c r="J4" s="11"/>
      <c r="K4" s="11"/>
      <c r="L4" s="11"/>
      <c r="M4" s="11"/>
      <c r="Q4" s="368">
        <f>+'Summary Equip'!AC6</f>
        <v>520.125</v>
      </c>
      <c r="U4" s="57">
        <v>0.05</v>
      </c>
      <c r="AG4" s="132">
        <f>+$D$31*AG3</f>
        <v>280762</v>
      </c>
      <c r="AH4" s="337">
        <f>+D32</f>
        <v>105285.75</v>
      </c>
      <c r="AI4" s="132">
        <f>+$D$31*AI3</f>
        <v>70190.499999999985</v>
      </c>
      <c r="AJ4" s="132">
        <f>+D33</f>
        <v>21057.149999999998</v>
      </c>
    </row>
    <row r="5" spans="1:36" ht="23.25" customHeight="1" thickBot="1" x14ac:dyDescent="0.5">
      <c r="A5" s="685" t="s">
        <v>9</v>
      </c>
      <c r="B5" s="686"/>
      <c r="C5" s="687"/>
      <c r="D5" s="11"/>
      <c r="E5" s="11"/>
      <c r="F5" s="11"/>
      <c r="G5" s="11"/>
      <c r="H5" s="11"/>
      <c r="I5" s="688" t="s">
        <v>34</v>
      </c>
      <c r="J5" s="689"/>
      <c r="K5" s="689"/>
      <c r="L5" s="689"/>
      <c r="M5" s="690"/>
      <c r="O5" s="688" t="s">
        <v>35</v>
      </c>
      <c r="P5" s="691"/>
      <c r="Q5" s="689"/>
      <c r="R5" s="689"/>
      <c r="S5" s="689"/>
      <c r="T5" s="689"/>
      <c r="U5" s="689"/>
      <c r="V5" s="689"/>
      <c r="W5" s="692"/>
      <c r="X5" s="693"/>
      <c r="AA5" s="145">
        <v>0</v>
      </c>
      <c r="AH5" s="3">
        <f>+SUM(AH7:AH66)</f>
        <v>0</v>
      </c>
      <c r="AJ5" s="3">
        <f>+SUM(AJ7:AJ66)</f>
        <v>0</v>
      </c>
    </row>
    <row r="6" spans="1:36" ht="28.9" thickBot="1" x14ac:dyDescent="0.5">
      <c r="A6" s="29" t="s">
        <v>0</v>
      </c>
      <c r="B6" s="28" t="s">
        <v>1</v>
      </c>
      <c r="C6" s="50" t="s">
        <v>10</v>
      </c>
      <c r="D6" s="11"/>
      <c r="E6" s="11"/>
      <c r="F6" s="11"/>
      <c r="G6" s="11"/>
      <c r="H6" s="11"/>
      <c r="I6" s="16" t="s">
        <v>15</v>
      </c>
      <c r="J6" s="17" t="s">
        <v>70</v>
      </c>
      <c r="K6" s="17" t="s">
        <v>17</v>
      </c>
      <c r="L6" s="17" t="s">
        <v>18</v>
      </c>
      <c r="M6" s="18" t="s">
        <v>19</v>
      </c>
      <c r="O6" s="16" t="s">
        <v>15</v>
      </c>
      <c r="P6" s="52" t="s">
        <v>39</v>
      </c>
      <c r="Q6" s="17" t="s">
        <v>36</v>
      </c>
      <c r="R6" s="17" t="s">
        <v>37</v>
      </c>
      <c r="S6" s="17" t="s">
        <v>27</v>
      </c>
      <c r="T6" s="17" t="s">
        <v>38</v>
      </c>
      <c r="U6" s="17" t="s">
        <v>7</v>
      </c>
      <c r="V6" s="17" t="s">
        <v>41</v>
      </c>
      <c r="W6" s="18" t="s">
        <v>40</v>
      </c>
      <c r="X6" s="55" t="s">
        <v>42</v>
      </c>
      <c r="Z6" s="5" t="s">
        <v>71</v>
      </c>
      <c r="AA6" s="5" t="s">
        <v>46</v>
      </c>
      <c r="AB6" s="5" t="s">
        <v>47</v>
      </c>
      <c r="AE6" s="12" t="str">
        <f>+O6</f>
        <v>Month</v>
      </c>
      <c r="AF6" s="12" t="str">
        <f>+P6</f>
        <v>Hours</v>
      </c>
      <c r="AG6" s="3" t="s">
        <v>89</v>
      </c>
      <c r="AH6" s="3" t="s">
        <v>105</v>
      </c>
      <c r="AI6" s="3" t="s">
        <v>106</v>
      </c>
      <c r="AJ6" s="3" t="s">
        <v>107</v>
      </c>
    </row>
    <row r="7" spans="1:36" x14ac:dyDescent="0.45">
      <c r="A7" s="8">
        <v>1</v>
      </c>
      <c r="B7" s="9" t="s">
        <v>11</v>
      </c>
      <c r="C7" s="152">
        <f>+F11*(1+'Summary Equip'!$N$3)</f>
        <v>737000.25</v>
      </c>
      <c r="D7" s="11"/>
      <c r="E7" s="8" t="s">
        <v>61</v>
      </c>
      <c r="F7" s="150">
        <f>'Summary Equip'!J8</f>
        <v>701905</v>
      </c>
      <c r="G7" s="379"/>
      <c r="H7" s="383">
        <v>1</v>
      </c>
      <c r="I7" s="53">
        <v>1</v>
      </c>
      <c r="J7" s="77">
        <f>C7</f>
        <v>737000.25</v>
      </c>
      <c r="K7" s="77">
        <f>J7*$C$8*30.44/365.25</f>
        <v>3255.3517955646817</v>
      </c>
      <c r="L7" s="77">
        <f>+L69</f>
        <v>-14009.626897699527</v>
      </c>
      <c r="M7" s="78">
        <f t="shared" ref="M7:M66" si="0">J7+K7+L7</f>
        <v>726245.97489786509</v>
      </c>
      <c r="O7" s="15">
        <v>1</v>
      </c>
      <c r="P7" s="53">
        <f>Q4</f>
        <v>520.125</v>
      </c>
      <c r="Q7" s="77">
        <f>$F$42+($Q$4*$G$42)</f>
        <v>31673.77203260977</v>
      </c>
      <c r="R7" s="77">
        <f>+L7</f>
        <v>-14009.626897699527</v>
      </c>
      <c r="S7" s="77">
        <f>+IF(R7=0,,-S68/C12)</f>
        <v>-5849.208333333333</v>
      </c>
      <c r="T7" s="77"/>
      <c r="U7" s="77">
        <f>-Q7*U4</f>
        <v>-1583.6886016304886</v>
      </c>
      <c r="V7" s="77">
        <f>-(AB7*$C$9/12)</f>
        <v>-1438.1740989583334</v>
      </c>
      <c r="W7" s="83">
        <f>SUM(Q7:V7)</f>
        <v>8793.0741009880876</v>
      </c>
      <c r="X7" s="84">
        <f>W7</f>
        <v>8793.0741009880876</v>
      </c>
      <c r="Z7" s="92">
        <f>+$D$27-(($D$27+$D$28)*O7/$B$22)</f>
        <v>690323.5675</v>
      </c>
      <c r="AA7" s="5">
        <f>+Z7*$AA$5</f>
        <v>0</v>
      </c>
      <c r="AB7" s="92">
        <f>+Z7+AA7</f>
        <v>690323.5675</v>
      </c>
      <c r="AC7" s="132"/>
      <c r="AE7" s="12">
        <f>+O7</f>
        <v>1</v>
      </c>
      <c r="AF7" s="337">
        <f>+P7</f>
        <v>520.125</v>
      </c>
      <c r="AG7" s="176">
        <f>+AG$4/$D$13*$D$14</f>
        <v>4679.3666666666668</v>
      </c>
      <c r="AI7" s="176">
        <f>+AI$4/$D$13*$D$14</f>
        <v>1169.8416666666665</v>
      </c>
    </row>
    <row r="8" spans="1:36" ht="28.5" x14ac:dyDescent="0.45">
      <c r="A8" s="4">
        <f>A7+1</f>
        <v>2</v>
      </c>
      <c r="B8" s="5" t="s">
        <v>3</v>
      </c>
      <c r="C8" s="156">
        <f>+'Summary Equip'!R7</f>
        <v>5.2999999999999999E-2</v>
      </c>
      <c r="D8" s="11"/>
      <c r="E8" s="107" t="s">
        <v>64</v>
      </c>
      <c r="F8" s="311">
        <f>+'Summary Equip'!D7</f>
        <v>0</v>
      </c>
      <c r="G8" s="380"/>
      <c r="H8" s="383">
        <f>+'Summary Equip'!C6</f>
        <v>1</v>
      </c>
      <c r="I8" s="54">
        <f>I7+1</f>
        <v>2</v>
      </c>
      <c r="J8" s="63">
        <f>+IF(M7&lt;0,,M7)</f>
        <v>726245.97489786509</v>
      </c>
      <c r="K8" s="63">
        <f t="shared" ref="K8:K54" si="1">J8*$C$8*30.44/365.25</f>
        <v>3207.8498459198458</v>
      </c>
      <c r="L8" s="63">
        <f>IF(M7&lt;0,,L7)</f>
        <v>-14009.626897699527</v>
      </c>
      <c r="M8" s="65">
        <f t="shared" si="0"/>
        <v>715444.19784608542</v>
      </c>
      <c r="O8" s="14">
        <f>O7+1</f>
        <v>2</v>
      </c>
      <c r="P8" s="54">
        <f>P7+$Q$4</f>
        <v>1040.25</v>
      </c>
      <c r="Q8" s="63">
        <f>$F$42+($Q$4*$G$42)</f>
        <v>31673.77203260977</v>
      </c>
      <c r="R8" s="77">
        <f t="shared" ref="R8:R66" si="2">+L8</f>
        <v>-14009.626897699527</v>
      </c>
      <c r="S8" s="63">
        <f>+IF(R8=0,,S7)</f>
        <v>-5849.208333333333</v>
      </c>
      <c r="T8" s="63"/>
      <c r="U8" s="63">
        <f>U7</f>
        <v>-1583.6886016304886</v>
      </c>
      <c r="V8" s="77">
        <f t="shared" ref="V8:V14" si="3">-(AB8*$C$9/12)</f>
        <v>-1414.0461145833333</v>
      </c>
      <c r="W8" s="83">
        <f t="shared" ref="W8:W66" si="4">SUM(Q8:V8)</f>
        <v>8817.2020853630893</v>
      </c>
      <c r="X8" s="85">
        <f>X7+W8</f>
        <v>17610.276186351177</v>
      </c>
      <c r="Z8" s="92">
        <f>+$D$27-(($D$27+$D$28)*O8/$B$22)</f>
        <v>678742.13500000001</v>
      </c>
      <c r="AA8" s="5">
        <f t="shared" ref="AA8:AA66" si="5">+Z8*$AA$5</f>
        <v>0</v>
      </c>
      <c r="AB8" s="92">
        <f t="shared" ref="AB8:AB66" si="6">+Z8+AA8</f>
        <v>678742.13500000001</v>
      </c>
      <c r="AE8" s="12">
        <f t="shared" ref="AE8:AF66" si="7">+O8</f>
        <v>2</v>
      </c>
      <c r="AF8" s="337">
        <f t="shared" si="7"/>
        <v>1040.25</v>
      </c>
      <c r="AG8" s="176">
        <f t="shared" ref="AG8:AG66" si="8">+AG$4/$D$13*$D$14</f>
        <v>4679.3666666666668</v>
      </c>
      <c r="AI8" s="176">
        <f t="shared" ref="AI8:AI66" si="9">+AI$4/$D$13*$D$14</f>
        <v>1169.8416666666665</v>
      </c>
    </row>
    <row r="9" spans="1:36" x14ac:dyDescent="0.45">
      <c r="A9" s="4">
        <f t="shared" ref="A9:A14" si="10">A8+1</f>
        <v>3</v>
      </c>
      <c r="B9" s="5" t="s">
        <v>4</v>
      </c>
      <c r="C9" s="157">
        <f>+'Summary Equip'!S7</f>
        <v>2.5000000000000001E-2</v>
      </c>
      <c r="D9" s="11"/>
      <c r="E9" s="338" t="s">
        <v>69</v>
      </c>
      <c r="F9" s="311">
        <f>'Summary Equip'!F8</f>
        <v>35095.25</v>
      </c>
      <c r="G9" s="381"/>
      <c r="H9" s="383">
        <f>+'Summary Equip'!E6</f>
        <v>1</v>
      </c>
      <c r="I9" s="54">
        <f t="shared" ref="I9:I66" si="11">I8+1</f>
        <v>3</v>
      </c>
      <c r="J9" s="63">
        <f t="shared" ref="J9:J66" si="12">+IF(M8&lt;0,,M8)</f>
        <v>715444.19784608542</v>
      </c>
      <c r="K9" s="63">
        <f t="shared" si="1"/>
        <v>3160.1380787653566</v>
      </c>
      <c r="L9" s="63">
        <f t="shared" ref="L9:L66" si="13">IF(M8&lt;0,,L8)</f>
        <v>-14009.626897699527</v>
      </c>
      <c r="M9" s="65">
        <f t="shared" si="0"/>
        <v>704594.70902715123</v>
      </c>
      <c r="O9" s="14">
        <f t="shared" ref="O9:O66" si="14">O8+1</f>
        <v>3</v>
      </c>
      <c r="P9" s="54">
        <f t="shared" ref="P9:P66" si="15">P8+$Q$4</f>
        <v>1560.375</v>
      </c>
      <c r="Q9" s="63">
        <f t="shared" ref="Q9:Q66" si="16">$F$42+($Q$4*$G$42)</f>
        <v>31673.77203260977</v>
      </c>
      <c r="R9" s="77">
        <f t="shared" si="2"/>
        <v>-14009.626897699527</v>
      </c>
      <c r="S9" s="63">
        <f t="shared" ref="S9:S62" si="17">+S8</f>
        <v>-5849.208333333333</v>
      </c>
      <c r="T9" s="63"/>
      <c r="U9" s="63">
        <f t="shared" ref="U9:U62" si="18">U8</f>
        <v>-1583.6886016304886</v>
      </c>
      <c r="V9" s="77">
        <f t="shared" si="3"/>
        <v>-1389.9181302083334</v>
      </c>
      <c r="W9" s="83">
        <f t="shared" si="4"/>
        <v>8841.3300697380873</v>
      </c>
      <c r="X9" s="85">
        <f t="shared" ref="X9:X62" si="19">X8+W9</f>
        <v>26451.606256089264</v>
      </c>
      <c r="Z9" s="92">
        <f t="shared" ref="Z9:Z66" si="20">+$D$27-(($D$27+$D$28)*O9/$B$22)</f>
        <v>667160.70250000001</v>
      </c>
      <c r="AA9" s="5">
        <f t="shared" si="5"/>
        <v>0</v>
      </c>
      <c r="AB9" s="92">
        <f t="shared" si="6"/>
        <v>667160.70250000001</v>
      </c>
      <c r="AE9" s="12">
        <f t="shared" si="7"/>
        <v>3</v>
      </c>
      <c r="AF9" s="337">
        <f t="shared" si="7"/>
        <v>1560.375</v>
      </c>
      <c r="AG9" s="176">
        <f t="shared" si="8"/>
        <v>4679.3666666666668</v>
      </c>
      <c r="AI9" s="176">
        <f t="shared" si="9"/>
        <v>1169.8416666666665</v>
      </c>
    </row>
    <row r="10" spans="1:36" ht="14.65" thickBot="1" x14ac:dyDescent="0.5">
      <c r="A10" s="4">
        <f t="shared" si="10"/>
        <v>4</v>
      </c>
      <c r="B10" s="5" t="s">
        <v>5</v>
      </c>
      <c r="C10" s="158">
        <f>+'Summary Equip'!T7</f>
        <v>0.05</v>
      </c>
      <c r="D10" s="11"/>
      <c r="E10" s="111" t="s">
        <v>52</v>
      </c>
      <c r="F10" s="312">
        <f>SUM(F7:F8)*G10</f>
        <v>0</v>
      </c>
      <c r="G10" s="382">
        <f>+'Summary Equip'!H7</f>
        <v>0</v>
      </c>
      <c r="H10" s="383">
        <f>+'Summary Equip'!G6</f>
        <v>0</v>
      </c>
      <c r="I10" s="54">
        <f t="shared" si="11"/>
        <v>4</v>
      </c>
      <c r="J10" s="63">
        <f t="shared" si="12"/>
        <v>704594.70902715123</v>
      </c>
      <c r="K10" s="63">
        <f t="shared" si="1"/>
        <v>3112.2155673310981</v>
      </c>
      <c r="L10" s="63">
        <f t="shared" si="13"/>
        <v>-14009.626897699527</v>
      </c>
      <c r="M10" s="65">
        <f t="shared" si="0"/>
        <v>693697.29769678274</v>
      </c>
      <c r="O10" s="14">
        <f t="shared" si="14"/>
        <v>4</v>
      </c>
      <c r="P10" s="54">
        <f t="shared" si="15"/>
        <v>2080.5</v>
      </c>
      <c r="Q10" s="63">
        <f t="shared" si="16"/>
        <v>31673.77203260977</v>
      </c>
      <c r="R10" s="77">
        <f t="shared" si="2"/>
        <v>-14009.626897699527</v>
      </c>
      <c r="S10" s="63">
        <f t="shared" si="17"/>
        <v>-5849.208333333333</v>
      </c>
      <c r="T10" s="63"/>
      <c r="U10" s="63">
        <f t="shared" si="18"/>
        <v>-1583.6886016304886</v>
      </c>
      <c r="V10" s="77">
        <f t="shared" si="3"/>
        <v>-1365.7901458333336</v>
      </c>
      <c r="W10" s="83">
        <f t="shared" si="4"/>
        <v>8865.458054113089</v>
      </c>
      <c r="X10" s="85">
        <f t="shared" si="19"/>
        <v>35317.064310202353</v>
      </c>
      <c r="Z10" s="92">
        <f t="shared" si="20"/>
        <v>655579.27</v>
      </c>
      <c r="AA10" s="5">
        <f t="shared" si="5"/>
        <v>0</v>
      </c>
      <c r="AB10" s="92">
        <f t="shared" si="6"/>
        <v>655579.27</v>
      </c>
      <c r="AE10" s="12">
        <f t="shared" si="7"/>
        <v>4</v>
      </c>
      <c r="AF10" s="337">
        <f t="shared" si="7"/>
        <v>2080.5</v>
      </c>
      <c r="AG10" s="176">
        <f t="shared" si="8"/>
        <v>4679.3666666666668</v>
      </c>
      <c r="AI10" s="176">
        <f t="shared" si="9"/>
        <v>1169.8416666666665</v>
      </c>
    </row>
    <row r="11" spans="1:36" ht="14.65" thickBot="1" x14ac:dyDescent="0.5">
      <c r="A11" s="4">
        <f t="shared" si="10"/>
        <v>5</v>
      </c>
      <c r="B11" s="5" t="s">
        <v>12</v>
      </c>
      <c r="C11" s="159">
        <f>+'Summary Equip'!U7</f>
        <v>0.01</v>
      </c>
      <c r="D11" s="11"/>
      <c r="E11" s="112" t="s">
        <v>28</v>
      </c>
      <c r="F11" s="313">
        <f>SUMPRODUCT(F7:F10,H7:H10)</f>
        <v>737000.25</v>
      </c>
      <c r="G11" s="113"/>
      <c r="H11" s="11"/>
      <c r="I11" s="14">
        <f t="shared" si="11"/>
        <v>5</v>
      </c>
      <c r="J11" s="63">
        <f t="shared" si="12"/>
        <v>693697.29769678274</v>
      </c>
      <c r="K11" s="63">
        <f t="shared" si="1"/>
        <v>3064.0813807533841</v>
      </c>
      <c r="L11" s="63">
        <f t="shared" si="13"/>
        <v>-14009.626897699527</v>
      </c>
      <c r="M11" s="65">
        <f t="shared" si="0"/>
        <v>682751.75217983662</v>
      </c>
      <c r="O11" s="14">
        <f t="shared" si="14"/>
        <v>5</v>
      </c>
      <c r="P11" s="54">
        <f t="shared" si="15"/>
        <v>2600.625</v>
      </c>
      <c r="Q11" s="63">
        <f t="shared" si="16"/>
        <v>31673.77203260977</v>
      </c>
      <c r="R11" s="77">
        <f t="shared" si="2"/>
        <v>-14009.626897699527</v>
      </c>
      <c r="S11" s="63">
        <f t="shared" si="17"/>
        <v>-5849.208333333333</v>
      </c>
      <c r="T11" s="63"/>
      <c r="U11" s="63">
        <f t="shared" si="18"/>
        <v>-1583.6886016304886</v>
      </c>
      <c r="V11" s="77">
        <f t="shared" si="3"/>
        <v>-1341.6621614583335</v>
      </c>
      <c r="W11" s="83">
        <f t="shared" si="4"/>
        <v>8889.5860384880889</v>
      </c>
      <c r="X11" s="85">
        <f t="shared" si="19"/>
        <v>44206.65034869044</v>
      </c>
      <c r="Z11" s="92">
        <f t="shared" si="20"/>
        <v>643997.83750000002</v>
      </c>
      <c r="AA11" s="5">
        <f t="shared" si="5"/>
        <v>0</v>
      </c>
      <c r="AB11" s="92">
        <f t="shared" si="6"/>
        <v>643997.83750000002</v>
      </c>
      <c r="AE11" s="12">
        <f t="shared" si="7"/>
        <v>5</v>
      </c>
      <c r="AF11" s="337">
        <f t="shared" si="7"/>
        <v>2600.625</v>
      </c>
      <c r="AG11" s="176">
        <f t="shared" si="8"/>
        <v>4679.3666666666668</v>
      </c>
      <c r="AI11" s="176">
        <f t="shared" si="9"/>
        <v>1169.8416666666665</v>
      </c>
    </row>
    <row r="12" spans="1:36" x14ac:dyDescent="0.45">
      <c r="A12" s="4">
        <f t="shared" si="10"/>
        <v>6</v>
      </c>
      <c r="B12" s="5" t="s">
        <v>13</v>
      </c>
      <c r="C12" s="160">
        <f>+'Summary Equip'!V7</f>
        <v>60</v>
      </c>
      <c r="D12" s="11"/>
      <c r="E12" s="11"/>
      <c r="F12" s="11"/>
      <c r="G12" s="11"/>
      <c r="H12" s="11"/>
      <c r="I12" s="14">
        <f t="shared" si="11"/>
        <v>6</v>
      </c>
      <c r="J12" s="63">
        <f t="shared" si="12"/>
        <v>682751.75217983662</v>
      </c>
      <c r="K12" s="63">
        <f t="shared" si="1"/>
        <v>3015.734584056876</v>
      </c>
      <c r="L12" s="63">
        <f t="shared" si="13"/>
        <v>-14009.626897699527</v>
      </c>
      <c r="M12" s="65">
        <f t="shared" si="0"/>
        <v>671757.85986619396</v>
      </c>
      <c r="O12" s="14">
        <f t="shared" si="14"/>
        <v>6</v>
      </c>
      <c r="P12" s="54">
        <f t="shared" si="15"/>
        <v>3120.75</v>
      </c>
      <c r="Q12" s="63">
        <f t="shared" si="16"/>
        <v>31673.77203260977</v>
      </c>
      <c r="R12" s="77">
        <f t="shared" si="2"/>
        <v>-14009.626897699527</v>
      </c>
      <c r="S12" s="63">
        <f t="shared" si="17"/>
        <v>-5849.208333333333</v>
      </c>
      <c r="T12" s="63"/>
      <c r="U12" s="63">
        <f t="shared" si="18"/>
        <v>-1583.6886016304886</v>
      </c>
      <c r="V12" s="77">
        <f t="shared" si="3"/>
        <v>-1317.5341770833336</v>
      </c>
      <c r="W12" s="83">
        <f t="shared" si="4"/>
        <v>8913.7140228630888</v>
      </c>
      <c r="X12" s="85">
        <f t="shared" si="19"/>
        <v>53120.364371553529</v>
      </c>
      <c r="Z12" s="92">
        <f t="shared" si="20"/>
        <v>632416.40500000003</v>
      </c>
      <c r="AA12" s="5">
        <f t="shared" si="5"/>
        <v>0</v>
      </c>
      <c r="AB12" s="92">
        <f t="shared" si="6"/>
        <v>632416.40500000003</v>
      </c>
      <c r="AE12" s="12">
        <f t="shared" si="7"/>
        <v>6</v>
      </c>
      <c r="AF12" s="337">
        <f t="shared" si="7"/>
        <v>3120.75</v>
      </c>
      <c r="AG12" s="176">
        <f t="shared" si="8"/>
        <v>4679.3666666666668</v>
      </c>
      <c r="AI12" s="176">
        <f t="shared" si="9"/>
        <v>1169.8416666666665</v>
      </c>
    </row>
    <row r="13" spans="1:36" x14ac:dyDescent="0.45">
      <c r="A13" s="4">
        <f t="shared" si="10"/>
        <v>7</v>
      </c>
      <c r="B13" s="5" t="s">
        <v>14</v>
      </c>
      <c r="C13" s="161">
        <f>+'Summary Equip'!W7</f>
        <v>20000</v>
      </c>
      <c r="D13" s="176">
        <f>+C13*C14</f>
        <v>18000</v>
      </c>
      <c r="E13" s="11"/>
      <c r="F13" s="11"/>
      <c r="G13" s="11"/>
      <c r="H13" s="11"/>
      <c r="I13" s="14">
        <f t="shared" si="11"/>
        <v>7</v>
      </c>
      <c r="J13" s="63">
        <f t="shared" si="12"/>
        <v>671757.85986619396</v>
      </c>
      <c r="K13" s="63">
        <f t="shared" si="1"/>
        <v>2967.174238136422</v>
      </c>
      <c r="L13" s="63">
        <f t="shared" si="13"/>
        <v>-14009.626897699527</v>
      </c>
      <c r="M13" s="65">
        <f t="shared" si="0"/>
        <v>660715.4072066308</v>
      </c>
      <c r="O13" s="14">
        <f t="shared" si="14"/>
        <v>7</v>
      </c>
      <c r="P13" s="54">
        <f t="shared" si="15"/>
        <v>3640.875</v>
      </c>
      <c r="Q13" s="63">
        <f t="shared" si="16"/>
        <v>31673.77203260977</v>
      </c>
      <c r="R13" s="77">
        <f t="shared" si="2"/>
        <v>-14009.626897699527</v>
      </c>
      <c r="S13" s="63">
        <f t="shared" si="17"/>
        <v>-5849.208333333333</v>
      </c>
      <c r="T13" s="63"/>
      <c r="U13" s="63">
        <f t="shared" si="18"/>
        <v>-1583.6886016304886</v>
      </c>
      <c r="V13" s="77">
        <f t="shared" si="3"/>
        <v>-1293.4061927083335</v>
      </c>
      <c r="W13" s="83">
        <f t="shared" si="4"/>
        <v>8937.8420072380886</v>
      </c>
      <c r="X13" s="85">
        <f t="shared" si="19"/>
        <v>62058.206378791619</v>
      </c>
      <c r="Z13" s="92">
        <f t="shared" si="20"/>
        <v>620834.97250000003</v>
      </c>
      <c r="AA13" s="5">
        <f t="shared" si="5"/>
        <v>0</v>
      </c>
      <c r="AB13" s="92">
        <f t="shared" si="6"/>
        <v>620834.97250000003</v>
      </c>
      <c r="AE13" s="12">
        <f t="shared" si="7"/>
        <v>7</v>
      </c>
      <c r="AF13" s="337">
        <f t="shared" si="7"/>
        <v>3640.875</v>
      </c>
      <c r="AG13" s="176">
        <f t="shared" si="8"/>
        <v>4679.3666666666668</v>
      </c>
      <c r="AI13" s="176">
        <f t="shared" si="9"/>
        <v>1169.8416666666665</v>
      </c>
    </row>
    <row r="14" spans="1:36" ht="14.65" thickBot="1" x14ac:dyDescent="0.5">
      <c r="A14" s="6">
        <f t="shared" si="10"/>
        <v>8</v>
      </c>
      <c r="B14" s="7" t="s">
        <v>33</v>
      </c>
      <c r="C14" s="162">
        <f>+'Summary Equip'!X7</f>
        <v>0.9</v>
      </c>
      <c r="D14" s="337">
        <f>+D13/C12</f>
        <v>300</v>
      </c>
      <c r="E14" s="11"/>
      <c r="F14" s="11"/>
      <c r="G14" s="11"/>
      <c r="H14" s="11"/>
      <c r="I14" s="14">
        <f t="shared" si="11"/>
        <v>8</v>
      </c>
      <c r="J14" s="63">
        <f t="shared" si="12"/>
        <v>660715.4072066308</v>
      </c>
      <c r="K14" s="63">
        <f t="shared" si="1"/>
        <v>2918.3993997388138</v>
      </c>
      <c r="L14" s="63">
        <f t="shared" si="13"/>
        <v>-14009.626897699527</v>
      </c>
      <c r="M14" s="65">
        <f t="shared" si="0"/>
        <v>649624.17970867001</v>
      </c>
      <c r="O14" s="14">
        <f t="shared" si="14"/>
        <v>8</v>
      </c>
      <c r="P14" s="54">
        <f t="shared" si="15"/>
        <v>4161</v>
      </c>
      <c r="Q14" s="63">
        <f t="shared" si="16"/>
        <v>31673.77203260977</v>
      </c>
      <c r="R14" s="77">
        <f t="shared" si="2"/>
        <v>-14009.626897699527</v>
      </c>
      <c r="S14" s="63">
        <f t="shared" si="17"/>
        <v>-5849.208333333333</v>
      </c>
      <c r="T14" s="63"/>
      <c r="U14" s="63">
        <f t="shared" si="18"/>
        <v>-1583.6886016304886</v>
      </c>
      <c r="V14" s="77">
        <f t="shared" si="3"/>
        <v>-1269.2782083333334</v>
      </c>
      <c r="W14" s="83">
        <f t="shared" si="4"/>
        <v>8961.9699916130885</v>
      </c>
      <c r="X14" s="85">
        <f t="shared" si="19"/>
        <v>71020.176370404704</v>
      </c>
      <c r="Z14" s="92">
        <f t="shared" si="20"/>
        <v>609253.54</v>
      </c>
      <c r="AA14" s="5">
        <f t="shared" si="5"/>
        <v>0</v>
      </c>
      <c r="AB14" s="92">
        <f t="shared" si="6"/>
        <v>609253.54</v>
      </c>
      <c r="AE14" s="12">
        <f t="shared" si="7"/>
        <v>8</v>
      </c>
      <c r="AF14" s="337">
        <f t="shared" si="7"/>
        <v>4161</v>
      </c>
      <c r="AG14" s="176">
        <f t="shared" si="8"/>
        <v>4679.3666666666668</v>
      </c>
      <c r="AI14" s="176">
        <f t="shared" si="9"/>
        <v>1169.8416666666665</v>
      </c>
    </row>
    <row r="15" spans="1:36" ht="14.65" thickBot="1" x14ac:dyDescent="0.5">
      <c r="C15" s="11"/>
      <c r="D15" s="11"/>
      <c r="E15" s="11"/>
      <c r="F15" s="11"/>
      <c r="G15" s="11"/>
      <c r="H15" s="11"/>
      <c r="I15" s="14">
        <f t="shared" si="11"/>
        <v>9</v>
      </c>
      <c r="J15" s="63">
        <f t="shared" si="12"/>
        <v>649624.17970867001</v>
      </c>
      <c r="K15" s="63">
        <f t="shared" si="1"/>
        <v>2869.4091214444666</v>
      </c>
      <c r="L15" s="63">
        <f t="shared" si="13"/>
        <v>-14009.626897699527</v>
      </c>
      <c r="M15" s="65">
        <f t="shared" si="0"/>
        <v>638483.96193241491</v>
      </c>
      <c r="O15" s="14">
        <f t="shared" si="14"/>
        <v>9</v>
      </c>
      <c r="P15" s="54">
        <f t="shared" si="15"/>
        <v>4681.125</v>
      </c>
      <c r="Q15" s="63">
        <f t="shared" si="16"/>
        <v>31673.77203260977</v>
      </c>
      <c r="R15" s="77">
        <f t="shared" si="2"/>
        <v>-14009.626897699527</v>
      </c>
      <c r="S15" s="63">
        <f t="shared" si="17"/>
        <v>-5849.208333333333</v>
      </c>
      <c r="T15" s="63"/>
      <c r="U15" s="63">
        <f t="shared" si="18"/>
        <v>-1583.6886016304886</v>
      </c>
      <c r="V15" s="77">
        <f>-(AB15*$C$9/12)</f>
        <v>-1245.1502239583335</v>
      </c>
      <c r="W15" s="83">
        <f t="shared" si="4"/>
        <v>8986.0979759880884</v>
      </c>
      <c r="X15" s="85">
        <f t="shared" si="19"/>
        <v>80006.274346392791</v>
      </c>
      <c r="Z15" s="92">
        <f t="shared" si="20"/>
        <v>597672.10750000004</v>
      </c>
      <c r="AA15" s="5">
        <f t="shared" si="5"/>
        <v>0</v>
      </c>
      <c r="AB15" s="92">
        <f t="shared" si="6"/>
        <v>597672.10750000004</v>
      </c>
      <c r="AE15" s="12">
        <f t="shared" si="7"/>
        <v>9</v>
      </c>
      <c r="AF15" s="337">
        <f t="shared" si="7"/>
        <v>4681.125</v>
      </c>
      <c r="AG15" s="176">
        <f t="shared" si="8"/>
        <v>4679.3666666666668</v>
      </c>
      <c r="AI15" s="176">
        <f t="shared" si="9"/>
        <v>1169.8416666666665</v>
      </c>
    </row>
    <row r="16" spans="1:36" ht="16.149999999999999" thickBot="1" x14ac:dyDescent="0.5">
      <c r="A16" s="661" t="s">
        <v>43</v>
      </c>
      <c r="B16" s="662"/>
      <c r="C16" s="662"/>
      <c r="D16" s="662"/>
      <c r="E16" s="663"/>
      <c r="F16" s="1"/>
      <c r="G16" s="1"/>
      <c r="H16" s="117"/>
      <c r="I16" s="14">
        <f t="shared" si="11"/>
        <v>10</v>
      </c>
      <c r="J16" s="63">
        <f t="shared" si="12"/>
        <v>638483.96193241491</v>
      </c>
      <c r="K16" s="63">
        <f t="shared" si="1"/>
        <v>2820.2024516490178</v>
      </c>
      <c r="L16" s="63">
        <f t="shared" si="13"/>
        <v>-14009.626897699527</v>
      </c>
      <c r="M16" s="65">
        <f t="shared" si="0"/>
        <v>627294.53748636437</v>
      </c>
      <c r="O16" s="14">
        <f t="shared" si="14"/>
        <v>10</v>
      </c>
      <c r="P16" s="54">
        <f t="shared" si="15"/>
        <v>5201.25</v>
      </c>
      <c r="Q16" s="63">
        <f t="shared" si="16"/>
        <v>31673.77203260977</v>
      </c>
      <c r="R16" s="77">
        <f t="shared" si="2"/>
        <v>-14009.626897699527</v>
      </c>
      <c r="S16" s="63">
        <f t="shared" si="17"/>
        <v>-5849.208333333333</v>
      </c>
      <c r="T16" s="63"/>
      <c r="U16" s="63">
        <f t="shared" si="18"/>
        <v>-1583.6886016304886</v>
      </c>
      <c r="V16" s="77">
        <f t="shared" ref="V16:V66" si="21">-(AB16*$C$9/12)</f>
        <v>-1221.0222395833334</v>
      </c>
      <c r="W16" s="83">
        <f t="shared" si="4"/>
        <v>9010.2259603630882</v>
      </c>
      <c r="X16" s="85">
        <f t="shared" si="19"/>
        <v>89016.500306755886</v>
      </c>
      <c r="Z16" s="92">
        <f t="shared" si="20"/>
        <v>586090.67500000005</v>
      </c>
      <c r="AA16" s="5">
        <f t="shared" si="5"/>
        <v>0</v>
      </c>
      <c r="AB16" s="92">
        <f t="shared" si="6"/>
        <v>586090.67500000005</v>
      </c>
      <c r="AE16" s="12">
        <f t="shared" si="7"/>
        <v>10</v>
      </c>
      <c r="AF16" s="337">
        <f t="shared" si="7"/>
        <v>5201.25</v>
      </c>
      <c r="AG16" s="176">
        <f t="shared" si="8"/>
        <v>4679.3666666666668</v>
      </c>
      <c r="AI16" s="176">
        <f t="shared" si="9"/>
        <v>1169.8416666666665</v>
      </c>
    </row>
    <row r="17" spans="1:35" ht="14.65" thickBot="1" x14ac:dyDescent="0.5">
      <c r="A17" s="97" t="s">
        <v>44</v>
      </c>
      <c r="B17" s="98" t="s">
        <v>48</v>
      </c>
      <c r="C17" s="98" t="s">
        <v>45</v>
      </c>
      <c r="D17" s="99" t="s">
        <v>46</v>
      </c>
      <c r="E17" s="55" t="s">
        <v>47</v>
      </c>
      <c r="F17" s="1"/>
      <c r="G17" s="1"/>
      <c r="H17" s="117"/>
      <c r="I17" s="14">
        <f t="shared" si="11"/>
        <v>11</v>
      </c>
      <c r="J17" s="63">
        <f t="shared" si="12"/>
        <v>627294.53748636437</v>
      </c>
      <c r="K17" s="63">
        <f t="shared" si="1"/>
        <v>2770.7784345448363</v>
      </c>
      <c r="L17" s="63">
        <f t="shared" si="13"/>
        <v>-14009.626897699527</v>
      </c>
      <c r="M17" s="65">
        <f t="shared" si="0"/>
        <v>616055.68902320962</v>
      </c>
      <c r="O17" s="14">
        <f t="shared" si="14"/>
        <v>11</v>
      </c>
      <c r="P17" s="54">
        <f t="shared" si="15"/>
        <v>5721.375</v>
      </c>
      <c r="Q17" s="63">
        <f t="shared" si="16"/>
        <v>31673.77203260977</v>
      </c>
      <c r="R17" s="77">
        <f t="shared" si="2"/>
        <v>-14009.626897699527</v>
      </c>
      <c r="S17" s="63">
        <f t="shared" si="17"/>
        <v>-5849.208333333333</v>
      </c>
      <c r="T17" s="63"/>
      <c r="U17" s="63">
        <f t="shared" si="18"/>
        <v>-1583.6886016304886</v>
      </c>
      <c r="V17" s="77">
        <f t="shared" si="21"/>
        <v>-1196.8942552083336</v>
      </c>
      <c r="W17" s="83">
        <f t="shared" si="4"/>
        <v>9034.3539447380881</v>
      </c>
      <c r="X17" s="85">
        <f t="shared" si="19"/>
        <v>98050.854251493976</v>
      </c>
      <c r="Z17" s="92">
        <f t="shared" si="20"/>
        <v>574509.24250000005</v>
      </c>
      <c r="AA17" s="5">
        <f t="shared" si="5"/>
        <v>0</v>
      </c>
      <c r="AB17" s="92">
        <f t="shared" si="6"/>
        <v>574509.24250000005</v>
      </c>
      <c r="AE17" s="12">
        <f t="shared" si="7"/>
        <v>11</v>
      </c>
      <c r="AF17" s="337">
        <f t="shared" si="7"/>
        <v>5721.375</v>
      </c>
      <c r="AG17" s="176">
        <f t="shared" si="8"/>
        <v>4679.3666666666668</v>
      </c>
      <c r="AI17" s="176">
        <f t="shared" si="9"/>
        <v>1169.8416666666665</v>
      </c>
    </row>
    <row r="18" spans="1:35" x14ac:dyDescent="0.45">
      <c r="A18" s="94">
        <v>1</v>
      </c>
      <c r="B18" s="95">
        <v>12</v>
      </c>
      <c r="C18" s="96">
        <f>D$27-(D$27+D$28)*B18/60</f>
        <v>562927.81000000006</v>
      </c>
      <c r="D18" s="100">
        <v>0.1</v>
      </c>
      <c r="E18" s="103">
        <f t="shared" ref="E18:E23" si="22">C18/(100%-D18)</f>
        <v>625475.34444444452</v>
      </c>
      <c r="F18" s="11"/>
      <c r="G18" s="11"/>
      <c r="H18" s="11"/>
      <c r="I18" s="14">
        <f t="shared" si="11"/>
        <v>12</v>
      </c>
      <c r="J18" s="63">
        <f t="shared" si="12"/>
        <v>616055.68902320962</v>
      </c>
      <c r="K18" s="63">
        <f t="shared" si="1"/>
        <v>2721.1361101024627</v>
      </c>
      <c r="L18" s="63">
        <f t="shared" si="13"/>
        <v>-14009.626897699527</v>
      </c>
      <c r="M18" s="65">
        <f t="shared" si="0"/>
        <v>604767.19823561248</v>
      </c>
      <c r="O18" s="14">
        <f t="shared" si="14"/>
        <v>12</v>
      </c>
      <c r="P18" s="54">
        <f t="shared" si="15"/>
        <v>6241.5</v>
      </c>
      <c r="Q18" s="63">
        <f t="shared" si="16"/>
        <v>31673.77203260977</v>
      </c>
      <c r="R18" s="77">
        <f t="shared" si="2"/>
        <v>-14009.626897699527</v>
      </c>
      <c r="S18" s="63">
        <f t="shared" si="17"/>
        <v>-5849.208333333333</v>
      </c>
      <c r="T18" s="63"/>
      <c r="U18" s="63">
        <f t="shared" si="18"/>
        <v>-1583.6886016304886</v>
      </c>
      <c r="V18" s="77">
        <f t="shared" si="21"/>
        <v>-1172.7662708333335</v>
      </c>
      <c r="W18" s="83">
        <f t="shared" si="4"/>
        <v>9058.481929113088</v>
      </c>
      <c r="X18" s="85">
        <f t="shared" si="19"/>
        <v>107109.33618060706</v>
      </c>
      <c r="Z18" s="92">
        <f t="shared" si="20"/>
        <v>562927.81000000006</v>
      </c>
      <c r="AA18" s="5">
        <f t="shared" si="5"/>
        <v>0</v>
      </c>
      <c r="AB18" s="92">
        <f t="shared" si="6"/>
        <v>562927.81000000006</v>
      </c>
      <c r="AE18" s="12">
        <f t="shared" si="7"/>
        <v>12</v>
      </c>
      <c r="AF18" s="337">
        <f t="shared" si="7"/>
        <v>6241.5</v>
      </c>
      <c r="AG18" s="176">
        <f t="shared" si="8"/>
        <v>4679.3666666666668</v>
      </c>
      <c r="AI18" s="176">
        <f t="shared" si="9"/>
        <v>1169.8416666666665</v>
      </c>
    </row>
    <row r="19" spans="1:35" x14ac:dyDescent="0.45">
      <c r="A19" s="4">
        <f>A18+1</f>
        <v>2</v>
      </c>
      <c r="B19" s="5">
        <f>B18+12</f>
        <v>24</v>
      </c>
      <c r="C19" s="92">
        <f>D$27-(D$27+D$28)*B19/60</f>
        <v>423950.62</v>
      </c>
      <c r="D19" s="101">
        <f>D18</f>
        <v>0.1</v>
      </c>
      <c r="E19" s="104">
        <f t="shared" si="22"/>
        <v>471056.24444444443</v>
      </c>
      <c r="F19" s="11"/>
      <c r="G19" s="11"/>
      <c r="H19" s="11"/>
      <c r="I19" s="14">
        <f t="shared" si="11"/>
        <v>13</v>
      </c>
      <c r="J19" s="63">
        <f t="shared" si="12"/>
        <v>604767.19823561248</v>
      </c>
      <c r="K19" s="63">
        <f t="shared" si="1"/>
        <v>2671.2745140519601</v>
      </c>
      <c r="L19" s="63">
        <f t="shared" si="13"/>
        <v>-14009.626897699527</v>
      </c>
      <c r="M19" s="65">
        <f t="shared" si="0"/>
        <v>593428.8458519649</v>
      </c>
      <c r="O19" s="14">
        <f t="shared" si="14"/>
        <v>13</v>
      </c>
      <c r="P19" s="54">
        <f t="shared" si="15"/>
        <v>6761.625</v>
      </c>
      <c r="Q19" s="63">
        <f t="shared" si="16"/>
        <v>31673.77203260977</v>
      </c>
      <c r="R19" s="77">
        <f t="shared" si="2"/>
        <v>-14009.626897699527</v>
      </c>
      <c r="S19" s="63">
        <f t="shared" si="17"/>
        <v>-5849.208333333333</v>
      </c>
      <c r="T19" s="63"/>
      <c r="U19" s="63">
        <f t="shared" si="18"/>
        <v>-1583.6886016304886</v>
      </c>
      <c r="V19" s="77">
        <f t="shared" si="21"/>
        <v>-1148.6382864583331</v>
      </c>
      <c r="W19" s="83">
        <f t="shared" si="4"/>
        <v>9082.6099134880878</v>
      </c>
      <c r="X19" s="85">
        <f t="shared" si="19"/>
        <v>116191.94609409515</v>
      </c>
      <c r="Z19" s="92">
        <f t="shared" si="20"/>
        <v>551346.37749999994</v>
      </c>
      <c r="AA19" s="5">
        <f t="shared" si="5"/>
        <v>0</v>
      </c>
      <c r="AB19" s="92">
        <f t="shared" si="6"/>
        <v>551346.37749999994</v>
      </c>
      <c r="AE19" s="12">
        <f t="shared" si="7"/>
        <v>13</v>
      </c>
      <c r="AF19" s="337">
        <f t="shared" si="7"/>
        <v>6761.625</v>
      </c>
      <c r="AG19" s="176">
        <f t="shared" si="8"/>
        <v>4679.3666666666668</v>
      </c>
      <c r="AI19" s="176">
        <f t="shared" si="9"/>
        <v>1169.8416666666665</v>
      </c>
    </row>
    <row r="20" spans="1:35" x14ac:dyDescent="0.45">
      <c r="A20" s="4">
        <f>A19+1</f>
        <v>3</v>
      </c>
      <c r="B20" s="5">
        <f>B19+12</f>
        <v>36</v>
      </c>
      <c r="C20" s="92">
        <f>D$27-(D$27+D$28)*B20/60</f>
        <v>284973.43</v>
      </c>
      <c r="D20" s="101">
        <f>D19</f>
        <v>0.1</v>
      </c>
      <c r="E20" s="104">
        <f t="shared" si="22"/>
        <v>316637.14444444445</v>
      </c>
      <c r="F20" s="11"/>
      <c r="G20" s="11"/>
      <c r="H20" s="11"/>
      <c r="I20" s="14">
        <f t="shared" si="11"/>
        <v>14</v>
      </c>
      <c r="J20" s="63">
        <f t="shared" si="12"/>
        <v>593428.8458519649</v>
      </c>
      <c r="K20" s="63">
        <f t="shared" si="1"/>
        <v>2621.192677864181</v>
      </c>
      <c r="L20" s="63">
        <f t="shared" si="13"/>
        <v>-14009.626897699527</v>
      </c>
      <c r="M20" s="65">
        <f t="shared" si="0"/>
        <v>582040.41163212957</v>
      </c>
      <c r="O20" s="14">
        <f t="shared" si="14"/>
        <v>14</v>
      </c>
      <c r="P20" s="54">
        <f t="shared" si="15"/>
        <v>7281.75</v>
      </c>
      <c r="Q20" s="63">
        <f t="shared" si="16"/>
        <v>31673.77203260977</v>
      </c>
      <c r="R20" s="77">
        <f t="shared" si="2"/>
        <v>-14009.626897699527</v>
      </c>
      <c r="S20" s="63">
        <f t="shared" si="17"/>
        <v>-5849.208333333333</v>
      </c>
      <c r="T20" s="63"/>
      <c r="U20" s="63">
        <f t="shared" si="18"/>
        <v>-1583.6886016304886</v>
      </c>
      <c r="V20" s="77">
        <f t="shared" si="21"/>
        <v>-1124.5103020833335</v>
      </c>
      <c r="W20" s="83">
        <f t="shared" si="4"/>
        <v>9106.7378978630877</v>
      </c>
      <c r="X20" s="85">
        <f t="shared" si="19"/>
        <v>125298.68399195824</v>
      </c>
      <c r="Z20" s="92">
        <f t="shared" si="20"/>
        <v>539764.94500000007</v>
      </c>
      <c r="AA20" s="5">
        <f t="shared" si="5"/>
        <v>0</v>
      </c>
      <c r="AB20" s="92">
        <f t="shared" si="6"/>
        <v>539764.94500000007</v>
      </c>
      <c r="AE20" s="12">
        <f t="shared" si="7"/>
        <v>14</v>
      </c>
      <c r="AF20" s="337">
        <f t="shared" si="7"/>
        <v>7281.75</v>
      </c>
      <c r="AG20" s="176">
        <f t="shared" si="8"/>
        <v>4679.3666666666668</v>
      </c>
      <c r="AI20" s="176">
        <f t="shared" si="9"/>
        <v>1169.8416666666665</v>
      </c>
    </row>
    <row r="21" spans="1:35" x14ac:dyDescent="0.45">
      <c r="A21" s="4">
        <f>A20+1</f>
        <v>4</v>
      </c>
      <c r="B21" s="5">
        <f>B20+12</f>
        <v>48</v>
      </c>
      <c r="C21" s="92">
        <f>D$27-(D$27+D$28)*B21/60</f>
        <v>145996.24</v>
      </c>
      <c r="D21" s="101">
        <f>D20</f>
        <v>0.1</v>
      </c>
      <c r="E21" s="104">
        <f t="shared" si="22"/>
        <v>162218.04444444444</v>
      </c>
      <c r="F21" s="11"/>
      <c r="G21" s="11"/>
      <c r="H21" s="11"/>
      <c r="I21" s="14">
        <f t="shared" si="11"/>
        <v>15</v>
      </c>
      <c r="J21" s="63">
        <f t="shared" si="12"/>
        <v>582040.41163212957</v>
      </c>
      <c r="K21" s="63">
        <f t="shared" si="1"/>
        <v>2570.8896287319571</v>
      </c>
      <c r="L21" s="63">
        <f t="shared" si="13"/>
        <v>-14009.626897699527</v>
      </c>
      <c r="M21" s="65">
        <f t="shared" si="0"/>
        <v>570601.67436316202</v>
      </c>
      <c r="O21" s="14">
        <f t="shared" si="14"/>
        <v>15</v>
      </c>
      <c r="P21" s="54">
        <f t="shared" si="15"/>
        <v>7801.875</v>
      </c>
      <c r="Q21" s="63">
        <f t="shared" si="16"/>
        <v>31673.77203260977</v>
      </c>
      <c r="R21" s="77">
        <f t="shared" si="2"/>
        <v>-14009.626897699527</v>
      </c>
      <c r="S21" s="63">
        <f t="shared" si="17"/>
        <v>-5849.208333333333</v>
      </c>
      <c r="T21" s="63"/>
      <c r="U21" s="63">
        <f t="shared" si="18"/>
        <v>-1583.6886016304886</v>
      </c>
      <c r="V21" s="77">
        <f t="shared" si="21"/>
        <v>-1100.3823177083334</v>
      </c>
      <c r="W21" s="83">
        <f t="shared" si="4"/>
        <v>9130.8658822380876</v>
      </c>
      <c r="X21" s="85">
        <f t="shared" si="19"/>
        <v>134429.54987419632</v>
      </c>
      <c r="Z21" s="92">
        <f t="shared" si="20"/>
        <v>528183.51249999995</v>
      </c>
      <c r="AA21" s="5">
        <f t="shared" si="5"/>
        <v>0</v>
      </c>
      <c r="AB21" s="92">
        <f t="shared" si="6"/>
        <v>528183.51249999995</v>
      </c>
      <c r="AE21" s="12">
        <f t="shared" si="7"/>
        <v>15</v>
      </c>
      <c r="AF21" s="337">
        <f t="shared" si="7"/>
        <v>7801.875</v>
      </c>
      <c r="AG21" s="176">
        <f t="shared" si="8"/>
        <v>4679.3666666666668</v>
      </c>
      <c r="AI21" s="176">
        <f t="shared" si="9"/>
        <v>1169.8416666666665</v>
      </c>
    </row>
    <row r="22" spans="1:35" x14ac:dyDescent="0.45">
      <c r="A22" s="4">
        <f>A21+1</f>
        <v>5</v>
      </c>
      <c r="B22" s="5">
        <f>B21+12</f>
        <v>60</v>
      </c>
      <c r="C22" s="92">
        <f>D$27-(D$27+D$28)*B22/60</f>
        <v>7019.0500000000466</v>
      </c>
      <c r="D22" s="101">
        <f>D21</f>
        <v>0.1</v>
      </c>
      <c r="E22" s="104">
        <f t="shared" si="22"/>
        <v>7798.9444444444962</v>
      </c>
      <c r="F22" s="11"/>
      <c r="G22" s="11"/>
      <c r="H22" s="11"/>
      <c r="I22" s="14">
        <f t="shared" si="11"/>
        <v>16</v>
      </c>
      <c r="J22" s="63">
        <f t="shared" si="12"/>
        <v>570601.67436316202</v>
      </c>
      <c r="K22" s="63">
        <f t="shared" si="1"/>
        <v>2520.3643895512018</v>
      </c>
      <c r="L22" s="63">
        <f t="shared" si="13"/>
        <v>-14009.626897699527</v>
      </c>
      <c r="M22" s="65">
        <f t="shared" si="0"/>
        <v>559112.41185501369</v>
      </c>
      <c r="O22" s="14">
        <f t="shared" si="14"/>
        <v>16</v>
      </c>
      <c r="P22" s="54">
        <f t="shared" si="15"/>
        <v>8322</v>
      </c>
      <c r="Q22" s="63">
        <f t="shared" si="16"/>
        <v>31673.77203260977</v>
      </c>
      <c r="R22" s="77">
        <f t="shared" si="2"/>
        <v>-14009.626897699527</v>
      </c>
      <c r="S22" s="63">
        <f t="shared" si="17"/>
        <v>-5849.208333333333</v>
      </c>
      <c r="T22" s="63"/>
      <c r="U22" s="63">
        <f t="shared" si="18"/>
        <v>-1583.6886016304886</v>
      </c>
      <c r="V22" s="77">
        <f t="shared" si="21"/>
        <v>-1076.2543333333335</v>
      </c>
      <c r="W22" s="83">
        <f t="shared" si="4"/>
        <v>9154.9938666130874</v>
      </c>
      <c r="X22" s="85">
        <f t="shared" si="19"/>
        <v>143584.5437408094</v>
      </c>
      <c r="Z22" s="92">
        <f t="shared" si="20"/>
        <v>516602.08</v>
      </c>
      <c r="AA22" s="5">
        <f t="shared" si="5"/>
        <v>0</v>
      </c>
      <c r="AB22" s="92">
        <f t="shared" si="6"/>
        <v>516602.08</v>
      </c>
      <c r="AE22" s="12">
        <f t="shared" si="7"/>
        <v>16</v>
      </c>
      <c r="AF22" s="337">
        <f t="shared" si="7"/>
        <v>8322</v>
      </c>
      <c r="AG22" s="176">
        <f t="shared" si="8"/>
        <v>4679.3666666666668</v>
      </c>
      <c r="AI22" s="176">
        <f t="shared" si="9"/>
        <v>1169.8416666666665</v>
      </c>
    </row>
    <row r="23" spans="1:35" ht="14.65" thickBot="1" x14ac:dyDescent="0.5">
      <c r="A23" s="6">
        <f>A22+1</f>
        <v>6</v>
      </c>
      <c r="B23" s="7">
        <f>B22+12</f>
        <v>72</v>
      </c>
      <c r="C23" s="93">
        <v>1</v>
      </c>
      <c r="D23" s="102">
        <f>D22</f>
        <v>0.1</v>
      </c>
      <c r="E23" s="105">
        <f t="shared" si="22"/>
        <v>1.1111111111111112</v>
      </c>
      <c r="H23" s="11"/>
      <c r="I23" s="14">
        <f t="shared" si="11"/>
        <v>17</v>
      </c>
      <c r="J23" s="63">
        <f t="shared" si="12"/>
        <v>559112.41185501369</v>
      </c>
      <c r="K23" s="63">
        <f t="shared" si="1"/>
        <v>2469.6159789019321</v>
      </c>
      <c r="L23" s="63">
        <f t="shared" si="13"/>
        <v>-14009.626897699527</v>
      </c>
      <c r="M23" s="65">
        <f t="shared" si="0"/>
        <v>547572.40093621612</v>
      </c>
      <c r="O23" s="14">
        <f t="shared" si="14"/>
        <v>17</v>
      </c>
      <c r="P23" s="54">
        <f t="shared" si="15"/>
        <v>8842.125</v>
      </c>
      <c r="Q23" s="63">
        <f t="shared" si="16"/>
        <v>31673.77203260977</v>
      </c>
      <c r="R23" s="77">
        <f t="shared" si="2"/>
        <v>-14009.626897699527</v>
      </c>
      <c r="S23" s="63">
        <f t="shared" si="17"/>
        <v>-5849.208333333333</v>
      </c>
      <c r="T23" s="63"/>
      <c r="U23" s="63">
        <f t="shared" si="18"/>
        <v>-1583.6886016304886</v>
      </c>
      <c r="V23" s="77">
        <f t="shared" si="21"/>
        <v>-1052.1263489583334</v>
      </c>
      <c r="W23" s="83">
        <f t="shared" si="4"/>
        <v>9179.1218509880891</v>
      </c>
      <c r="X23" s="85">
        <f t="shared" si="19"/>
        <v>152763.6655917975</v>
      </c>
      <c r="Z23" s="92">
        <f t="shared" si="20"/>
        <v>505020.64750000002</v>
      </c>
      <c r="AA23" s="5">
        <f t="shared" si="5"/>
        <v>0</v>
      </c>
      <c r="AB23" s="92">
        <f t="shared" si="6"/>
        <v>505020.64750000002</v>
      </c>
      <c r="AE23" s="12">
        <f t="shared" si="7"/>
        <v>17</v>
      </c>
      <c r="AF23" s="337">
        <f t="shared" si="7"/>
        <v>8842.125</v>
      </c>
      <c r="AG23" s="176">
        <f t="shared" si="8"/>
        <v>4679.3666666666668</v>
      </c>
      <c r="AI23" s="176">
        <f t="shared" si="9"/>
        <v>1169.8416666666665</v>
      </c>
    </row>
    <row r="24" spans="1:35" ht="14.65" thickBot="1" x14ac:dyDescent="0.5">
      <c r="H24" s="11"/>
      <c r="I24" s="14">
        <f>I23+1</f>
        <v>18</v>
      </c>
      <c r="J24" s="63">
        <f t="shared" si="12"/>
        <v>547572.40093621612</v>
      </c>
      <c r="K24" s="63">
        <f t="shared" si="1"/>
        <v>2418.6434110292025</v>
      </c>
      <c r="L24" s="63">
        <f t="shared" si="13"/>
        <v>-14009.626897699527</v>
      </c>
      <c r="M24" s="65">
        <f t="shared" si="0"/>
        <v>535981.41744954581</v>
      </c>
      <c r="O24" s="14">
        <f>O23+1</f>
        <v>18</v>
      </c>
      <c r="P24" s="54">
        <f t="shared" si="15"/>
        <v>9362.25</v>
      </c>
      <c r="Q24" s="63">
        <f t="shared" si="16"/>
        <v>31673.77203260977</v>
      </c>
      <c r="R24" s="77">
        <f t="shared" si="2"/>
        <v>-14009.626897699527</v>
      </c>
      <c r="S24" s="63">
        <f t="shared" si="17"/>
        <v>-5849.208333333333</v>
      </c>
      <c r="T24" s="63"/>
      <c r="U24" s="63">
        <f t="shared" si="18"/>
        <v>-1583.6886016304886</v>
      </c>
      <c r="V24" s="77">
        <f t="shared" si="21"/>
        <v>-1027.9983645833333</v>
      </c>
      <c r="W24" s="83">
        <f t="shared" si="4"/>
        <v>9203.249835363089</v>
      </c>
      <c r="X24" s="85">
        <f t="shared" si="19"/>
        <v>161966.91542716059</v>
      </c>
      <c r="Z24" s="92">
        <f t="shared" si="20"/>
        <v>493439.21499999997</v>
      </c>
      <c r="AA24" s="5">
        <f t="shared" si="5"/>
        <v>0</v>
      </c>
      <c r="AB24" s="92">
        <f t="shared" si="6"/>
        <v>493439.21499999997</v>
      </c>
      <c r="AE24" s="12">
        <f t="shared" si="7"/>
        <v>18</v>
      </c>
      <c r="AF24" s="337">
        <f t="shared" si="7"/>
        <v>9362.25</v>
      </c>
      <c r="AG24" s="176">
        <f t="shared" si="8"/>
        <v>4679.3666666666668</v>
      </c>
      <c r="AI24" s="176">
        <f t="shared" si="9"/>
        <v>1169.8416666666665</v>
      </c>
    </row>
    <row r="25" spans="1:35" ht="32.25" customHeight="1" thickBot="1" x14ac:dyDescent="0.5">
      <c r="A25" s="664" t="s">
        <v>21</v>
      </c>
      <c r="B25" s="665"/>
      <c r="C25" s="665"/>
      <c r="D25" s="665"/>
      <c r="E25" s="665"/>
      <c r="F25" s="665"/>
      <c r="G25" s="666"/>
      <c r="H25" s="11"/>
      <c r="I25" s="14">
        <f t="shared" si="11"/>
        <v>19</v>
      </c>
      <c r="J25" s="63">
        <f t="shared" si="12"/>
        <v>535981.41744954581</v>
      </c>
      <c r="K25" s="63">
        <f t="shared" si="1"/>
        <v>2367.4456958239598</v>
      </c>
      <c r="L25" s="63">
        <f t="shared" si="13"/>
        <v>-14009.626897699527</v>
      </c>
      <c r="M25" s="65">
        <f t="shared" si="0"/>
        <v>524339.23624767025</v>
      </c>
      <c r="O25" s="14">
        <f t="shared" si="14"/>
        <v>19</v>
      </c>
      <c r="P25" s="54">
        <f t="shared" si="15"/>
        <v>9882.375</v>
      </c>
      <c r="Q25" s="63">
        <f t="shared" si="16"/>
        <v>31673.77203260977</v>
      </c>
      <c r="R25" s="77">
        <f t="shared" si="2"/>
        <v>-14009.626897699527</v>
      </c>
      <c r="S25" s="63">
        <f t="shared" si="17"/>
        <v>-5849.208333333333</v>
      </c>
      <c r="T25" s="63"/>
      <c r="U25" s="63">
        <f t="shared" si="18"/>
        <v>-1583.6886016304886</v>
      </c>
      <c r="V25" s="77">
        <f t="shared" si="21"/>
        <v>-1003.8703802083334</v>
      </c>
      <c r="W25" s="83">
        <f t="shared" si="4"/>
        <v>9227.3778197380889</v>
      </c>
      <c r="X25" s="85">
        <f t="shared" si="19"/>
        <v>171194.29324689868</v>
      </c>
      <c r="Z25" s="92">
        <f t="shared" si="20"/>
        <v>481857.78250000003</v>
      </c>
      <c r="AA25" s="5">
        <f t="shared" si="5"/>
        <v>0</v>
      </c>
      <c r="AB25" s="92">
        <f t="shared" si="6"/>
        <v>481857.78250000003</v>
      </c>
      <c r="AE25" s="12">
        <f t="shared" si="7"/>
        <v>19</v>
      </c>
      <c r="AF25" s="337">
        <f t="shared" si="7"/>
        <v>9882.375</v>
      </c>
      <c r="AG25" s="176">
        <f t="shared" si="8"/>
        <v>4679.3666666666668</v>
      </c>
      <c r="AI25" s="176">
        <f t="shared" si="9"/>
        <v>1169.8416666666665</v>
      </c>
    </row>
    <row r="26" spans="1:35" ht="28.9" thickBot="1" x14ac:dyDescent="0.5">
      <c r="A26" s="26" t="s">
        <v>0</v>
      </c>
      <c r="B26" s="27" t="s">
        <v>1</v>
      </c>
      <c r="C26" s="43" t="s">
        <v>22</v>
      </c>
      <c r="D26" s="43" t="s">
        <v>10</v>
      </c>
      <c r="E26" s="43" t="s">
        <v>23</v>
      </c>
      <c r="F26" s="43" t="s">
        <v>24</v>
      </c>
      <c r="G26" s="44" t="s">
        <v>25</v>
      </c>
      <c r="H26" s="11"/>
      <c r="I26" s="14">
        <f t="shared" si="11"/>
        <v>20</v>
      </c>
      <c r="J26" s="63">
        <f t="shared" si="12"/>
        <v>524339.23624767025</v>
      </c>
      <c r="K26" s="63">
        <f t="shared" si="1"/>
        <v>2316.0218388038093</v>
      </c>
      <c r="L26" s="63">
        <f t="shared" si="13"/>
        <v>-14009.626897699527</v>
      </c>
      <c r="M26" s="65">
        <f t="shared" si="0"/>
        <v>512645.63118877448</v>
      </c>
      <c r="O26" s="14">
        <f t="shared" si="14"/>
        <v>20</v>
      </c>
      <c r="P26" s="54">
        <f t="shared" si="15"/>
        <v>10402.5</v>
      </c>
      <c r="Q26" s="63">
        <f t="shared" si="16"/>
        <v>31673.77203260977</v>
      </c>
      <c r="R26" s="77">
        <f t="shared" si="2"/>
        <v>-14009.626897699527</v>
      </c>
      <c r="S26" s="63">
        <f t="shared" si="17"/>
        <v>-5849.208333333333</v>
      </c>
      <c r="T26" s="63"/>
      <c r="U26" s="63">
        <f t="shared" si="18"/>
        <v>-1583.6886016304886</v>
      </c>
      <c r="V26" s="77">
        <f t="shared" si="21"/>
        <v>-979.74239583333338</v>
      </c>
      <c r="W26" s="83">
        <f t="shared" si="4"/>
        <v>9251.5058041130887</v>
      </c>
      <c r="X26" s="85">
        <f t="shared" si="19"/>
        <v>180445.79905101177</v>
      </c>
      <c r="Z26" s="92">
        <f t="shared" si="20"/>
        <v>470276.35</v>
      </c>
      <c r="AA26" s="5">
        <f t="shared" si="5"/>
        <v>0</v>
      </c>
      <c r="AB26" s="92">
        <f t="shared" si="6"/>
        <v>470276.35</v>
      </c>
      <c r="AE26" s="12">
        <f t="shared" si="7"/>
        <v>20</v>
      </c>
      <c r="AF26" s="337">
        <f t="shared" si="7"/>
        <v>10402.5</v>
      </c>
      <c r="AG26" s="176">
        <f t="shared" si="8"/>
        <v>4679.3666666666668</v>
      </c>
      <c r="AI26" s="176">
        <f t="shared" si="9"/>
        <v>1169.8416666666665</v>
      </c>
    </row>
    <row r="27" spans="1:35" x14ac:dyDescent="0.45">
      <c r="A27" s="8">
        <v>1</v>
      </c>
      <c r="B27" s="9" t="s">
        <v>16</v>
      </c>
      <c r="C27" s="48">
        <v>1</v>
      </c>
      <c r="D27" s="153">
        <f>+F7</f>
        <v>701905</v>
      </c>
      <c r="E27" s="342">
        <f>+'Summary Equip'!AE7</f>
        <v>0.8</v>
      </c>
      <c r="F27" s="62">
        <f>E27*D27</f>
        <v>561524</v>
      </c>
      <c r="G27" s="60">
        <f>D27-F27</f>
        <v>140381</v>
      </c>
      <c r="H27" s="11"/>
      <c r="I27" s="14">
        <f t="shared" si="11"/>
        <v>21</v>
      </c>
      <c r="J27" s="63">
        <f t="shared" si="12"/>
        <v>512645.63118877448</v>
      </c>
      <c r="K27" s="63">
        <f t="shared" si="1"/>
        <v>2264.3708410936993</v>
      </c>
      <c r="L27" s="63">
        <f t="shared" si="13"/>
        <v>-14009.626897699527</v>
      </c>
      <c r="M27" s="65">
        <f t="shared" si="0"/>
        <v>500900.37513216864</v>
      </c>
      <c r="O27" s="14">
        <f t="shared" si="14"/>
        <v>21</v>
      </c>
      <c r="P27" s="54">
        <f t="shared" si="15"/>
        <v>10922.625</v>
      </c>
      <c r="Q27" s="63">
        <f t="shared" si="16"/>
        <v>31673.77203260977</v>
      </c>
      <c r="R27" s="77">
        <f t="shared" si="2"/>
        <v>-14009.626897699527</v>
      </c>
      <c r="S27" s="63">
        <f t="shared" si="17"/>
        <v>-5849.208333333333</v>
      </c>
      <c r="T27" s="63"/>
      <c r="U27" s="63">
        <f t="shared" si="18"/>
        <v>-1583.6886016304886</v>
      </c>
      <c r="V27" s="77">
        <f t="shared" si="21"/>
        <v>-955.61441145833339</v>
      </c>
      <c r="W27" s="83">
        <f t="shared" si="4"/>
        <v>9275.6337884880886</v>
      </c>
      <c r="X27" s="85">
        <f t="shared" si="19"/>
        <v>189721.43283949984</v>
      </c>
      <c r="Z27" s="92">
        <f t="shared" si="20"/>
        <v>458694.91749999998</v>
      </c>
      <c r="AA27" s="5">
        <f t="shared" si="5"/>
        <v>0</v>
      </c>
      <c r="AB27" s="92">
        <f t="shared" si="6"/>
        <v>458694.91749999998</v>
      </c>
      <c r="AE27" s="12">
        <f t="shared" si="7"/>
        <v>21</v>
      </c>
      <c r="AF27" s="337">
        <f t="shared" si="7"/>
        <v>10922.625</v>
      </c>
      <c r="AG27" s="176">
        <f t="shared" si="8"/>
        <v>4679.3666666666668</v>
      </c>
      <c r="AI27" s="176">
        <f t="shared" si="9"/>
        <v>1169.8416666666665</v>
      </c>
    </row>
    <row r="28" spans="1:35" x14ac:dyDescent="0.45">
      <c r="A28" s="4">
        <f>A27+1</f>
        <v>2</v>
      </c>
      <c r="B28" s="5" t="s">
        <v>12</v>
      </c>
      <c r="C28" s="19">
        <f>C11</f>
        <v>0.01</v>
      </c>
      <c r="D28" s="300">
        <f>-C28*D27</f>
        <v>-7019.05</v>
      </c>
      <c r="E28" s="23">
        <f>+E27</f>
        <v>0.8</v>
      </c>
      <c r="F28" s="63">
        <f t="shared" ref="F28:F33" si="23">E28*D28</f>
        <v>-5615.2400000000007</v>
      </c>
      <c r="G28" s="65">
        <f>D28-F28</f>
        <v>-1403.8099999999995</v>
      </c>
      <c r="H28" s="11"/>
      <c r="I28" s="14">
        <f t="shared" si="11"/>
        <v>22</v>
      </c>
      <c r="J28" s="63">
        <f t="shared" si="12"/>
        <v>500900.37513216864</v>
      </c>
      <c r="K28" s="63">
        <f t="shared" si="1"/>
        <v>2212.491699406517</v>
      </c>
      <c r="L28" s="63">
        <f t="shared" si="13"/>
        <v>-14009.626897699527</v>
      </c>
      <c r="M28" s="65">
        <f t="shared" si="0"/>
        <v>489103.23993387562</v>
      </c>
      <c r="O28" s="14">
        <f t="shared" si="14"/>
        <v>22</v>
      </c>
      <c r="P28" s="54">
        <f t="shared" si="15"/>
        <v>11442.75</v>
      </c>
      <c r="Q28" s="63">
        <f t="shared" si="16"/>
        <v>31673.77203260977</v>
      </c>
      <c r="R28" s="77">
        <f t="shared" si="2"/>
        <v>-14009.626897699527</v>
      </c>
      <c r="S28" s="63">
        <f t="shared" si="17"/>
        <v>-5849.208333333333</v>
      </c>
      <c r="T28" s="63"/>
      <c r="U28" s="63">
        <f t="shared" si="18"/>
        <v>-1583.6886016304886</v>
      </c>
      <c r="V28" s="77">
        <f t="shared" si="21"/>
        <v>-931.4864270833333</v>
      </c>
      <c r="W28" s="83">
        <f t="shared" si="4"/>
        <v>9299.7617728630885</v>
      </c>
      <c r="X28" s="85">
        <f t="shared" si="19"/>
        <v>199021.19461236295</v>
      </c>
      <c r="Z28" s="92">
        <f t="shared" si="20"/>
        <v>447113.48499999999</v>
      </c>
      <c r="AA28" s="5">
        <f t="shared" si="5"/>
        <v>0</v>
      </c>
      <c r="AB28" s="92">
        <f t="shared" si="6"/>
        <v>447113.48499999999</v>
      </c>
      <c r="AE28" s="12">
        <f t="shared" si="7"/>
        <v>22</v>
      </c>
      <c r="AF28" s="337">
        <f t="shared" si="7"/>
        <v>11442.75</v>
      </c>
      <c r="AG28" s="176">
        <f t="shared" si="8"/>
        <v>4679.3666666666668</v>
      </c>
      <c r="AI28" s="176">
        <f t="shared" si="9"/>
        <v>1169.8416666666665</v>
      </c>
    </row>
    <row r="29" spans="1:35" x14ac:dyDescent="0.45">
      <c r="A29" s="4">
        <f t="shared" ref="A29:A34" si="24">A28+1</f>
        <v>3</v>
      </c>
      <c r="B29" s="5" t="s">
        <v>17</v>
      </c>
      <c r="C29" s="24">
        <f>C8</f>
        <v>5.2999999999999999E-2</v>
      </c>
      <c r="D29" s="63">
        <f>K67</f>
        <v>98858.115071256791</v>
      </c>
      <c r="E29" s="23">
        <v>1</v>
      </c>
      <c r="F29" s="63">
        <f t="shared" si="23"/>
        <v>98858.115071256791</v>
      </c>
      <c r="G29" s="65">
        <f>D29-F29</f>
        <v>0</v>
      </c>
      <c r="H29" s="11"/>
      <c r="I29" s="14">
        <f t="shared" si="11"/>
        <v>23</v>
      </c>
      <c r="J29" s="63">
        <f t="shared" si="12"/>
        <v>489103.23993387562</v>
      </c>
      <c r="K29" s="63">
        <f t="shared" si="1"/>
        <v>2160.3834060236009</v>
      </c>
      <c r="L29" s="63">
        <f t="shared" si="13"/>
        <v>-14009.626897699527</v>
      </c>
      <c r="M29" s="65">
        <f t="shared" si="0"/>
        <v>477253.99644219968</v>
      </c>
      <c r="O29" s="14">
        <f t="shared" si="14"/>
        <v>23</v>
      </c>
      <c r="P29" s="54">
        <f t="shared" si="15"/>
        <v>11962.875</v>
      </c>
      <c r="Q29" s="63">
        <f t="shared" si="16"/>
        <v>31673.77203260977</v>
      </c>
      <c r="R29" s="77">
        <f t="shared" si="2"/>
        <v>-14009.626897699527</v>
      </c>
      <c r="S29" s="63">
        <f t="shared" si="17"/>
        <v>-5849.208333333333</v>
      </c>
      <c r="T29" s="63"/>
      <c r="U29" s="63">
        <f t="shared" si="18"/>
        <v>-1583.6886016304886</v>
      </c>
      <c r="V29" s="77">
        <f t="shared" si="21"/>
        <v>-907.35844270833331</v>
      </c>
      <c r="W29" s="83">
        <f t="shared" si="4"/>
        <v>9323.8897572380884</v>
      </c>
      <c r="X29" s="85">
        <f t="shared" si="19"/>
        <v>208345.08436960104</v>
      </c>
      <c r="Z29" s="92">
        <f t="shared" si="20"/>
        <v>435532.05249999999</v>
      </c>
      <c r="AA29" s="5">
        <f t="shared" si="5"/>
        <v>0</v>
      </c>
      <c r="AB29" s="92">
        <f t="shared" si="6"/>
        <v>435532.05249999999</v>
      </c>
      <c r="AE29" s="12">
        <f t="shared" si="7"/>
        <v>23</v>
      </c>
      <c r="AF29" s="337">
        <f t="shared" si="7"/>
        <v>11962.875</v>
      </c>
      <c r="AG29" s="176">
        <f t="shared" si="8"/>
        <v>4679.3666666666668</v>
      </c>
      <c r="AI29" s="176">
        <f t="shared" si="9"/>
        <v>1169.8416666666665</v>
      </c>
    </row>
    <row r="30" spans="1:35" x14ac:dyDescent="0.45">
      <c r="A30" s="4">
        <f t="shared" si="24"/>
        <v>4</v>
      </c>
      <c r="B30" s="5" t="s">
        <v>6</v>
      </c>
      <c r="C30" s="23">
        <f>C9</f>
        <v>2.5000000000000001E-2</v>
      </c>
      <c r="D30" s="63">
        <f>-V67</f>
        <v>41815.990375000001</v>
      </c>
      <c r="E30" s="23">
        <v>1</v>
      </c>
      <c r="F30" s="63">
        <f t="shared" si="23"/>
        <v>41815.990375000001</v>
      </c>
      <c r="G30" s="65">
        <f>D30-F30</f>
        <v>0</v>
      </c>
      <c r="H30" s="11"/>
      <c r="I30" s="14">
        <f t="shared" si="11"/>
        <v>24</v>
      </c>
      <c r="J30" s="63">
        <f t="shared" si="12"/>
        <v>477253.99644219968</v>
      </c>
      <c r="K30" s="63">
        <f t="shared" si="1"/>
        <v>2108.0449487751666</v>
      </c>
      <c r="L30" s="63">
        <f t="shared" si="13"/>
        <v>-14009.626897699527</v>
      </c>
      <c r="M30" s="65">
        <f t="shared" si="0"/>
        <v>465352.41449327528</v>
      </c>
      <c r="O30" s="14">
        <f t="shared" si="14"/>
        <v>24</v>
      </c>
      <c r="P30" s="54">
        <f t="shared" si="15"/>
        <v>12483</v>
      </c>
      <c r="Q30" s="63">
        <f t="shared" si="16"/>
        <v>31673.77203260977</v>
      </c>
      <c r="R30" s="77">
        <f t="shared" si="2"/>
        <v>-14009.626897699527</v>
      </c>
      <c r="S30" s="63">
        <f t="shared" si="17"/>
        <v>-5849.208333333333</v>
      </c>
      <c r="T30" s="63"/>
      <c r="U30" s="63">
        <f t="shared" si="18"/>
        <v>-1583.6886016304886</v>
      </c>
      <c r="V30" s="77">
        <f t="shared" si="21"/>
        <v>-883.23045833333344</v>
      </c>
      <c r="W30" s="83">
        <f t="shared" si="4"/>
        <v>9348.0177416130882</v>
      </c>
      <c r="X30" s="85">
        <f t="shared" si="19"/>
        <v>217693.10211121413</v>
      </c>
      <c r="Z30" s="92">
        <f t="shared" si="20"/>
        <v>423950.62</v>
      </c>
      <c r="AA30" s="5">
        <f t="shared" si="5"/>
        <v>0</v>
      </c>
      <c r="AB30" s="92">
        <f t="shared" si="6"/>
        <v>423950.62</v>
      </c>
      <c r="AE30" s="12">
        <f t="shared" si="7"/>
        <v>24</v>
      </c>
      <c r="AF30" s="337">
        <f t="shared" si="7"/>
        <v>12483</v>
      </c>
      <c r="AG30" s="176">
        <f t="shared" si="8"/>
        <v>4679.3666666666668</v>
      </c>
      <c r="AI30" s="176">
        <f t="shared" si="9"/>
        <v>1169.8416666666665</v>
      </c>
    </row>
    <row r="31" spans="1:35" x14ac:dyDescent="0.45">
      <c r="A31" s="4">
        <f t="shared" si="24"/>
        <v>5</v>
      </c>
      <c r="B31" s="5" t="s">
        <v>27</v>
      </c>
      <c r="C31" s="334">
        <f>+'Summary Equip'!AH7</f>
        <v>0.5</v>
      </c>
      <c r="D31" s="63">
        <f>D27*C31</f>
        <v>350952.5</v>
      </c>
      <c r="E31" s="334">
        <f>+ASSUMPTIONS!B43</f>
        <v>0.1</v>
      </c>
      <c r="F31" s="63">
        <f t="shared" si="23"/>
        <v>35095.25</v>
      </c>
      <c r="G31" s="65">
        <f>D31</f>
        <v>350952.5</v>
      </c>
      <c r="H31" s="11"/>
      <c r="I31" s="14">
        <f t="shared" si="11"/>
        <v>25</v>
      </c>
      <c r="J31" s="63">
        <f t="shared" si="12"/>
        <v>465352.41449327528</v>
      </c>
      <c r="K31" s="63">
        <f t="shared" si="1"/>
        <v>2055.4753110206461</v>
      </c>
      <c r="L31" s="63">
        <f t="shared" si="13"/>
        <v>-14009.626897699527</v>
      </c>
      <c r="M31" s="65">
        <f t="shared" si="0"/>
        <v>453398.26290659636</v>
      </c>
      <c r="O31" s="14">
        <f t="shared" si="14"/>
        <v>25</v>
      </c>
      <c r="P31" s="54">
        <f t="shared" si="15"/>
        <v>13003.125</v>
      </c>
      <c r="Q31" s="63">
        <f t="shared" si="16"/>
        <v>31673.77203260977</v>
      </c>
      <c r="R31" s="77">
        <f t="shared" si="2"/>
        <v>-14009.626897699527</v>
      </c>
      <c r="S31" s="63">
        <f t="shared" si="17"/>
        <v>-5849.208333333333</v>
      </c>
      <c r="T31" s="63"/>
      <c r="U31" s="63">
        <f t="shared" si="18"/>
        <v>-1583.6886016304886</v>
      </c>
      <c r="V31" s="77">
        <f t="shared" si="21"/>
        <v>-859.10247395833346</v>
      </c>
      <c r="W31" s="83">
        <f t="shared" si="4"/>
        <v>9372.1457259880881</v>
      </c>
      <c r="X31" s="85">
        <f t="shared" si="19"/>
        <v>227065.24783720222</v>
      </c>
      <c r="Z31" s="92">
        <f t="shared" si="20"/>
        <v>412369.1875</v>
      </c>
      <c r="AA31" s="5">
        <f t="shared" si="5"/>
        <v>0</v>
      </c>
      <c r="AB31" s="92">
        <f t="shared" si="6"/>
        <v>412369.1875</v>
      </c>
      <c r="AE31" s="12">
        <f t="shared" si="7"/>
        <v>25</v>
      </c>
      <c r="AF31" s="337">
        <f t="shared" si="7"/>
        <v>13003.125</v>
      </c>
      <c r="AG31" s="176">
        <f t="shared" si="8"/>
        <v>4679.3666666666668</v>
      </c>
      <c r="AI31" s="176">
        <f t="shared" si="9"/>
        <v>1169.8416666666665</v>
      </c>
    </row>
    <row r="32" spans="1:35" x14ac:dyDescent="0.45">
      <c r="A32" s="4">
        <f t="shared" si="24"/>
        <v>6</v>
      </c>
      <c r="B32" s="5" t="s">
        <v>26</v>
      </c>
      <c r="C32" s="335">
        <f>+'Summary Equip'!AI7</f>
        <v>0.15</v>
      </c>
      <c r="D32" s="63">
        <f>D27*C32</f>
        <v>105285.75</v>
      </c>
      <c r="E32" s="334">
        <f>+ASSUMPTIONS!B44</f>
        <v>0.05</v>
      </c>
      <c r="F32" s="63">
        <f t="shared" si="23"/>
        <v>5264.2875000000004</v>
      </c>
      <c r="G32" s="65">
        <f>D32</f>
        <v>105285.75</v>
      </c>
      <c r="H32" s="11"/>
      <c r="I32" s="14">
        <f t="shared" si="11"/>
        <v>26</v>
      </c>
      <c r="J32" s="63">
        <f t="shared" si="12"/>
        <v>453398.26290659636</v>
      </c>
      <c r="K32" s="63">
        <f t="shared" si="1"/>
        <v>2002.6734716289395</v>
      </c>
      <c r="L32" s="63">
        <f t="shared" si="13"/>
        <v>-14009.626897699527</v>
      </c>
      <c r="M32" s="65">
        <f t="shared" si="0"/>
        <v>441391.30948052573</v>
      </c>
      <c r="O32" s="14">
        <f t="shared" si="14"/>
        <v>26</v>
      </c>
      <c r="P32" s="54">
        <f t="shared" si="15"/>
        <v>13523.25</v>
      </c>
      <c r="Q32" s="63">
        <f t="shared" si="16"/>
        <v>31673.77203260977</v>
      </c>
      <c r="R32" s="77">
        <f t="shared" si="2"/>
        <v>-14009.626897699527</v>
      </c>
      <c r="S32" s="63">
        <f t="shared" si="17"/>
        <v>-5849.208333333333</v>
      </c>
      <c r="T32" s="63"/>
      <c r="U32" s="63">
        <f t="shared" si="18"/>
        <v>-1583.6886016304886</v>
      </c>
      <c r="V32" s="77">
        <f t="shared" si="21"/>
        <v>-834.97448958333337</v>
      </c>
      <c r="W32" s="83">
        <f t="shared" si="4"/>
        <v>9396.273710363088</v>
      </c>
      <c r="X32" s="85">
        <f t="shared" si="19"/>
        <v>236461.52154756529</v>
      </c>
      <c r="Z32" s="92">
        <f t="shared" si="20"/>
        <v>400787.755</v>
      </c>
      <c r="AA32" s="5">
        <f t="shared" si="5"/>
        <v>0</v>
      </c>
      <c r="AB32" s="92">
        <f t="shared" si="6"/>
        <v>400787.755</v>
      </c>
      <c r="AE32" s="12">
        <f t="shared" si="7"/>
        <v>26</v>
      </c>
      <c r="AF32" s="337">
        <f t="shared" si="7"/>
        <v>13523.25</v>
      </c>
      <c r="AG32" s="176">
        <f t="shared" si="8"/>
        <v>4679.3666666666668</v>
      </c>
      <c r="AI32" s="176">
        <f t="shared" si="9"/>
        <v>1169.8416666666665</v>
      </c>
    </row>
    <row r="33" spans="1:35" ht="14.65" thickBot="1" x14ac:dyDescent="0.5">
      <c r="A33" s="6">
        <f t="shared" si="24"/>
        <v>7</v>
      </c>
      <c r="B33" s="7" t="s">
        <v>32</v>
      </c>
      <c r="C33" s="336">
        <f>+'Summary Equip'!AJ7</f>
        <v>0.03</v>
      </c>
      <c r="D33" s="64">
        <f>D27*C33</f>
        <v>21057.149999999998</v>
      </c>
      <c r="E33" s="334">
        <f>+ASSUMPTIONS!B45</f>
        <v>0</v>
      </c>
      <c r="F33" s="64">
        <f t="shared" si="23"/>
        <v>0</v>
      </c>
      <c r="G33" s="66">
        <f>D33</f>
        <v>21057.149999999998</v>
      </c>
      <c r="H33" s="11"/>
      <c r="I33" s="14">
        <f t="shared" si="11"/>
        <v>27</v>
      </c>
      <c r="J33" s="63">
        <f t="shared" si="12"/>
        <v>441391.30948052573</v>
      </c>
      <c r="K33" s="63">
        <f t="shared" si="1"/>
        <v>1949.6384049585813</v>
      </c>
      <c r="L33" s="63">
        <f t="shared" si="13"/>
        <v>-14009.626897699527</v>
      </c>
      <c r="M33" s="65">
        <f t="shared" si="0"/>
        <v>429331.32098778477</v>
      </c>
      <c r="O33" s="14">
        <f t="shared" si="14"/>
        <v>27</v>
      </c>
      <c r="P33" s="54">
        <f t="shared" si="15"/>
        <v>14043.375</v>
      </c>
      <c r="Q33" s="63">
        <f t="shared" si="16"/>
        <v>31673.77203260977</v>
      </c>
      <c r="R33" s="77">
        <f t="shared" si="2"/>
        <v>-14009.626897699527</v>
      </c>
      <c r="S33" s="63">
        <f t="shared" si="17"/>
        <v>-5849.208333333333</v>
      </c>
      <c r="T33" s="63"/>
      <c r="U33" s="63">
        <f t="shared" si="18"/>
        <v>-1583.6886016304886</v>
      </c>
      <c r="V33" s="77">
        <f t="shared" si="21"/>
        <v>-810.84650520833338</v>
      </c>
      <c r="W33" s="83">
        <f t="shared" si="4"/>
        <v>9420.4016947380878</v>
      </c>
      <c r="X33" s="85">
        <f t="shared" si="19"/>
        <v>245881.92324230337</v>
      </c>
      <c r="Z33" s="92">
        <f t="shared" si="20"/>
        <v>389206.32250000001</v>
      </c>
      <c r="AA33" s="5">
        <f t="shared" si="5"/>
        <v>0</v>
      </c>
      <c r="AB33" s="92">
        <f t="shared" si="6"/>
        <v>389206.32250000001</v>
      </c>
      <c r="AE33" s="12">
        <f t="shared" si="7"/>
        <v>27</v>
      </c>
      <c r="AF33" s="337">
        <f t="shared" si="7"/>
        <v>14043.375</v>
      </c>
      <c r="AG33" s="176">
        <f t="shared" si="8"/>
        <v>4679.3666666666668</v>
      </c>
      <c r="AI33" s="176">
        <f t="shared" si="9"/>
        <v>1169.8416666666665</v>
      </c>
    </row>
    <row r="34" spans="1:35" ht="14.65" thickBot="1" x14ac:dyDescent="0.5">
      <c r="A34" s="33">
        <f t="shared" si="24"/>
        <v>8</v>
      </c>
      <c r="B34" s="30" t="s">
        <v>8</v>
      </c>
      <c r="C34" s="45"/>
      <c r="D34" s="46"/>
      <c r="E34" s="47"/>
      <c r="F34" s="67">
        <f>SUM(F27:F33)</f>
        <v>736942.4029462568</v>
      </c>
      <c r="G34" s="68">
        <f>SUM(G27:G33)</f>
        <v>616272.59</v>
      </c>
      <c r="H34" s="11"/>
      <c r="I34" s="14">
        <f t="shared" si="11"/>
        <v>28</v>
      </c>
      <c r="J34" s="63">
        <f t="shared" si="12"/>
        <v>429331.32098778477</v>
      </c>
      <c r="K34" s="63">
        <f t="shared" si="1"/>
        <v>1896.3690808378176</v>
      </c>
      <c r="L34" s="63">
        <f t="shared" si="13"/>
        <v>-14009.626897699527</v>
      </c>
      <c r="M34" s="65">
        <f t="shared" si="0"/>
        <v>417218.06317092304</v>
      </c>
      <c r="O34" s="14">
        <f t="shared" si="14"/>
        <v>28</v>
      </c>
      <c r="P34" s="54">
        <f t="shared" si="15"/>
        <v>14563.5</v>
      </c>
      <c r="Q34" s="63">
        <f t="shared" si="16"/>
        <v>31673.77203260977</v>
      </c>
      <c r="R34" s="77">
        <f t="shared" si="2"/>
        <v>-14009.626897699527</v>
      </c>
      <c r="S34" s="63">
        <f t="shared" si="17"/>
        <v>-5849.208333333333</v>
      </c>
      <c r="T34" s="63"/>
      <c r="U34" s="63">
        <f t="shared" si="18"/>
        <v>-1583.6886016304886</v>
      </c>
      <c r="V34" s="77">
        <f t="shared" si="21"/>
        <v>-786.7185208333334</v>
      </c>
      <c r="W34" s="83">
        <f t="shared" si="4"/>
        <v>9444.5296791130877</v>
      </c>
      <c r="X34" s="85">
        <f t="shared" si="19"/>
        <v>255326.45292141646</v>
      </c>
      <c r="Z34" s="92">
        <f t="shared" si="20"/>
        <v>377624.89</v>
      </c>
      <c r="AA34" s="5">
        <f t="shared" si="5"/>
        <v>0</v>
      </c>
      <c r="AB34" s="92">
        <f t="shared" si="6"/>
        <v>377624.89</v>
      </c>
      <c r="AE34" s="12">
        <f t="shared" si="7"/>
        <v>28</v>
      </c>
      <c r="AF34" s="337">
        <f t="shared" si="7"/>
        <v>14563.5</v>
      </c>
      <c r="AG34" s="176">
        <f t="shared" si="8"/>
        <v>4679.3666666666668</v>
      </c>
      <c r="AI34" s="176">
        <f t="shared" si="9"/>
        <v>1169.8416666666665</v>
      </c>
    </row>
    <row r="35" spans="1:35" ht="14.65" thickBot="1" x14ac:dyDescent="0.5">
      <c r="A35" s="31">
        <f>A34+1</f>
        <v>9</v>
      </c>
      <c r="B35" s="32" t="s">
        <v>7</v>
      </c>
      <c r="C35" s="42">
        <f>+C10</f>
        <v>0.05</v>
      </c>
      <c r="D35" s="22"/>
      <c r="E35" s="34"/>
      <c r="F35" s="69">
        <f>F36-F34</f>
        <v>38786.442260329379</v>
      </c>
      <c r="G35" s="70">
        <f>G36-G34</f>
        <v>32435.399473684258</v>
      </c>
      <c r="H35" s="11"/>
      <c r="I35" s="14">
        <f t="shared" si="11"/>
        <v>29</v>
      </c>
      <c r="J35" s="63">
        <f t="shared" si="12"/>
        <v>417218.06317092304</v>
      </c>
      <c r="K35" s="63">
        <f t="shared" si="1"/>
        <v>1842.8644645445954</v>
      </c>
      <c r="L35" s="63">
        <f t="shared" si="13"/>
        <v>-14009.626897699527</v>
      </c>
      <c r="M35" s="65">
        <f t="shared" si="0"/>
        <v>405051.30073776806</v>
      </c>
      <c r="O35" s="14">
        <f t="shared" si="14"/>
        <v>29</v>
      </c>
      <c r="P35" s="54">
        <f t="shared" si="15"/>
        <v>15083.625</v>
      </c>
      <c r="Q35" s="63">
        <f t="shared" si="16"/>
        <v>31673.77203260977</v>
      </c>
      <c r="R35" s="77">
        <f t="shared" si="2"/>
        <v>-14009.626897699527</v>
      </c>
      <c r="S35" s="63">
        <f t="shared" si="17"/>
        <v>-5849.208333333333</v>
      </c>
      <c r="T35" s="63"/>
      <c r="U35" s="63">
        <f t="shared" si="18"/>
        <v>-1583.6886016304886</v>
      </c>
      <c r="V35" s="77">
        <f t="shared" si="21"/>
        <v>-762.59053645833353</v>
      </c>
      <c r="W35" s="83">
        <f t="shared" si="4"/>
        <v>9468.6576634880876</v>
      </c>
      <c r="X35" s="85">
        <f t="shared" si="19"/>
        <v>264795.11058490456</v>
      </c>
      <c r="Z35" s="92">
        <f t="shared" si="20"/>
        <v>366043.45750000008</v>
      </c>
      <c r="AA35" s="5">
        <f t="shared" si="5"/>
        <v>0</v>
      </c>
      <c r="AB35" s="92">
        <f t="shared" si="6"/>
        <v>366043.45750000008</v>
      </c>
      <c r="AE35" s="12">
        <f t="shared" si="7"/>
        <v>29</v>
      </c>
      <c r="AF35" s="337">
        <f t="shared" si="7"/>
        <v>15083.625</v>
      </c>
      <c r="AG35" s="176">
        <f t="shared" si="8"/>
        <v>4679.3666666666668</v>
      </c>
      <c r="AI35" s="176">
        <f t="shared" si="9"/>
        <v>1169.8416666666665</v>
      </c>
    </row>
    <row r="36" spans="1:35" ht="14.65" thickBot="1" x14ac:dyDescent="0.5">
      <c r="A36" s="37">
        <f>A35+1</f>
        <v>10</v>
      </c>
      <c r="B36" s="38" t="s">
        <v>28</v>
      </c>
      <c r="C36" s="39"/>
      <c r="D36" s="40"/>
      <c r="E36" s="41"/>
      <c r="F36" s="71">
        <f>F34/(100%-C35)</f>
        <v>775728.84520658618</v>
      </c>
      <c r="G36" s="72">
        <f>G34/(100%-C35)</f>
        <v>648707.98947368423</v>
      </c>
      <c r="H36" s="11"/>
      <c r="I36" s="14">
        <f t="shared" si="11"/>
        <v>30</v>
      </c>
      <c r="J36" s="63">
        <f t="shared" si="12"/>
        <v>405051.30073776806</v>
      </c>
      <c r="K36" s="63">
        <f t="shared" si="1"/>
        <v>1789.1235167864638</v>
      </c>
      <c r="L36" s="63">
        <f t="shared" si="13"/>
        <v>-14009.626897699527</v>
      </c>
      <c r="M36" s="65">
        <f t="shared" si="0"/>
        <v>392830.79735685495</v>
      </c>
      <c r="O36" s="14">
        <f t="shared" si="14"/>
        <v>30</v>
      </c>
      <c r="P36" s="54">
        <f t="shared" si="15"/>
        <v>15603.75</v>
      </c>
      <c r="Q36" s="63">
        <f t="shared" si="16"/>
        <v>31673.77203260977</v>
      </c>
      <c r="R36" s="77">
        <f t="shared" si="2"/>
        <v>-14009.626897699527</v>
      </c>
      <c r="S36" s="63">
        <f t="shared" si="17"/>
        <v>-5849.208333333333</v>
      </c>
      <c r="T36" s="63">
        <f>-T68*0.5</f>
        <v>-52642.875</v>
      </c>
      <c r="U36" s="63">
        <f t="shared" si="18"/>
        <v>-1583.6886016304886</v>
      </c>
      <c r="V36" s="77">
        <f t="shared" si="21"/>
        <v>-738.46255208333343</v>
      </c>
      <c r="W36" s="83">
        <f t="shared" si="4"/>
        <v>-43150.089352136907</v>
      </c>
      <c r="X36" s="85">
        <f t="shared" si="19"/>
        <v>221645.02123276764</v>
      </c>
      <c r="Z36" s="92">
        <f t="shared" si="20"/>
        <v>354462.02500000002</v>
      </c>
      <c r="AA36" s="5">
        <f t="shared" si="5"/>
        <v>0</v>
      </c>
      <c r="AB36" s="92">
        <f t="shared" si="6"/>
        <v>354462.02500000002</v>
      </c>
      <c r="AE36" s="12">
        <f t="shared" si="7"/>
        <v>30</v>
      </c>
      <c r="AF36" s="337">
        <f t="shared" si="7"/>
        <v>15603.75</v>
      </c>
      <c r="AG36" s="176">
        <f t="shared" si="8"/>
        <v>4679.3666666666668</v>
      </c>
      <c r="AI36" s="176">
        <f t="shared" si="9"/>
        <v>1169.8416666666665</v>
      </c>
    </row>
    <row r="37" spans="1:35" x14ac:dyDescent="0.45">
      <c r="C37" s="11"/>
      <c r="D37" s="11"/>
      <c r="E37" s="11"/>
      <c r="F37" s="11"/>
      <c r="G37" s="11"/>
      <c r="H37" s="11"/>
      <c r="I37" s="14">
        <f t="shared" si="11"/>
        <v>31</v>
      </c>
      <c r="J37" s="63">
        <f t="shared" si="12"/>
        <v>392830.79735685495</v>
      </c>
      <c r="K37" s="63">
        <f t="shared" si="1"/>
        <v>1735.1451936803865</v>
      </c>
      <c r="L37" s="63">
        <f t="shared" si="13"/>
        <v>-14009.626897699527</v>
      </c>
      <c r="M37" s="65">
        <f t="shared" si="0"/>
        <v>380556.31565283576</v>
      </c>
      <c r="O37" s="14">
        <f t="shared" si="14"/>
        <v>31</v>
      </c>
      <c r="P37" s="54">
        <f t="shared" si="15"/>
        <v>16123.875</v>
      </c>
      <c r="Q37" s="63">
        <f t="shared" si="16"/>
        <v>31673.77203260977</v>
      </c>
      <c r="R37" s="77">
        <f t="shared" si="2"/>
        <v>-14009.626897699527</v>
      </c>
      <c r="S37" s="63">
        <f t="shared" si="17"/>
        <v>-5849.208333333333</v>
      </c>
      <c r="T37" s="63"/>
      <c r="U37" s="63">
        <f t="shared" si="18"/>
        <v>-1583.6886016304886</v>
      </c>
      <c r="V37" s="77">
        <f t="shared" si="21"/>
        <v>-714.33456770833345</v>
      </c>
      <c r="W37" s="83">
        <f t="shared" si="4"/>
        <v>9516.9136322380873</v>
      </c>
      <c r="X37" s="85">
        <f t="shared" si="19"/>
        <v>231161.93486500572</v>
      </c>
      <c r="Z37" s="92">
        <f t="shared" si="20"/>
        <v>342880.59250000003</v>
      </c>
      <c r="AA37" s="5">
        <f t="shared" si="5"/>
        <v>0</v>
      </c>
      <c r="AB37" s="92">
        <f t="shared" si="6"/>
        <v>342880.59250000003</v>
      </c>
      <c r="AE37" s="12">
        <f t="shared" si="7"/>
        <v>31</v>
      </c>
      <c r="AF37" s="337">
        <f t="shared" si="7"/>
        <v>16123.875</v>
      </c>
      <c r="AG37" s="176">
        <f t="shared" si="8"/>
        <v>4679.3666666666668</v>
      </c>
      <c r="AI37" s="176">
        <f t="shared" si="9"/>
        <v>1169.8416666666665</v>
      </c>
    </row>
    <row r="38" spans="1:35" x14ac:dyDescent="0.45">
      <c r="C38" s="11"/>
      <c r="D38" s="11"/>
      <c r="E38" s="11"/>
      <c r="F38" s="11"/>
      <c r="G38" s="11"/>
      <c r="H38" s="11"/>
      <c r="I38" s="14">
        <f t="shared" si="11"/>
        <v>32</v>
      </c>
      <c r="J38" s="63">
        <f t="shared" si="12"/>
        <v>380556.31565283576</v>
      </c>
      <c r="K38" s="63">
        <f t="shared" si="1"/>
        <v>1680.9284467324655</v>
      </c>
      <c r="L38" s="63">
        <f t="shared" si="13"/>
        <v>-14009.626897699527</v>
      </c>
      <c r="M38" s="65">
        <f t="shared" si="0"/>
        <v>368227.61720186868</v>
      </c>
      <c r="O38" s="14">
        <f t="shared" si="14"/>
        <v>32</v>
      </c>
      <c r="P38" s="54">
        <f t="shared" si="15"/>
        <v>16644</v>
      </c>
      <c r="Q38" s="63">
        <f t="shared" si="16"/>
        <v>31673.77203260977</v>
      </c>
      <c r="R38" s="77">
        <f t="shared" si="2"/>
        <v>-14009.626897699527</v>
      </c>
      <c r="S38" s="63">
        <f t="shared" si="17"/>
        <v>-5849.208333333333</v>
      </c>
      <c r="T38" s="63"/>
      <c r="U38" s="63">
        <f t="shared" si="18"/>
        <v>-1583.6886016304886</v>
      </c>
      <c r="V38" s="77">
        <f t="shared" si="21"/>
        <v>-690.20658333333347</v>
      </c>
      <c r="W38" s="83">
        <f t="shared" si="4"/>
        <v>9541.041616613089</v>
      </c>
      <c r="X38" s="85">
        <f t="shared" si="19"/>
        <v>240702.97648161883</v>
      </c>
      <c r="Z38" s="92">
        <f t="shared" si="20"/>
        <v>331299.16000000003</v>
      </c>
      <c r="AA38" s="5">
        <f t="shared" si="5"/>
        <v>0</v>
      </c>
      <c r="AB38" s="92">
        <f t="shared" si="6"/>
        <v>331299.16000000003</v>
      </c>
      <c r="AE38" s="12">
        <f t="shared" si="7"/>
        <v>32</v>
      </c>
      <c r="AF38" s="337">
        <f t="shared" si="7"/>
        <v>16644</v>
      </c>
      <c r="AG38" s="176">
        <f t="shared" si="8"/>
        <v>4679.3666666666668</v>
      </c>
      <c r="AI38" s="176">
        <f t="shared" si="9"/>
        <v>1169.8416666666665</v>
      </c>
    </row>
    <row r="39" spans="1:35" x14ac:dyDescent="0.45">
      <c r="C39" s="11"/>
      <c r="D39" s="11"/>
      <c r="E39" s="11"/>
      <c r="F39" s="11"/>
      <c r="G39" s="11"/>
      <c r="H39" s="11"/>
      <c r="I39" s="14">
        <f t="shared" si="11"/>
        <v>33</v>
      </c>
      <c r="J39" s="63">
        <f t="shared" si="12"/>
        <v>368227.61720186868</v>
      </c>
      <c r="K39" s="63">
        <f t="shared" si="1"/>
        <v>1626.4722228175738</v>
      </c>
      <c r="L39" s="63">
        <f t="shared" si="13"/>
        <v>-14009.626897699527</v>
      </c>
      <c r="M39" s="65">
        <f t="shared" si="0"/>
        <v>355844.46252698672</v>
      </c>
      <c r="O39" s="14">
        <f t="shared" si="14"/>
        <v>33</v>
      </c>
      <c r="P39" s="54">
        <f t="shared" si="15"/>
        <v>17164.125</v>
      </c>
      <c r="Q39" s="63">
        <f t="shared" si="16"/>
        <v>31673.77203260977</v>
      </c>
      <c r="R39" s="77">
        <f t="shared" si="2"/>
        <v>-14009.626897699527</v>
      </c>
      <c r="S39" s="63">
        <f t="shared" si="17"/>
        <v>-5849.208333333333</v>
      </c>
      <c r="T39" s="63"/>
      <c r="U39" s="63">
        <f t="shared" si="18"/>
        <v>-1583.6886016304886</v>
      </c>
      <c r="V39" s="77">
        <f t="shared" si="21"/>
        <v>-666.07859895833337</v>
      </c>
      <c r="W39" s="83">
        <f t="shared" si="4"/>
        <v>9565.1696009880889</v>
      </c>
      <c r="X39" s="85">
        <f t="shared" si="19"/>
        <v>250268.14608260692</v>
      </c>
      <c r="Z39" s="92">
        <f t="shared" si="20"/>
        <v>319717.72750000004</v>
      </c>
      <c r="AA39" s="5">
        <f t="shared" si="5"/>
        <v>0</v>
      </c>
      <c r="AB39" s="92">
        <f t="shared" si="6"/>
        <v>319717.72750000004</v>
      </c>
      <c r="AE39" s="12">
        <f t="shared" si="7"/>
        <v>33</v>
      </c>
      <c r="AF39" s="337">
        <f t="shared" si="7"/>
        <v>17164.125</v>
      </c>
      <c r="AG39" s="176">
        <f t="shared" si="8"/>
        <v>4679.3666666666668</v>
      </c>
      <c r="AI39" s="176">
        <f t="shared" si="9"/>
        <v>1169.8416666666665</v>
      </c>
    </row>
    <row r="40" spans="1:35" ht="14.65" thickBot="1" x14ac:dyDescent="0.5">
      <c r="C40" s="11"/>
      <c r="D40" s="11"/>
      <c r="E40" s="11"/>
      <c r="F40" s="11"/>
      <c r="G40" s="11"/>
      <c r="H40" s="11"/>
      <c r="I40" s="14">
        <f t="shared" si="11"/>
        <v>34</v>
      </c>
      <c r="J40" s="63">
        <f t="shared" si="12"/>
        <v>355844.46252698672</v>
      </c>
      <c r="K40" s="63">
        <f t="shared" si="1"/>
        <v>1571.7754641589001</v>
      </c>
      <c r="L40" s="63">
        <f t="shared" si="13"/>
        <v>-14009.626897699527</v>
      </c>
      <c r="M40" s="65">
        <f t="shared" si="0"/>
        <v>343406.61109344609</v>
      </c>
      <c r="O40" s="14">
        <f t="shared" si="14"/>
        <v>34</v>
      </c>
      <c r="P40" s="54">
        <f t="shared" si="15"/>
        <v>17684.25</v>
      </c>
      <c r="Q40" s="63">
        <f t="shared" si="16"/>
        <v>31673.77203260977</v>
      </c>
      <c r="R40" s="77">
        <f t="shared" si="2"/>
        <v>-14009.626897699527</v>
      </c>
      <c r="S40" s="63">
        <f t="shared" si="17"/>
        <v>-5849.208333333333</v>
      </c>
      <c r="T40" s="63"/>
      <c r="U40" s="63">
        <f t="shared" si="18"/>
        <v>-1583.6886016304886</v>
      </c>
      <c r="V40" s="77">
        <f t="shared" si="21"/>
        <v>-641.9506145833335</v>
      </c>
      <c r="W40" s="83">
        <f t="shared" si="4"/>
        <v>9589.2975853630887</v>
      </c>
      <c r="X40" s="85">
        <f t="shared" si="19"/>
        <v>259857.44366797002</v>
      </c>
      <c r="Z40" s="92">
        <f t="shared" si="20"/>
        <v>308136.29500000004</v>
      </c>
      <c r="AA40" s="5">
        <f t="shared" si="5"/>
        <v>0</v>
      </c>
      <c r="AB40" s="92">
        <f t="shared" si="6"/>
        <v>308136.29500000004</v>
      </c>
      <c r="AE40" s="12">
        <f t="shared" si="7"/>
        <v>34</v>
      </c>
      <c r="AF40" s="337">
        <f t="shared" si="7"/>
        <v>17684.25</v>
      </c>
      <c r="AG40" s="176">
        <f t="shared" si="8"/>
        <v>4679.3666666666668</v>
      </c>
      <c r="AI40" s="176">
        <f t="shared" si="9"/>
        <v>1169.8416666666665</v>
      </c>
    </row>
    <row r="41" spans="1:35" ht="32.25" customHeight="1" thickBot="1" x14ac:dyDescent="0.5">
      <c r="A41" s="667" t="s">
        <v>29</v>
      </c>
      <c r="B41" s="668"/>
      <c r="C41" s="668"/>
      <c r="D41" s="668"/>
      <c r="E41" s="668"/>
      <c r="F41" s="668"/>
      <c r="G41" s="669"/>
      <c r="H41" s="11"/>
      <c r="I41" s="14">
        <f t="shared" si="11"/>
        <v>35</v>
      </c>
      <c r="J41" s="63">
        <f t="shared" si="12"/>
        <v>343406.61109344609</v>
      </c>
      <c r="K41" s="63">
        <f t="shared" si="1"/>
        <v>1516.8371083074014</v>
      </c>
      <c r="L41" s="63">
        <f t="shared" si="13"/>
        <v>-14009.626897699527</v>
      </c>
      <c r="M41" s="65">
        <f t="shared" si="0"/>
        <v>330913.82130405394</v>
      </c>
      <c r="O41" s="14">
        <f t="shared" si="14"/>
        <v>35</v>
      </c>
      <c r="P41" s="54">
        <f t="shared" si="15"/>
        <v>18204.375</v>
      </c>
      <c r="Q41" s="63">
        <f t="shared" si="16"/>
        <v>31673.77203260977</v>
      </c>
      <c r="R41" s="77">
        <f t="shared" si="2"/>
        <v>-14009.626897699527</v>
      </c>
      <c r="S41" s="63">
        <f t="shared" si="17"/>
        <v>-5849.208333333333</v>
      </c>
      <c r="T41" s="63"/>
      <c r="U41" s="63">
        <f t="shared" si="18"/>
        <v>-1583.6886016304886</v>
      </c>
      <c r="V41" s="77">
        <f t="shared" si="21"/>
        <v>-617.82263020833341</v>
      </c>
      <c r="W41" s="83">
        <f t="shared" si="4"/>
        <v>9613.4255697380886</v>
      </c>
      <c r="X41" s="85">
        <f t="shared" si="19"/>
        <v>269470.8692377081</v>
      </c>
      <c r="Z41" s="92">
        <f t="shared" si="20"/>
        <v>296554.86249999999</v>
      </c>
      <c r="AA41" s="5">
        <f t="shared" si="5"/>
        <v>0</v>
      </c>
      <c r="AB41" s="92">
        <f t="shared" si="6"/>
        <v>296554.86249999999</v>
      </c>
      <c r="AE41" s="12">
        <f t="shared" si="7"/>
        <v>35</v>
      </c>
      <c r="AF41" s="337">
        <f t="shared" si="7"/>
        <v>18204.375</v>
      </c>
      <c r="AG41" s="176">
        <f t="shared" si="8"/>
        <v>4679.3666666666668</v>
      </c>
      <c r="AI41" s="176">
        <f t="shared" si="9"/>
        <v>1169.8416666666665</v>
      </c>
    </row>
    <row r="42" spans="1:35" ht="19.5" customHeight="1" x14ac:dyDescent="0.45">
      <c r="A42" s="35">
        <v>1</v>
      </c>
      <c r="B42" s="670" t="s">
        <v>30</v>
      </c>
      <c r="C42" s="671"/>
      <c r="D42" s="671"/>
      <c r="E42" s="672"/>
      <c r="F42" s="73">
        <f>F36/C12</f>
        <v>12928.814086776436</v>
      </c>
      <c r="G42" s="74">
        <f>G36/C13/C14</f>
        <v>36.039332748538015</v>
      </c>
      <c r="H42" s="11"/>
      <c r="I42" s="20">
        <f t="shared" si="11"/>
        <v>36</v>
      </c>
      <c r="J42" s="63">
        <f t="shared" si="12"/>
        <v>330913.82130405394</v>
      </c>
      <c r="K42" s="79">
        <f t="shared" si="1"/>
        <v>1461.6560881211672</v>
      </c>
      <c r="L42" s="63">
        <f t="shared" si="13"/>
        <v>-14009.626897699527</v>
      </c>
      <c r="M42" s="80">
        <f t="shared" si="0"/>
        <v>318365.85049447557</v>
      </c>
      <c r="O42" s="20">
        <f t="shared" si="14"/>
        <v>36</v>
      </c>
      <c r="P42" s="54">
        <f t="shared" si="15"/>
        <v>18724.5</v>
      </c>
      <c r="Q42" s="63">
        <f t="shared" si="16"/>
        <v>31673.77203260977</v>
      </c>
      <c r="R42" s="77">
        <f t="shared" si="2"/>
        <v>-14009.626897699527</v>
      </c>
      <c r="S42" s="63">
        <f t="shared" si="17"/>
        <v>-5849.208333333333</v>
      </c>
      <c r="T42" s="63"/>
      <c r="U42" s="63">
        <f t="shared" si="18"/>
        <v>-1583.6886016304886</v>
      </c>
      <c r="V42" s="77">
        <f t="shared" si="21"/>
        <v>-593.69464583333331</v>
      </c>
      <c r="W42" s="83">
        <f t="shared" si="4"/>
        <v>9637.5535541130885</v>
      </c>
      <c r="X42" s="85">
        <f t="shared" si="19"/>
        <v>279108.42279182118</v>
      </c>
      <c r="Z42" s="92">
        <f t="shared" si="20"/>
        <v>284973.43</v>
      </c>
      <c r="AA42" s="5">
        <f t="shared" si="5"/>
        <v>0</v>
      </c>
      <c r="AB42" s="92">
        <f t="shared" si="6"/>
        <v>284973.43</v>
      </c>
      <c r="AE42" s="12">
        <f t="shared" si="7"/>
        <v>36</v>
      </c>
      <c r="AF42" s="337">
        <f t="shared" si="7"/>
        <v>18724.5</v>
      </c>
      <c r="AG42" s="176">
        <f t="shared" si="8"/>
        <v>4679.3666666666668</v>
      </c>
      <c r="AI42" s="176">
        <f t="shared" si="9"/>
        <v>1169.8416666666665</v>
      </c>
    </row>
    <row r="43" spans="1:35" ht="19.5" customHeight="1" thickBot="1" x14ac:dyDescent="0.5">
      <c r="A43" s="36">
        <f>A42+1</f>
        <v>2</v>
      </c>
      <c r="B43" s="673" t="s">
        <v>31</v>
      </c>
      <c r="C43" s="674"/>
      <c r="D43" s="674"/>
      <c r="E43" s="675"/>
      <c r="F43" s="75"/>
      <c r="G43" s="76">
        <f>+(F42*C12+D13*G42)/D13</f>
        <v>79.135379704459467</v>
      </c>
      <c r="H43" s="11"/>
      <c r="I43" s="20">
        <f t="shared" si="11"/>
        <v>37</v>
      </c>
      <c r="J43" s="63">
        <f t="shared" si="12"/>
        <v>318365.85049447557</v>
      </c>
      <c r="K43" s="79">
        <f t="shared" si="1"/>
        <v>1406.2313317446881</v>
      </c>
      <c r="L43" s="63">
        <f t="shared" si="13"/>
        <v>-14009.626897699527</v>
      </c>
      <c r="M43" s="80">
        <f t="shared" si="0"/>
        <v>305762.45492852072</v>
      </c>
      <c r="O43" s="20">
        <f t="shared" si="14"/>
        <v>37</v>
      </c>
      <c r="P43" s="54">
        <f t="shared" si="15"/>
        <v>19244.625</v>
      </c>
      <c r="Q43" s="63">
        <f t="shared" si="16"/>
        <v>31673.77203260977</v>
      </c>
      <c r="R43" s="77">
        <f t="shared" si="2"/>
        <v>-14009.626897699527</v>
      </c>
      <c r="S43" s="63">
        <f t="shared" si="17"/>
        <v>-5849.208333333333</v>
      </c>
      <c r="T43" s="63"/>
      <c r="U43" s="63">
        <f t="shared" si="18"/>
        <v>-1583.6886016304886</v>
      </c>
      <c r="V43" s="77">
        <f t="shared" si="21"/>
        <v>-569.56666145833333</v>
      </c>
      <c r="W43" s="83">
        <f t="shared" si="4"/>
        <v>9661.6815384880883</v>
      </c>
      <c r="X43" s="85">
        <f t="shared" si="19"/>
        <v>288770.10433030926</v>
      </c>
      <c r="Z43" s="92">
        <f t="shared" si="20"/>
        <v>273391.9975</v>
      </c>
      <c r="AA43" s="5">
        <f t="shared" si="5"/>
        <v>0</v>
      </c>
      <c r="AB43" s="92">
        <f t="shared" si="6"/>
        <v>273391.9975</v>
      </c>
      <c r="AE43" s="12">
        <f t="shared" si="7"/>
        <v>37</v>
      </c>
      <c r="AF43" s="337">
        <f t="shared" si="7"/>
        <v>19244.625</v>
      </c>
      <c r="AG43" s="176">
        <f t="shared" si="8"/>
        <v>4679.3666666666668</v>
      </c>
      <c r="AI43" s="176">
        <f t="shared" si="9"/>
        <v>1169.8416666666665</v>
      </c>
    </row>
    <row r="44" spans="1:35" x14ac:dyDescent="0.45">
      <c r="I44" s="20">
        <f t="shared" si="11"/>
        <v>38</v>
      </c>
      <c r="J44" s="63">
        <f t="shared" si="12"/>
        <v>305762.45492852072</v>
      </c>
      <c r="K44" s="79">
        <f t="shared" si="1"/>
        <v>1350.5617625880384</v>
      </c>
      <c r="L44" s="63">
        <f t="shared" si="13"/>
        <v>-14009.626897699527</v>
      </c>
      <c r="M44" s="80">
        <f t="shared" si="0"/>
        <v>293103.38979340921</v>
      </c>
      <c r="O44" s="20">
        <f t="shared" si="14"/>
        <v>38</v>
      </c>
      <c r="P44" s="54">
        <f t="shared" si="15"/>
        <v>19764.75</v>
      </c>
      <c r="Q44" s="63">
        <f t="shared" si="16"/>
        <v>31673.77203260977</v>
      </c>
      <c r="R44" s="77">
        <f t="shared" si="2"/>
        <v>-14009.626897699527</v>
      </c>
      <c r="S44" s="63">
        <f t="shared" si="17"/>
        <v>-5849.208333333333</v>
      </c>
      <c r="T44" s="63"/>
      <c r="U44" s="63">
        <f t="shared" si="18"/>
        <v>-1583.6886016304886</v>
      </c>
      <c r="V44" s="77">
        <f t="shared" si="21"/>
        <v>-545.43867708333346</v>
      </c>
      <c r="W44" s="83">
        <f t="shared" si="4"/>
        <v>9685.8095228630882</v>
      </c>
      <c r="X44" s="85">
        <f t="shared" si="19"/>
        <v>298455.91385317233</v>
      </c>
      <c r="Z44" s="92">
        <f t="shared" si="20"/>
        <v>261810.56500000006</v>
      </c>
      <c r="AA44" s="5">
        <f t="shared" si="5"/>
        <v>0</v>
      </c>
      <c r="AB44" s="92">
        <f t="shared" si="6"/>
        <v>261810.56500000006</v>
      </c>
      <c r="AE44" s="12">
        <f t="shared" si="7"/>
        <v>38</v>
      </c>
      <c r="AF44" s="337">
        <f t="shared" si="7"/>
        <v>19764.75</v>
      </c>
      <c r="AG44" s="176">
        <f t="shared" si="8"/>
        <v>4679.3666666666668</v>
      </c>
      <c r="AI44" s="176">
        <f t="shared" si="9"/>
        <v>1169.8416666666665</v>
      </c>
    </row>
    <row r="45" spans="1:35" x14ac:dyDescent="0.45">
      <c r="I45" s="20">
        <f t="shared" si="11"/>
        <v>39</v>
      </c>
      <c r="J45" s="63">
        <f t="shared" si="12"/>
        <v>293103.38979340921</v>
      </c>
      <c r="K45" s="79">
        <f t="shared" si="1"/>
        <v>1294.6462993059631</v>
      </c>
      <c r="L45" s="63">
        <f t="shared" si="13"/>
        <v>-14009.626897699527</v>
      </c>
      <c r="M45" s="80">
        <f t="shared" si="0"/>
        <v>280388.40919501561</v>
      </c>
      <c r="O45" s="20">
        <f t="shared" si="14"/>
        <v>39</v>
      </c>
      <c r="P45" s="54">
        <f t="shared" si="15"/>
        <v>20284.875</v>
      </c>
      <c r="Q45" s="63">
        <f t="shared" si="16"/>
        <v>31673.77203260977</v>
      </c>
      <c r="R45" s="77">
        <f t="shared" si="2"/>
        <v>-14009.626897699527</v>
      </c>
      <c r="S45" s="63">
        <f t="shared" si="17"/>
        <v>-5849.208333333333</v>
      </c>
      <c r="T45" s="63"/>
      <c r="U45" s="63">
        <f t="shared" si="18"/>
        <v>-1583.6886016304886</v>
      </c>
      <c r="V45" s="77">
        <f t="shared" si="21"/>
        <v>-521.31069270833348</v>
      </c>
      <c r="W45" s="83">
        <f t="shared" si="4"/>
        <v>9709.9375072380881</v>
      </c>
      <c r="X45" s="85">
        <f t="shared" si="19"/>
        <v>308165.85136041039</v>
      </c>
      <c r="Z45" s="92">
        <f t="shared" si="20"/>
        <v>250229.13250000007</v>
      </c>
      <c r="AA45" s="5">
        <f t="shared" si="5"/>
        <v>0</v>
      </c>
      <c r="AB45" s="92">
        <f t="shared" si="6"/>
        <v>250229.13250000007</v>
      </c>
      <c r="AE45" s="12">
        <f t="shared" si="7"/>
        <v>39</v>
      </c>
      <c r="AF45" s="337">
        <f t="shared" si="7"/>
        <v>20284.875</v>
      </c>
      <c r="AG45" s="176">
        <f t="shared" si="8"/>
        <v>4679.3666666666668</v>
      </c>
      <c r="AI45" s="176">
        <f t="shared" si="9"/>
        <v>1169.8416666666665</v>
      </c>
    </row>
    <row r="46" spans="1:35" x14ac:dyDescent="0.45">
      <c r="I46" s="20">
        <f t="shared" si="11"/>
        <v>40</v>
      </c>
      <c r="J46" s="63">
        <f t="shared" si="12"/>
        <v>280388.40919501561</v>
      </c>
      <c r="K46" s="79">
        <f t="shared" si="1"/>
        <v>1238.4838557768724</v>
      </c>
      <c r="L46" s="63">
        <f t="shared" si="13"/>
        <v>-14009.626897699527</v>
      </c>
      <c r="M46" s="80">
        <f t="shared" si="0"/>
        <v>267617.26615309296</v>
      </c>
      <c r="O46" s="20">
        <f t="shared" si="14"/>
        <v>40</v>
      </c>
      <c r="P46" s="54">
        <f t="shared" si="15"/>
        <v>20805</v>
      </c>
      <c r="Q46" s="63">
        <f t="shared" si="16"/>
        <v>31673.77203260977</v>
      </c>
      <c r="R46" s="77">
        <f t="shared" si="2"/>
        <v>-14009.626897699527</v>
      </c>
      <c r="S46" s="63">
        <f t="shared" si="17"/>
        <v>-5849.208333333333</v>
      </c>
      <c r="T46" s="63"/>
      <c r="U46" s="63">
        <f t="shared" si="18"/>
        <v>-1583.6886016304886</v>
      </c>
      <c r="V46" s="77">
        <f t="shared" si="21"/>
        <v>-497.18270833333344</v>
      </c>
      <c r="W46" s="83">
        <f t="shared" si="4"/>
        <v>9734.0654916130879</v>
      </c>
      <c r="X46" s="85">
        <f t="shared" si="19"/>
        <v>317899.91685202345</v>
      </c>
      <c r="Z46" s="92">
        <f t="shared" si="20"/>
        <v>238647.7</v>
      </c>
      <c r="AA46" s="5">
        <f t="shared" si="5"/>
        <v>0</v>
      </c>
      <c r="AB46" s="92">
        <f t="shared" si="6"/>
        <v>238647.7</v>
      </c>
      <c r="AE46" s="12">
        <f t="shared" si="7"/>
        <v>40</v>
      </c>
      <c r="AF46" s="337">
        <f t="shared" si="7"/>
        <v>20805</v>
      </c>
      <c r="AG46" s="176">
        <f t="shared" si="8"/>
        <v>4679.3666666666668</v>
      </c>
      <c r="AI46" s="176">
        <f t="shared" si="9"/>
        <v>1169.8416666666665</v>
      </c>
    </row>
    <row r="47" spans="1:35" x14ac:dyDescent="0.45">
      <c r="I47" s="20">
        <f t="shared" si="11"/>
        <v>41</v>
      </c>
      <c r="J47" s="63">
        <f t="shared" si="12"/>
        <v>267617.26615309296</v>
      </c>
      <c r="K47" s="79">
        <f t="shared" si="1"/>
        <v>1182.0733410817465</v>
      </c>
      <c r="L47" s="63">
        <f t="shared" si="13"/>
        <v>-14009.626897699527</v>
      </c>
      <c r="M47" s="80">
        <f t="shared" si="0"/>
        <v>254789.71259647518</v>
      </c>
      <c r="O47" s="20">
        <f t="shared" si="14"/>
        <v>41</v>
      </c>
      <c r="P47" s="54">
        <f t="shared" si="15"/>
        <v>21325.125</v>
      </c>
      <c r="Q47" s="63">
        <f t="shared" si="16"/>
        <v>31673.77203260977</v>
      </c>
      <c r="R47" s="77">
        <f t="shared" si="2"/>
        <v>-14009.626897699527</v>
      </c>
      <c r="S47" s="63">
        <f t="shared" si="17"/>
        <v>-5849.208333333333</v>
      </c>
      <c r="T47" s="63"/>
      <c r="U47" s="63">
        <f t="shared" si="18"/>
        <v>-1583.6886016304886</v>
      </c>
      <c r="V47" s="77">
        <f t="shared" si="21"/>
        <v>-473.0547239583334</v>
      </c>
      <c r="W47" s="83">
        <f t="shared" si="4"/>
        <v>9758.1934759880878</v>
      </c>
      <c r="X47" s="85">
        <f t="shared" si="19"/>
        <v>327658.11032801156</v>
      </c>
      <c r="Z47" s="92">
        <f t="shared" si="20"/>
        <v>227066.26750000002</v>
      </c>
      <c r="AA47" s="5">
        <f t="shared" si="5"/>
        <v>0</v>
      </c>
      <c r="AB47" s="92">
        <f t="shared" si="6"/>
        <v>227066.26750000002</v>
      </c>
      <c r="AE47" s="12">
        <f t="shared" si="7"/>
        <v>41</v>
      </c>
      <c r="AF47" s="337">
        <f t="shared" si="7"/>
        <v>21325.125</v>
      </c>
      <c r="AG47" s="176">
        <f t="shared" si="8"/>
        <v>4679.3666666666668</v>
      </c>
      <c r="AI47" s="176">
        <f t="shared" si="9"/>
        <v>1169.8416666666665</v>
      </c>
    </row>
    <row r="48" spans="1:35" x14ac:dyDescent="0.45">
      <c r="I48" s="20">
        <f t="shared" si="11"/>
        <v>42</v>
      </c>
      <c r="J48" s="63">
        <f t="shared" si="12"/>
        <v>254789.71259647518</v>
      </c>
      <c r="K48" s="79">
        <f t="shared" si="1"/>
        <v>1125.4136594829442</v>
      </c>
      <c r="L48" s="63">
        <f t="shared" si="13"/>
        <v>-14009.626897699527</v>
      </c>
      <c r="M48" s="80">
        <f t="shared" si="0"/>
        <v>241905.49935825859</v>
      </c>
      <c r="O48" s="20">
        <f t="shared" si="14"/>
        <v>42</v>
      </c>
      <c r="P48" s="54">
        <f t="shared" si="15"/>
        <v>21845.25</v>
      </c>
      <c r="Q48" s="63">
        <f t="shared" si="16"/>
        <v>31673.77203260977</v>
      </c>
      <c r="R48" s="77">
        <f t="shared" si="2"/>
        <v>-14009.626897699527</v>
      </c>
      <c r="S48" s="63">
        <f t="shared" si="17"/>
        <v>-5849.208333333333</v>
      </c>
      <c r="T48" s="63"/>
      <c r="U48" s="63">
        <f t="shared" si="18"/>
        <v>-1583.6886016304886</v>
      </c>
      <c r="V48" s="77">
        <f t="shared" si="21"/>
        <v>-448.92673958333336</v>
      </c>
      <c r="W48" s="83">
        <f t="shared" si="4"/>
        <v>9782.3214603630877</v>
      </c>
      <c r="X48" s="85">
        <f t="shared" si="19"/>
        <v>337440.43178837467</v>
      </c>
      <c r="Z48" s="92">
        <f t="shared" si="20"/>
        <v>215484.83500000002</v>
      </c>
      <c r="AA48" s="5">
        <f t="shared" si="5"/>
        <v>0</v>
      </c>
      <c r="AB48" s="92">
        <f t="shared" si="6"/>
        <v>215484.83500000002</v>
      </c>
      <c r="AE48" s="12">
        <f t="shared" si="7"/>
        <v>42</v>
      </c>
      <c r="AF48" s="337">
        <f t="shared" si="7"/>
        <v>21845.25</v>
      </c>
      <c r="AG48" s="176">
        <f t="shared" si="8"/>
        <v>4679.3666666666668</v>
      </c>
      <c r="AI48" s="176">
        <f t="shared" si="9"/>
        <v>1169.8416666666665</v>
      </c>
    </row>
    <row r="49" spans="9:35" x14ac:dyDescent="0.45">
      <c r="I49" s="20">
        <f t="shared" si="11"/>
        <v>43</v>
      </c>
      <c r="J49" s="63">
        <f t="shared" si="12"/>
        <v>241905.49935825859</v>
      </c>
      <c r="K49" s="79">
        <f t="shared" si="1"/>
        <v>1068.5037104029179</v>
      </c>
      <c r="L49" s="63">
        <f t="shared" si="13"/>
        <v>-14009.626897699527</v>
      </c>
      <c r="M49" s="80">
        <f t="shared" si="0"/>
        <v>228964.37617096197</v>
      </c>
      <c r="O49" s="20">
        <f t="shared" si="14"/>
        <v>43</v>
      </c>
      <c r="P49" s="54">
        <f t="shared" si="15"/>
        <v>22365.375</v>
      </c>
      <c r="Q49" s="63">
        <f t="shared" si="16"/>
        <v>31673.77203260977</v>
      </c>
      <c r="R49" s="77">
        <f t="shared" si="2"/>
        <v>-14009.626897699527</v>
      </c>
      <c r="S49" s="63">
        <f t="shared" si="17"/>
        <v>-5849.208333333333</v>
      </c>
      <c r="T49" s="63"/>
      <c r="U49" s="63">
        <f t="shared" si="18"/>
        <v>-1583.6886016304886</v>
      </c>
      <c r="V49" s="77">
        <f t="shared" si="21"/>
        <v>-424.79875520833343</v>
      </c>
      <c r="W49" s="83">
        <f t="shared" si="4"/>
        <v>9806.4494447380875</v>
      </c>
      <c r="X49" s="85">
        <f t="shared" si="19"/>
        <v>347246.88123311277</v>
      </c>
      <c r="Z49" s="92">
        <f t="shared" si="20"/>
        <v>203903.40250000003</v>
      </c>
      <c r="AA49" s="5">
        <f t="shared" si="5"/>
        <v>0</v>
      </c>
      <c r="AB49" s="92">
        <f t="shared" si="6"/>
        <v>203903.40250000003</v>
      </c>
      <c r="AE49" s="12">
        <f t="shared" si="7"/>
        <v>43</v>
      </c>
      <c r="AF49" s="337">
        <f t="shared" si="7"/>
        <v>22365.375</v>
      </c>
      <c r="AG49" s="176">
        <f t="shared" si="8"/>
        <v>4679.3666666666668</v>
      </c>
      <c r="AI49" s="176">
        <f t="shared" si="9"/>
        <v>1169.8416666666665</v>
      </c>
    </row>
    <row r="50" spans="9:35" x14ac:dyDescent="0.45">
      <c r="I50" s="20">
        <f t="shared" si="11"/>
        <v>44</v>
      </c>
      <c r="J50" s="63">
        <f t="shared" si="12"/>
        <v>228964.37617096197</v>
      </c>
      <c r="K50" s="79">
        <f t="shared" si="1"/>
        <v>1011.3423884028375</v>
      </c>
      <c r="L50" s="63">
        <f t="shared" si="13"/>
        <v>-14009.626897699527</v>
      </c>
      <c r="M50" s="80">
        <f t="shared" si="0"/>
        <v>215966.0916616653</v>
      </c>
      <c r="O50" s="20">
        <f t="shared" si="14"/>
        <v>44</v>
      </c>
      <c r="P50" s="54">
        <f t="shared" si="15"/>
        <v>22885.5</v>
      </c>
      <c r="Q50" s="63">
        <f t="shared" si="16"/>
        <v>31673.77203260977</v>
      </c>
      <c r="R50" s="77">
        <f t="shared" si="2"/>
        <v>-14009.626897699527</v>
      </c>
      <c r="S50" s="63">
        <f t="shared" si="17"/>
        <v>-5849.208333333333</v>
      </c>
      <c r="T50" s="63"/>
      <c r="U50" s="63">
        <f t="shared" si="18"/>
        <v>-1583.6886016304886</v>
      </c>
      <c r="V50" s="77">
        <f t="shared" si="21"/>
        <v>-400.67077083333339</v>
      </c>
      <c r="W50" s="83">
        <f t="shared" si="4"/>
        <v>9830.5774291130874</v>
      </c>
      <c r="X50" s="85">
        <f t="shared" si="19"/>
        <v>357077.45866222586</v>
      </c>
      <c r="Z50" s="92">
        <f t="shared" si="20"/>
        <v>192321.97000000003</v>
      </c>
      <c r="AA50" s="5">
        <f t="shared" si="5"/>
        <v>0</v>
      </c>
      <c r="AB50" s="92">
        <f t="shared" si="6"/>
        <v>192321.97000000003</v>
      </c>
      <c r="AE50" s="12">
        <f t="shared" si="7"/>
        <v>44</v>
      </c>
      <c r="AF50" s="337">
        <f t="shared" si="7"/>
        <v>22885.5</v>
      </c>
      <c r="AG50" s="176">
        <f t="shared" si="8"/>
        <v>4679.3666666666668</v>
      </c>
      <c r="AI50" s="176">
        <f t="shared" si="9"/>
        <v>1169.8416666666665</v>
      </c>
    </row>
    <row r="51" spans="9:35" x14ac:dyDescent="0.45">
      <c r="I51" s="20">
        <f t="shared" si="11"/>
        <v>45</v>
      </c>
      <c r="J51" s="63">
        <f t="shared" si="12"/>
        <v>215966.0916616653</v>
      </c>
      <c r="K51" s="79">
        <f t="shared" si="1"/>
        <v>953.92858316111653</v>
      </c>
      <c r="L51" s="63">
        <f t="shared" si="13"/>
        <v>-14009.626897699527</v>
      </c>
      <c r="M51" s="80">
        <f t="shared" si="0"/>
        <v>202910.3933471269</v>
      </c>
      <c r="O51" s="20">
        <f t="shared" si="14"/>
        <v>45</v>
      </c>
      <c r="P51" s="54">
        <f t="shared" si="15"/>
        <v>23405.625</v>
      </c>
      <c r="Q51" s="63">
        <f t="shared" si="16"/>
        <v>31673.77203260977</v>
      </c>
      <c r="R51" s="77">
        <f t="shared" si="2"/>
        <v>-14009.626897699527</v>
      </c>
      <c r="S51" s="63">
        <f t="shared" si="17"/>
        <v>-5849.208333333333</v>
      </c>
      <c r="T51" s="63"/>
      <c r="U51" s="63">
        <f t="shared" si="18"/>
        <v>-1583.6886016304886</v>
      </c>
      <c r="V51" s="77">
        <f t="shared" si="21"/>
        <v>-376.54278645833341</v>
      </c>
      <c r="W51" s="83">
        <f t="shared" si="4"/>
        <v>9854.7054134880891</v>
      </c>
      <c r="X51" s="85">
        <f t="shared" si="19"/>
        <v>366932.16407571395</v>
      </c>
      <c r="Z51" s="92">
        <f t="shared" si="20"/>
        <v>180740.53750000003</v>
      </c>
      <c r="AA51" s="5">
        <f t="shared" si="5"/>
        <v>0</v>
      </c>
      <c r="AB51" s="92">
        <f t="shared" si="6"/>
        <v>180740.53750000003</v>
      </c>
      <c r="AE51" s="12">
        <f t="shared" si="7"/>
        <v>45</v>
      </c>
      <c r="AF51" s="337">
        <f t="shared" si="7"/>
        <v>23405.625</v>
      </c>
      <c r="AG51" s="176">
        <f t="shared" si="8"/>
        <v>4679.3666666666668</v>
      </c>
      <c r="AI51" s="176">
        <f t="shared" si="9"/>
        <v>1169.8416666666665</v>
      </c>
    </row>
    <row r="52" spans="9:35" x14ac:dyDescent="0.45">
      <c r="I52" s="20">
        <f t="shared" si="11"/>
        <v>46</v>
      </c>
      <c r="J52" s="63">
        <f t="shared" si="12"/>
        <v>202910.3933471269</v>
      </c>
      <c r="K52" s="79">
        <f t="shared" si="1"/>
        <v>896.26117945184603</v>
      </c>
      <c r="L52" s="63">
        <f t="shared" si="13"/>
        <v>-14009.626897699527</v>
      </c>
      <c r="M52" s="80">
        <f t="shared" si="0"/>
        <v>189797.02762887924</v>
      </c>
      <c r="O52" s="20">
        <f t="shared" si="14"/>
        <v>46</v>
      </c>
      <c r="P52" s="54">
        <f t="shared" si="15"/>
        <v>23925.75</v>
      </c>
      <c r="Q52" s="63">
        <f t="shared" si="16"/>
        <v>31673.77203260977</v>
      </c>
      <c r="R52" s="77">
        <f t="shared" si="2"/>
        <v>-14009.626897699527</v>
      </c>
      <c r="S52" s="63">
        <f t="shared" si="17"/>
        <v>-5849.208333333333</v>
      </c>
      <c r="T52" s="63"/>
      <c r="U52" s="63">
        <f t="shared" si="18"/>
        <v>-1583.6886016304886</v>
      </c>
      <c r="V52" s="77">
        <f t="shared" si="21"/>
        <v>-352.41480208333331</v>
      </c>
      <c r="W52" s="83">
        <f t="shared" si="4"/>
        <v>9878.833397863089</v>
      </c>
      <c r="X52" s="85">
        <f t="shared" si="19"/>
        <v>376810.99747357704</v>
      </c>
      <c r="Z52" s="92">
        <f t="shared" si="20"/>
        <v>169159.10499999998</v>
      </c>
      <c r="AA52" s="5">
        <f t="shared" si="5"/>
        <v>0</v>
      </c>
      <c r="AB52" s="92">
        <f t="shared" si="6"/>
        <v>169159.10499999998</v>
      </c>
      <c r="AE52" s="12">
        <f t="shared" si="7"/>
        <v>46</v>
      </c>
      <c r="AF52" s="337">
        <f t="shared" si="7"/>
        <v>23925.75</v>
      </c>
      <c r="AG52" s="176">
        <f t="shared" si="8"/>
        <v>4679.3666666666668</v>
      </c>
      <c r="AI52" s="176">
        <f t="shared" si="9"/>
        <v>1169.8416666666665</v>
      </c>
    </row>
    <row r="53" spans="9:35" x14ac:dyDescent="0.45">
      <c r="I53" s="20">
        <f t="shared" si="11"/>
        <v>47</v>
      </c>
      <c r="J53" s="63">
        <f t="shared" si="12"/>
        <v>189797.02762887924</v>
      </c>
      <c r="K53" s="79">
        <f t="shared" si="1"/>
        <v>838.3390571231306</v>
      </c>
      <c r="L53" s="63">
        <f t="shared" si="13"/>
        <v>-14009.626897699527</v>
      </c>
      <c r="M53" s="80">
        <f t="shared" si="0"/>
        <v>176625.73978830286</v>
      </c>
      <c r="O53" s="20">
        <f t="shared" si="14"/>
        <v>47</v>
      </c>
      <c r="P53" s="54">
        <f t="shared" si="15"/>
        <v>24445.875</v>
      </c>
      <c r="Q53" s="63">
        <f t="shared" si="16"/>
        <v>31673.77203260977</v>
      </c>
      <c r="R53" s="77">
        <f t="shared" si="2"/>
        <v>-14009.626897699527</v>
      </c>
      <c r="S53" s="63">
        <f t="shared" si="17"/>
        <v>-5849.208333333333</v>
      </c>
      <c r="T53" s="63"/>
      <c r="U53" s="63">
        <f t="shared" si="18"/>
        <v>-1583.6886016304886</v>
      </c>
      <c r="V53" s="77">
        <f t="shared" si="21"/>
        <v>-328.28681770833333</v>
      </c>
      <c r="W53" s="83">
        <f t="shared" si="4"/>
        <v>9902.9613822380888</v>
      </c>
      <c r="X53" s="85">
        <f t="shared" si="19"/>
        <v>386713.95885581512</v>
      </c>
      <c r="Z53" s="92">
        <f t="shared" si="20"/>
        <v>157577.67249999999</v>
      </c>
      <c r="AA53" s="5">
        <f t="shared" si="5"/>
        <v>0</v>
      </c>
      <c r="AB53" s="92">
        <f t="shared" si="6"/>
        <v>157577.67249999999</v>
      </c>
      <c r="AE53" s="12">
        <f t="shared" si="7"/>
        <v>47</v>
      </c>
      <c r="AF53" s="337">
        <f t="shared" si="7"/>
        <v>24445.875</v>
      </c>
      <c r="AG53" s="176">
        <f t="shared" si="8"/>
        <v>4679.3666666666668</v>
      </c>
      <c r="AI53" s="176">
        <f t="shared" si="9"/>
        <v>1169.8416666666665</v>
      </c>
    </row>
    <row r="54" spans="9:35" x14ac:dyDescent="0.45">
      <c r="I54" s="20">
        <f t="shared" si="11"/>
        <v>48</v>
      </c>
      <c r="J54" s="63">
        <f t="shared" si="12"/>
        <v>176625.73978830286</v>
      </c>
      <c r="K54" s="79">
        <f t="shared" si="1"/>
        <v>780.16109107533146</v>
      </c>
      <c r="L54" s="63">
        <f t="shared" si="13"/>
        <v>-14009.626897699527</v>
      </c>
      <c r="M54" s="80">
        <f t="shared" si="0"/>
        <v>163396.27398167868</v>
      </c>
      <c r="O54" s="20">
        <f t="shared" si="14"/>
        <v>48</v>
      </c>
      <c r="P54" s="54">
        <f t="shared" si="15"/>
        <v>24966</v>
      </c>
      <c r="Q54" s="63">
        <f t="shared" si="16"/>
        <v>31673.77203260977</v>
      </c>
      <c r="R54" s="77">
        <f t="shared" si="2"/>
        <v>-14009.626897699527</v>
      </c>
      <c r="S54" s="63">
        <f t="shared" si="17"/>
        <v>-5849.208333333333</v>
      </c>
      <c r="T54" s="63">
        <f>-T68*0.5</f>
        <v>-52642.875</v>
      </c>
      <c r="U54" s="63">
        <f t="shared" si="18"/>
        <v>-1583.6886016304886</v>
      </c>
      <c r="V54" s="77">
        <f t="shared" si="21"/>
        <v>-304.15883333333335</v>
      </c>
      <c r="W54" s="83">
        <f t="shared" si="4"/>
        <v>-42715.785633386906</v>
      </c>
      <c r="X54" s="85">
        <f t="shared" si="19"/>
        <v>343998.17322242819</v>
      </c>
      <c r="Z54" s="92">
        <f t="shared" si="20"/>
        <v>145996.24</v>
      </c>
      <c r="AA54" s="5">
        <f t="shared" si="5"/>
        <v>0</v>
      </c>
      <c r="AB54" s="92">
        <f t="shared" si="6"/>
        <v>145996.24</v>
      </c>
      <c r="AE54" s="12">
        <f t="shared" si="7"/>
        <v>48</v>
      </c>
      <c r="AF54" s="337">
        <f t="shared" si="7"/>
        <v>24966</v>
      </c>
      <c r="AG54" s="176">
        <f t="shared" si="8"/>
        <v>4679.3666666666668</v>
      </c>
      <c r="AI54" s="176">
        <f t="shared" si="9"/>
        <v>1169.8416666666665</v>
      </c>
    </row>
    <row r="55" spans="9:35" x14ac:dyDescent="0.45">
      <c r="I55" s="20">
        <f t="shared" si="11"/>
        <v>49</v>
      </c>
      <c r="J55" s="63">
        <f t="shared" si="12"/>
        <v>163396.27398167868</v>
      </c>
      <c r="K55" s="79">
        <f>J55*$C$8*30.44/365.25</f>
        <v>721.72615123921105</v>
      </c>
      <c r="L55" s="63">
        <f t="shared" si="13"/>
        <v>-14009.626897699527</v>
      </c>
      <c r="M55" s="80">
        <f t="shared" si="0"/>
        <v>150108.37323521837</v>
      </c>
      <c r="O55" s="20">
        <f t="shared" si="14"/>
        <v>49</v>
      </c>
      <c r="P55" s="54">
        <f t="shared" si="15"/>
        <v>25486.125</v>
      </c>
      <c r="Q55" s="63">
        <f t="shared" si="16"/>
        <v>31673.77203260977</v>
      </c>
      <c r="R55" s="77">
        <f t="shared" si="2"/>
        <v>-14009.626897699527</v>
      </c>
      <c r="S55" s="63">
        <f t="shared" si="17"/>
        <v>-5849.208333333333</v>
      </c>
      <c r="T55" s="63">
        <f>-T69*0.5</f>
        <v>0</v>
      </c>
      <c r="U55" s="63">
        <f t="shared" si="18"/>
        <v>-1583.6886016304886</v>
      </c>
      <c r="V55" s="77">
        <f t="shared" si="21"/>
        <v>-280.03084895833337</v>
      </c>
      <c r="W55" s="83">
        <f t="shared" si="4"/>
        <v>9951.2173509880886</v>
      </c>
      <c r="X55" s="85">
        <f t="shared" si="19"/>
        <v>353949.39057341625</v>
      </c>
      <c r="Z55" s="92">
        <f t="shared" si="20"/>
        <v>134414.8075</v>
      </c>
      <c r="AA55" s="5">
        <f t="shared" si="5"/>
        <v>0</v>
      </c>
      <c r="AB55" s="92">
        <f t="shared" si="6"/>
        <v>134414.8075</v>
      </c>
      <c r="AE55" s="12">
        <f t="shared" si="7"/>
        <v>49</v>
      </c>
      <c r="AF55" s="337">
        <f t="shared" si="7"/>
        <v>25486.125</v>
      </c>
      <c r="AG55" s="176">
        <f t="shared" si="8"/>
        <v>4679.3666666666668</v>
      </c>
      <c r="AI55" s="176">
        <f t="shared" si="9"/>
        <v>1169.8416666666665</v>
      </c>
    </row>
    <row r="56" spans="9:35" x14ac:dyDescent="0.45">
      <c r="I56" s="20">
        <f t="shared" si="11"/>
        <v>50</v>
      </c>
      <c r="J56" s="63">
        <f t="shared" si="12"/>
        <v>150108.37323521837</v>
      </c>
      <c r="K56" s="79">
        <f>J56*$C$8*30.44/365.25</f>
        <v>663.03310255398367</v>
      </c>
      <c r="L56" s="63">
        <f t="shared" si="13"/>
        <v>-14009.626897699527</v>
      </c>
      <c r="M56" s="80">
        <f t="shared" si="0"/>
        <v>136761.77944007283</v>
      </c>
      <c r="O56" s="20">
        <f t="shared" si="14"/>
        <v>50</v>
      </c>
      <c r="P56" s="54">
        <f t="shared" si="15"/>
        <v>26006.25</v>
      </c>
      <c r="Q56" s="63">
        <f t="shared" si="16"/>
        <v>31673.77203260977</v>
      </c>
      <c r="R56" s="77">
        <f t="shared" si="2"/>
        <v>-14009.626897699527</v>
      </c>
      <c r="S56" s="63">
        <f t="shared" si="17"/>
        <v>-5849.208333333333</v>
      </c>
      <c r="T56" s="63">
        <f>-T70*0.5</f>
        <v>0</v>
      </c>
      <c r="U56" s="63">
        <f t="shared" si="18"/>
        <v>-1583.6886016304886</v>
      </c>
      <c r="V56" s="77">
        <f t="shared" si="21"/>
        <v>-255.90286458333335</v>
      </c>
      <c r="W56" s="83">
        <f t="shared" si="4"/>
        <v>9975.3453353630885</v>
      </c>
      <c r="X56" s="85">
        <f t="shared" si="19"/>
        <v>363924.73590877932</v>
      </c>
      <c r="Z56" s="92">
        <f t="shared" si="20"/>
        <v>122833.375</v>
      </c>
      <c r="AA56" s="5">
        <f t="shared" si="5"/>
        <v>0</v>
      </c>
      <c r="AB56" s="92">
        <f t="shared" si="6"/>
        <v>122833.375</v>
      </c>
      <c r="AE56" s="12">
        <f t="shared" si="7"/>
        <v>50</v>
      </c>
      <c r="AF56" s="337">
        <f t="shared" si="7"/>
        <v>26006.25</v>
      </c>
      <c r="AG56" s="176">
        <f t="shared" si="8"/>
        <v>4679.3666666666668</v>
      </c>
      <c r="AI56" s="176">
        <f t="shared" si="9"/>
        <v>1169.8416666666665</v>
      </c>
    </row>
    <row r="57" spans="9:35" x14ac:dyDescent="0.45">
      <c r="I57" s="20">
        <f t="shared" si="11"/>
        <v>51</v>
      </c>
      <c r="J57" s="63">
        <f t="shared" si="12"/>
        <v>136761.77944007283</v>
      </c>
      <c r="K57" s="79">
        <f t="shared" ref="K57:K66" si="25">J57*$C$8*30.44/365.25</f>
        <v>604.08080494526564</v>
      </c>
      <c r="L57" s="63">
        <f t="shared" si="13"/>
        <v>-14009.626897699527</v>
      </c>
      <c r="M57" s="80">
        <f t="shared" si="0"/>
        <v>123356.23334731857</v>
      </c>
      <c r="O57" s="20">
        <f t="shared" si="14"/>
        <v>51</v>
      </c>
      <c r="P57" s="54">
        <f t="shared" si="15"/>
        <v>26526.375</v>
      </c>
      <c r="Q57" s="63">
        <f t="shared" si="16"/>
        <v>31673.77203260977</v>
      </c>
      <c r="R57" s="77">
        <f t="shared" si="2"/>
        <v>-14009.626897699527</v>
      </c>
      <c r="S57" s="63">
        <f t="shared" si="17"/>
        <v>-5849.208333333333</v>
      </c>
      <c r="T57" s="63">
        <f>-T71*0.5</f>
        <v>0</v>
      </c>
      <c r="U57" s="63">
        <f t="shared" si="18"/>
        <v>-1583.6886016304886</v>
      </c>
      <c r="V57" s="77">
        <f t="shared" si="21"/>
        <v>-231.7748802083336</v>
      </c>
      <c r="W57" s="83">
        <f t="shared" si="4"/>
        <v>9999.4733197380883</v>
      </c>
      <c r="X57" s="85">
        <f t="shared" si="19"/>
        <v>373924.20922851743</v>
      </c>
      <c r="Z57" s="92">
        <f t="shared" si="20"/>
        <v>111251.94250000012</v>
      </c>
      <c r="AA57" s="5">
        <f t="shared" si="5"/>
        <v>0</v>
      </c>
      <c r="AB57" s="92">
        <f t="shared" si="6"/>
        <v>111251.94250000012</v>
      </c>
      <c r="AE57" s="12">
        <f t="shared" si="7"/>
        <v>51</v>
      </c>
      <c r="AF57" s="337">
        <f t="shared" si="7"/>
        <v>26526.375</v>
      </c>
      <c r="AG57" s="176">
        <f t="shared" si="8"/>
        <v>4679.3666666666668</v>
      </c>
      <c r="AI57" s="176">
        <f t="shared" si="9"/>
        <v>1169.8416666666665</v>
      </c>
    </row>
    <row r="58" spans="9:35" x14ac:dyDescent="0.45">
      <c r="I58" s="20">
        <f t="shared" si="11"/>
        <v>52</v>
      </c>
      <c r="J58" s="63">
        <f t="shared" si="12"/>
        <v>123356.23334731857</v>
      </c>
      <c r="K58" s="79">
        <f t="shared" si="25"/>
        <v>544.86811330293222</v>
      </c>
      <c r="L58" s="63">
        <f t="shared" si="13"/>
        <v>-14009.626897699527</v>
      </c>
      <c r="M58" s="80">
        <f t="shared" si="0"/>
        <v>109891.47456292197</v>
      </c>
      <c r="O58" s="20">
        <f t="shared" si="14"/>
        <v>52</v>
      </c>
      <c r="P58" s="54">
        <f t="shared" si="15"/>
        <v>27046.5</v>
      </c>
      <c r="Q58" s="63">
        <f t="shared" si="16"/>
        <v>31673.77203260977</v>
      </c>
      <c r="R58" s="77">
        <f t="shared" si="2"/>
        <v>-14009.626897699527</v>
      </c>
      <c r="S58" s="63">
        <f t="shared" si="17"/>
        <v>-5849.208333333333</v>
      </c>
      <c r="T58" s="63"/>
      <c r="U58" s="63">
        <f t="shared" si="18"/>
        <v>-1583.6886016304886</v>
      </c>
      <c r="V58" s="77">
        <f t="shared" si="21"/>
        <v>-207.64689583333336</v>
      </c>
      <c r="W58" s="83">
        <f t="shared" si="4"/>
        <v>10023.601304113088</v>
      </c>
      <c r="X58" s="85">
        <f t="shared" si="19"/>
        <v>383947.81053263054</v>
      </c>
      <c r="Z58" s="92">
        <f t="shared" si="20"/>
        <v>99670.510000000009</v>
      </c>
      <c r="AA58" s="5">
        <f t="shared" si="5"/>
        <v>0</v>
      </c>
      <c r="AB58" s="92">
        <f t="shared" si="6"/>
        <v>99670.510000000009</v>
      </c>
      <c r="AE58" s="12">
        <f t="shared" si="7"/>
        <v>52</v>
      </c>
      <c r="AF58" s="337">
        <f t="shared" si="7"/>
        <v>27046.5</v>
      </c>
      <c r="AG58" s="176">
        <f t="shared" si="8"/>
        <v>4679.3666666666668</v>
      </c>
      <c r="AI58" s="176">
        <f t="shared" si="9"/>
        <v>1169.8416666666665</v>
      </c>
    </row>
    <row r="59" spans="9:35" x14ac:dyDescent="0.45">
      <c r="I59" s="20">
        <f t="shared" si="11"/>
        <v>53</v>
      </c>
      <c r="J59" s="63">
        <f t="shared" si="12"/>
        <v>109891.47456292197</v>
      </c>
      <c r="K59" s="79">
        <f t="shared" si="25"/>
        <v>485.39387745887274</v>
      </c>
      <c r="L59" s="63">
        <f t="shared" si="13"/>
        <v>-14009.626897699527</v>
      </c>
      <c r="M59" s="80">
        <f t="shared" si="0"/>
        <v>96367.241542681324</v>
      </c>
      <c r="O59" s="20">
        <f t="shared" si="14"/>
        <v>53</v>
      </c>
      <c r="P59" s="54">
        <f t="shared" si="15"/>
        <v>27566.625</v>
      </c>
      <c r="Q59" s="63">
        <f t="shared" si="16"/>
        <v>31673.77203260977</v>
      </c>
      <c r="R59" s="77">
        <f t="shared" si="2"/>
        <v>-14009.626897699527</v>
      </c>
      <c r="S59" s="63">
        <f t="shared" si="17"/>
        <v>-5849.208333333333</v>
      </c>
      <c r="T59" s="63"/>
      <c r="U59" s="63">
        <f t="shared" si="18"/>
        <v>-1583.6886016304886</v>
      </c>
      <c r="V59" s="77">
        <f t="shared" si="21"/>
        <v>-183.5189114583336</v>
      </c>
      <c r="W59" s="83">
        <f t="shared" si="4"/>
        <v>10047.729288488088</v>
      </c>
      <c r="X59" s="85">
        <f t="shared" si="19"/>
        <v>393995.53982111864</v>
      </c>
      <c r="Z59" s="92">
        <f t="shared" si="20"/>
        <v>88089.07750000013</v>
      </c>
      <c r="AA59" s="5">
        <f t="shared" si="5"/>
        <v>0</v>
      </c>
      <c r="AB59" s="92">
        <f t="shared" si="6"/>
        <v>88089.07750000013</v>
      </c>
      <c r="AE59" s="12">
        <f t="shared" si="7"/>
        <v>53</v>
      </c>
      <c r="AF59" s="337">
        <f t="shared" si="7"/>
        <v>27566.625</v>
      </c>
      <c r="AG59" s="176">
        <f t="shared" si="8"/>
        <v>4679.3666666666668</v>
      </c>
      <c r="AI59" s="176">
        <f t="shared" si="9"/>
        <v>1169.8416666666665</v>
      </c>
    </row>
    <row r="60" spans="9:35" x14ac:dyDescent="0.45">
      <c r="I60" s="20">
        <f t="shared" si="11"/>
        <v>54</v>
      </c>
      <c r="J60" s="63">
        <f t="shared" si="12"/>
        <v>96367.241542681324</v>
      </c>
      <c r="K60" s="79">
        <f t="shared" si="25"/>
        <v>425.65694216465067</v>
      </c>
      <c r="L60" s="63">
        <f t="shared" si="13"/>
        <v>-14009.626897699527</v>
      </c>
      <c r="M60" s="80">
        <f t="shared" si="0"/>
        <v>82783.271587146446</v>
      </c>
      <c r="O60" s="20">
        <f t="shared" si="14"/>
        <v>54</v>
      </c>
      <c r="P60" s="54">
        <f t="shared" si="15"/>
        <v>28086.75</v>
      </c>
      <c r="Q60" s="63">
        <f t="shared" si="16"/>
        <v>31673.77203260977</v>
      </c>
      <c r="R60" s="77">
        <f t="shared" si="2"/>
        <v>-14009.626897699527</v>
      </c>
      <c r="S60" s="63">
        <f t="shared" si="17"/>
        <v>-5849.208333333333</v>
      </c>
      <c r="T60" s="63"/>
      <c r="U60" s="63">
        <f t="shared" si="18"/>
        <v>-1583.6886016304886</v>
      </c>
      <c r="V60" s="77">
        <f t="shared" si="21"/>
        <v>-159.39092708333337</v>
      </c>
      <c r="W60" s="83">
        <f t="shared" si="4"/>
        <v>10071.857272863088</v>
      </c>
      <c r="X60" s="85">
        <f t="shared" si="19"/>
        <v>404067.39709398174</v>
      </c>
      <c r="Z60" s="92">
        <f t="shared" si="20"/>
        <v>76507.645000000019</v>
      </c>
      <c r="AA60" s="5">
        <f t="shared" si="5"/>
        <v>0</v>
      </c>
      <c r="AB60" s="92">
        <f t="shared" si="6"/>
        <v>76507.645000000019</v>
      </c>
      <c r="AE60" s="12">
        <f t="shared" si="7"/>
        <v>54</v>
      </c>
      <c r="AF60" s="337">
        <f t="shared" si="7"/>
        <v>28086.75</v>
      </c>
      <c r="AG60" s="176">
        <f t="shared" si="8"/>
        <v>4679.3666666666668</v>
      </c>
      <c r="AI60" s="176">
        <f t="shared" si="9"/>
        <v>1169.8416666666665</v>
      </c>
    </row>
    <row r="61" spans="9:35" x14ac:dyDescent="0.45">
      <c r="I61" s="20">
        <f t="shared" si="11"/>
        <v>55</v>
      </c>
      <c r="J61" s="63">
        <f t="shared" si="12"/>
        <v>82783.271587146446</v>
      </c>
      <c r="K61" s="79">
        <f t="shared" si="25"/>
        <v>365.65614706906257</v>
      </c>
      <c r="L61" s="63">
        <f t="shared" si="13"/>
        <v>-14009.626897699527</v>
      </c>
      <c r="M61" s="80">
        <f t="shared" si="0"/>
        <v>69139.300836515991</v>
      </c>
      <c r="O61" s="20">
        <f t="shared" si="14"/>
        <v>55</v>
      </c>
      <c r="P61" s="54">
        <f t="shared" si="15"/>
        <v>28606.875</v>
      </c>
      <c r="Q61" s="63">
        <f t="shared" si="16"/>
        <v>31673.77203260977</v>
      </c>
      <c r="R61" s="77">
        <f t="shared" si="2"/>
        <v>-14009.626897699527</v>
      </c>
      <c r="S61" s="63">
        <f t="shared" si="17"/>
        <v>-5849.208333333333</v>
      </c>
      <c r="T61" s="63" t="e">
        <f>-#REF!*0.5</f>
        <v>#REF!</v>
      </c>
      <c r="U61" s="63">
        <f t="shared" si="18"/>
        <v>-1583.6886016304886</v>
      </c>
      <c r="V61" s="77">
        <f t="shared" si="21"/>
        <v>-135.26294270833338</v>
      </c>
      <c r="W61" s="83" t="e">
        <f t="shared" si="4"/>
        <v>#REF!</v>
      </c>
      <c r="X61" s="85" t="e">
        <f t="shared" si="19"/>
        <v>#REF!</v>
      </c>
      <c r="Z61" s="92">
        <f t="shared" si="20"/>
        <v>64926.212500000023</v>
      </c>
      <c r="AA61" s="5">
        <f t="shared" si="5"/>
        <v>0</v>
      </c>
      <c r="AB61" s="92">
        <f t="shared" si="6"/>
        <v>64926.212500000023</v>
      </c>
      <c r="AE61" s="12">
        <f t="shared" si="7"/>
        <v>55</v>
      </c>
      <c r="AF61" s="337">
        <f t="shared" si="7"/>
        <v>28606.875</v>
      </c>
      <c r="AG61" s="176">
        <f t="shared" si="8"/>
        <v>4679.3666666666668</v>
      </c>
      <c r="AI61" s="176">
        <f t="shared" si="9"/>
        <v>1169.8416666666665</v>
      </c>
    </row>
    <row r="62" spans="9:35" x14ac:dyDescent="0.45">
      <c r="I62" s="20">
        <f t="shared" si="11"/>
        <v>56</v>
      </c>
      <c r="J62" s="63">
        <f t="shared" si="12"/>
        <v>69139.300836515991</v>
      </c>
      <c r="K62" s="79">
        <f t="shared" si="25"/>
        <v>305.39032669560021</v>
      </c>
      <c r="L62" s="63">
        <f t="shared" si="13"/>
        <v>-14009.626897699527</v>
      </c>
      <c r="M62" s="80">
        <f t="shared" si="0"/>
        <v>55435.064265512068</v>
      </c>
      <c r="O62" s="20">
        <f t="shared" si="14"/>
        <v>56</v>
      </c>
      <c r="P62" s="54">
        <f t="shared" si="15"/>
        <v>29127</v>
      </c>
      <c r="Q62" s="63">
        <f t="shared" si="16"/>
        <v>31673.77203260977</v>
      </c>
      <c r="R62" s="77">
        <f t="shared" si="2"/>
        <v>-14009.626897699527</v>
      </c>
      <c r="S62" s="63">
        <f t="shared" si="17"/>
        <v>-5849.208333333333</v>
      </c>
      <c r="T62" s="63" t="e">
        <f>-#REF!*0.5</f>
        <v>#REF!</v>
      </c>
      <c r="U62" s="63">
        <f t="shared" si="18"/>
        <v>-1583.6886016304886</v>
      </c>
      <c r="V62" s="77">
        <f t="shared" si="21"/>
        <v>-111.13495833333339</v>
      </c>
      <c r="W62" s="83" t="e">
        <f t="shared" si="4"/>
        <v>#REF!</v>
      </c>
      <c r="X62" s="85" t="e">
        <f t="shared" si="19"/>
        <v>#REF!</v>
      </c>
      <c r="Z62" s="92">
        <f t="shared" si="20"/>
        <v>53344.780000000028</v>
      </c>
      <c r="AA62" s="5">
        <f t="shared" si="5"/>
        <v>0</v>
      </c>
      <c r="AB62" s="92">
        <f t="shared" si="6"/>
        <v>53344.780000000028</v>
      </c>
      <c r="AE62" s="12">
        <f t="shared" si="7"/>
        <v>56</v>
      </c>
      <c r="AF62" s="337">
        <f t="shared" si="7"/>
        <v>29127</v>
      </c>
      <c r="AG62" s="176">
        <f t="shared" si="8"/>
        <v>4679.3666666666668</v>
      </c>
      <c r="AI62" s="176">
        <f t="shared" si="9"/>
        <v>1169.8416666666665</v>
      </c>
    </row>
    <row r="63" spans="9:35" x14ac:dyDescent="0.45">
      <c r="I63" s="20">
        <f t="shared" si="11"/>
        <v>57</v>
      </c>
      <c r="J63" s="63">
        <f t="shared" si="12"/>
        <v>55435.064265512068</v>
      </c>
      <c r="K63" s="79">
        <f t="shared" si="25"/>
        <v>244.85831041981089</v>
      </c>
      <c r="L63" s="63">
        <f t="shared" si="13"/>
        <v>-14009.626897699527</v>
      </c>
      <c r="M63" s="80">
        <f t="shared" si="0"/>
        <v>41670.295678232353</v>
      </c>
      <c r="O63" s="20">
        <f t="shared" si="14"/>
        <v>57</v>
      </c>
      <c r="P63" s="54">
        <f t="shared" si="15"/>
        <v>29647.125</v>
      </c>
      <c r="Q63" s="63">
        <f t="shared" si="16"/>
        <v>31673.77203260977</v>
      </c>
      <c r="R63" s="77">
        <f t="shared" si="2"/>
        <v>-14009.626897699527</v>
      </c>
      <c r="S63" s="63">
        <f>+S61</f>
        <v>-5849.208333333333</v>
      </c>
      <c r="T63" s="63" t="e">
        <f>-#REF!*0.5</f>
        <v>#REF!</v>
      </c>
      <c r="U63" s="63">
        <f>U61</f>
        <v>-1583.6886016304886</v>
      </c>
      <c r="V63" s="77">
        <f t="shared" si="21"/>
        <v>-87.006973958333404</v>
      </c>
      <c r="W63" s="83" t="e">
        <f t="shared" si="4"/>
        <v>#REF!</v>
      </c>
      <c r="X63" s="85" t="e">
        <f>X61+W63</f>
        <v>#REF!</v>
      </c>
      <c r="Z63" s="92">
        <f t="shared" si="20"/>
        <v>41763.347500000033</v>
      </c>
      <c r="AA63" s="5">
        <f t="shared" si="5"/>
        <v>0</v>
      </c>
      <c r="AB63" s="92">
        <f t="shared" si="6"/>
        <v>41763.347500000033</v>
      </c>
      <c r="AE63" s="12">
        <f t="shared" si="7"/>
        <v>57</v>
      </c>
      <c r="AF63" s="337">
        <f t="shared" si="7"/>
        <v>29647.125</v>
      </c>
      <c r="AG63" s="176">
        <f t="shared" si="8"/>
        <v>4679.3666666666668</v>
      </c>
      <c r="AI63" s="176">
        <f t="shared" si="9"/>
        <v>1169.8416666666665</v>
      </c>
    </row>
    <row r="64" spans="9:35" x14ac:dyDescent="0.45">
      <c r="I64" s="20">
        <f t="shared" si="11"/>
        <v>58</v>
      </c>
      <c r="J64" s="63">
        <f t="shared" si="12"/>
        <v>41670.295678232353</v>
      </c>
      <c r="K64" s="79">
        <f t="shared" si="25"/>
        <v>184.05892244655942</v>
      </c>
      <c r="L64" s="63">
        <f t="shared" si="13"/>
        <v>-14009.626897699527</v>
      </c>
      <c r="M64" s="80">
        <f t="shared" si="0"/>
        <v>27844.727702979384</v>
      </c>
      <c r="O64" s="20">
        <f t="shared" si="14"/>
        <v>58</v>
      </c>
      <c r="P64" s="54">
        <f t="shared" si="15"/>
        <v>30167.25</v>
      </c>
      <c r="Q64" s="63">
        <f t="shared" si="16"/>
        <v>31673.77203260977</v>
      </c>
      <c r="R64" s="77">
        <f t="shared" si="2"/>
        <v>-14009.626897699527</v>
      </c>
      <c r="S64" s="63">
        <f>+S61</f>
        <v>-5849.208333333333</v>
      </c>
      <c r="T64" s="63" t="e">
        <f>-#REF!*0.5</f>
        <v>#REF!</v>
      </c>
      <c r="U64" s="63">
        <f>U61</f>
        <v>-1583.6886016304886</v>
      </c>
      <c r="V64" s="77">
        <f t="shared" si="21"/>
        <v>-62.878989583333656</v>
      </c>
      <c r="W64" s="83" t="e">
        <f t="shared" si="4"/>
        <v>#REF!</v>
      </c>
      <c r="X64" s="85" t="e">
        <f>X61+W64</f>
        <v>#REF!</v>
      </c>
      <c r="Z64" s="92">
        <f t="shared" si="20"/>
        <v>30181.915000000154</v>
      </c>
      <c r="AA64" s="5">
        <f t="shared" si="5"/>
        <v>0</v>
      </c>
      <c r="AB64" s="92">
        <f t="shared" si="6"/>
        <v>30181.915000000154</v>
      </c>
      <c r="AE64" s="12">
        <f t="shared" si="7"/>
        <v>58</v>
      </c>
      <c r="AF64" s="337">
        <f t="shared" si="7"/>
        <v>30167.25</v>
      </c>
      <c r="AG64" s="176">
        <f t="shared" si="8"/>
        <v>4679.3666666666668</v>
      </c>
      <c r="AI64" s="176">
        <f t="shared" si="9"/>
        <v>1169.8416666666665</v>
      </c>
    </row>
    <row r="65" spans="9:35" x14ac:dyDescent="0.45">
      <c r="I65" s="20">
        <f t="shared" si="11"/>
        <v>59</v>
      </c>
      <c r="J65" s="63">
        <f t="shared" si="12"/>
        <v>27844.727702979384</v>
      </c>
      <c r="K65" s="79">
        <f t="shared" si="25"/>
        <v>122.99098178718877</v>
      </c>
      <c r="L65" s="63">
        <f t="shared" si="13"/>
        <v>-14009.626897699527</v>
      </c>
      <c r="M65" s="80">
        <f t="shared" si="0"/>
        <v>13958.091787067046</v>
      </c>
      <c r="O65" s="20">
        <f t="shared" si="14"/>
        <v>59</v>
      </c>
      <c r="P65" s="54">
        <f t="shared" si="15"/>
        <v>30687.375</v>
      </c>
      <c r="Q65" s="63">
        <f t="shared" si="16"/>
        <v>31673.77203260977</v>
      </c>
      <c r="R65" s="77">
        <f t="shared" si="2"/>
        <v>-14009.626897699527</v>
      </c>
      <c r="S65" s="63">
        <f>+S62</f>
        <v>-5849.208333333333</v>
      </c>
      <c r="T65" s="63" t="e">
        <f>-#REF!*0.5</f>
        <v>#REF!</v>
      </c>
      <c r="U65" s="63">
        <f>U62</f>
        <v>-1583.6886016304886</v>
      </c>
      <c r="V65" s="77">
        <f t="shared" si="21"/>
        <v>-38.751005208333424</v>
      </c>
      <c r="W65" s="83" t="e">
        <f t="shared" si="4"/>
        <v>#REF!</v>
      </c>
      <c r="X65" s="85" t="e">
        <f>X62+W65</f>
        <v>#REF!</v>
      </c>
      <c r="Z65" s="92">
        <f t="shared" si="20"/>
        <v>18600.482500000042</v>
      </c>
      <c r="AA65" s="5">
        <f t="shared" si="5"/>
        <v>0</v>
      </c>
      <c r="AB65" s="92">
        <f t="shared" si="6"/>
        <v>18600.482500000042</v>
      </c>
      <c r="AE65" s="12">
        <f t="shared" si="7"/>
        <v>59</v>
      </c>
      <c r="AF65" s="337">
        <f t="shared" si="7"/>
        <v>30687.375</v>
      </c>
      <c r="AG65" s="176">
        <f t="shared" si="8"/>
        <v>4679.3666666666668</v>
      </c>
      <c r="AI65" s="176">
        <f t="shared" si="9"/>
        <v>1169.8416666666665</v>
      </c>
    </row>
    <row r="66" spans="9:35" ht="14.65" thickBot="1" x14ac:dyDescent="0.5">
      <c r="I66" s="20">
        <f t="shared" si="11"/>
        <v>60</v>
      </c>
      <c r="J66" s="63">
        <f t="shared" si="12"/>
        <v>13958.091787067046</v>
      </c>
      <c r="K66" s="79">
        <f t="shared" si="25"/>
        <v>61.653302236580437</v>
      </c>
      <c r="L66" s="63">
        <f t="shared" si="13"/>
        <v>-14009.626897699527</v>
      </c>
      <c r="M66" s="80">
        <f t="shared" si="0"/>
        <v>10.118191604098683</v>
      </c>
      <c r="O66" s="20">
        <f t="shared" si="14"/>
        <v>60</v>
      </c>
      <c r="P66" s="54">
        <f t="shared" si="15"/>
        <v>31207.5</v>
      </c>
      <c r="Q66" s="63">
        <f t="shared" si="16"/>
        <v>31673.77203260977</v>
      </c>
      <c r="R66" s="77">
        <f t="shared" si="2"/>
        <v>-14009.626897699527</v>
      </c>
      <c r="S66" s="63">
        <f>+S62</f>
        <v>-5849.208333333333</v>
      </c>
      <c r="T66" s="63" t="e">
        <f>-#REF!*0.5</f>
        <v>#REF!</v>
      </c>
      <c r="U66" s="63">
        <f>U62</f>
        <v>-1583.6886016304886</v>
      </c>
      <c r="V66" s="77">
        <f t="shared" si="21"/>
        <v>-14.623020833333433</v>
      </c>
      <c r="W66" s="83" t="e">
        <f t="shared" si="4"/>
        <v>#REF!</v>
      </c>
      <c r="X66" s="85" t="e">
        <f>X62+W66</f>
        <v>#REF!</v>
      </c>
      <c r="Z66" s="92">
        <f t="shared" si="20"/>
        <v>7019.0500000000466</v>
      </c>
      <c r="AA66" s="5">
        <f t="shared" si="5"/>
        <v>0</v>
      </c>
      <c r="AB66" s="92">
        <f t="shared" si="6"/>
        <v>7019.0500000000466</v>
      </c>
      <c r="AE66" s="12">
        <f t="shared" si="7"/>
        <v>60</v>
      </c>
      <c r="AF66" s="337">
        <f t="shared" si="7"/>
        <v>31207.5</v>
      </c>
      <c r="AG66" s="176">
        <f t="shared" si="8"/>
        <v>4679.3666666666668</v>
      </c>
      <c r="AI66" s="176">
        <f t="shared" si="9"/>
        <v>1169.8416666666665</v>
      </c>
    </row>
    <row r="67" spans="9:35" ht="14.65" thickBot="1" x14ac:dyDescent="0.5">
      <c r="I67" s="21" t="s">
        <v>20</v>
      </c>
      <c r="J67" s="69">
        <f>C7*C11</f>
        <v>7370.0025000000005</v>
      </c>
      <c r="K67" s="69">
        <f>SUM(K7:K54)</f>
        <v>98858.115071256791</v>
      </c>
      <c r="L67" s="81"/>
      <c r="M67" s="82"/>
      <c r="O67" s="58"/>
      <c r="P67" s="59"/>
      <c r="Q67" s="69">
        <f t="shared" ref="Q67:V67" si="26">SUM(Q7:Q54)</f>
        <v>1520341.0575652681</v>
      </c>
      <c r="R67" s="69">
        <f t="shared" si="26"/>
        <v>-672462.09108957776</v>
      </c>
      <c r="S67" s="87">
        <f t="shared" si="26"/>
        <v>-280762.00000000012</v>
      </c>
      <c r="T67" s="87">
        <f t="shared" si="26"/>
        <v>-105285.75</v>
      </c>
      <c r="U67" s="69">
        <f t="shared" si="26"/>
        <v>-76017.052878263406</v>
      </c>
      <c r="V67" s="69">
        <f t="shared" si="26"/>
        <v>-41815.990375000001</v>
      </c>
      <c r="W67" s="88"/>
      <c r="X67" s="82"/>
    </row>
    <row r="68" spans="9:35" x14ac:dyDescent="0.45">
      <c r="Q68" s="89">
        <f>+SUM(Q67:V67)</f>
        <v>343998.17322242685</v>
      </c>
      <c r="R68" s="89"/>
      <c r="S68" s="90">
        <f>D31</f>
        <v>350952.5</v>
      </c>
      <c r="T68" s="60">
        <f>D32</f>
        <v>105285.75</v>
      </c>
      <c r="U68" s="89"/>
      <c r="V68" s="89"/>
      <c r="W68" s="89"/>
      <c r="X68" s="89"/>
    </row>
    <row r="69" spans="9:35" ht="14.65" thickBot="1" x14ac:dyDescent="0.5">
      <c r="L69" s="129">
        <f>+PMT(C8/12,C12,(C7),,)</f>
        <v>-14009.626897699527</v>
      </c>
      <c r="Q69" s="89"/>
      <c r="R69" s="89"/>
      <c r="S69" s="91">
        <f>S67+S68</f>
        <v>70190.499999999884</v>
      </c>
      <c r="T69" s="66">
        <f>T67+T68</f>
        <v>0</v>
      </c>
      <c r="U69" s="89"/>
      <c r="V69" s="89"/>
      <c r="W69" s="89"/>
      <c r="X69" s="89"/>
    </row>
    <row r="70" spans="9:35" ht="14.65" thickBot="1" x14ac:dyDescent="0.5">
      <c r="I70" s="12"/>
      <c r="J70" s="316"/>
      <c r="K70" s="316"/>
      <c r="L70" s="316"/>
      <c r="M70" s="316"/>
      <c r="O70" s="12"/>
      <c r="P70" s="12"/>
      <c r="Q70" s="316"/>
      <c r="R70" s="316"/>
      <c r="S70" s="317"/>
      <c r="T70" s="318"/>
      <c r="U70" s="316"/>
      <c r="V70" s="316"/>
      <c r="W70" s="316"/>
      <c r="X70" s="316"/>
    </row>
    <row r="71" spans="9:35" ht="14.65" thickBot="1" x14ac:dyDescent="0.5">
      <c r="I71" s="12"/>
      <c r="J71" s="316"/>
      <c r="K71" s="316"/>
      <c r="L71" s="316"/>
      <c r="M71" s="316"/>
      <c r="O71" s="12"/>
      <c r="P71" s="12"/>
      <c r="Q71" s="316"/>
      <c r="R71" s="316"/>
      <c r="S71" s="317"/>
      <c r="T71" s="318"/>
      <c r="U71" s="316"/>
      <c r="V71" s="316"/>
      <c r="W71" s="316"/>
      <c r="X71" s="316"/>
    </row>
    <row r="72" spans="9:35" x14ac:dyDescent="0.45">
      <c r="Q72" s="89"/>
      <c r="R72" s="89"/>
      <c r="S72" s="90">
        <f>D31</f>
        <v>350952.5</v>
      </c>
      <c r="T72" s="60">
        <f>D32</f>
        <v>105285.75</v>
      </c>
      <c r="U72" s="89"/>
      <c r="V72" s="89"/>
      <c r="W72" s="89"/>
      <c r="X72" s="89"/>
    </row>
    <row r="73" spans="9:35" ht="14.65" thickBot="1" x14ac:dyDescent="0.5">
      <c r="J73" s="163">
        <f>J54/J7</f>
        <v>0.23965492520294648</v>
      </c>
      <c r="L73" s="129"/>
      <c r="Q73" s="89"/>
      <c r="R73" s="89"/>
      <c r="S73" s="91">
        <f>S55+S72</f>
        <v>345103.29166666669</v>
      </c>
      <c r="T73" s="66">
        <f>T55+T72</f>
        <v>105285.75</v>
      </c>
      <c r="U73" s="89"/>
      <c r="V73" s="89"/>
      <c r="W73" s="89"/>
      <c r="X73" s="89"/>
    </row>
  </sheetData>
  <mergeCells count="11">
    <mergeCell ref="A1:X1"/>
    <mergeCell ref="A3:C3"/>
    <mergeCell ref="D3:X3"/>
    <mergeCell ref="A5:C5"/>
    <mergeCell ref="I5:M5"/>
    <mergeCell ref="O5:X5"/>
    <mergeCell ref="A16:E16"/>
    <mergeCell ref="A25:G25"/>
    <mergeCell ref="A41:G41"/>
    <mergeCell ref="B42:E42"/>
    <mergeCell ref="B43:E43"/>
  </mergeCells>
  <printOptions horizontalCentered="1"/>
  <pageMargins left="0.70866141732283505" right="0.70866141732283505" top="0.74803149606299202" bottom="0.74803149606299202" header="0.31496062992126" footer="0.31496062992126"/>
  <headerFooter>
    <oddHeader>&amp;R&amp;A</oddHeader>
    <oddFooter>&amp;L&amp;D&amp;C&amp;P&amp;R&amp;A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B6CB-B025-D643-A308-DEBF67C89F5A}">
  <sheetPr>
    <tabColor theme="9" tint="-0.249977111117893"/>
    <pageSetUpPr fitToPage="1"/>
  </sheetPr>
  <dimension ref="A1:AE129"/>
  <sheetViews>
    <sheetView topLeftCell="A6" zoomScale="85" zoomScaleNormal="85" workbookViewId="0">
      <selection activeCell="C32" sqref="C32"/>
    </sheetView>
  </sheetViews>
  <sheetFormatPr defaultColWidth="9.1328125" defaultRowHeight="14.25" x14ac:dyDescent="0.45"/>
  <cols>
    <col min="1" max="1" width="6.265625" style="3" customWidth="1"/>
    <col min="2" max="2" width="18.265625" style="3" bestFit="1" customWidth="1"/>
    <col min="3" max="4" width="15" style="3" bestFit="1" customWidth="1"/>
    <col min="5" max="5" width="14" style="3" bestFit="1" customWidth="1"/>
    <col min="6" max="6" width="17.3984375" style="3" bestFit="1" customWidth="1"/>
    <col min="7" max="7" width="15.1328125" style="3" bestFit="1" customWidth="1"/>
    <col min="8" max="8" width="9.1328125" style="3"/>
    <col min="9" max="9" width="7.3984375" style="3" bestFit="1" customWidth="1"/>
    <col min="10" max="10" width="15" style="3" bestFit="1" customWidth="1"/>
    <col min="11" max="11" width="14" style="3" bestFit="1" customWidth="1"/>
    <col min="12" max="12" width="13.1328125" style="3" bestFit="1" customWidth="1"/>
    <col min="13" max="13" width="15" style="3" bestFit="1" customWidth="1"/>
    <col min="14" max="16" width="9.1328125" style="3"/>
    <col min="17" max="19" width="15.86328125" style="3" bestFit="1" customWidth="1"/>
    <col min="20" max="21" width="14.73046875" style="3" customWidth="1"/>
    <col min="22" max="22" width="13.265625" style="3" bestFit="1" customWidth="1"/>
    <col min="23" max="23" width="14.86328125" style="3" bestFit="1" customWidth="1"/>
    <col min="24" max="24" width="15.1328125" style="3" bestFit="1" customWidth="1"/>
    <col min="25" max="25" width="9.1328125" style="3"/>
    <col min="26" max="26" width="12.73046875" style="3" bestFit="1" customWidth="1"/>
    <col min="27" max="27" width="9.1328125" style="3"/>
    <col min="28" max="29" width="16.265625" style="3" customWidth="1"/>
    <col min="30" max="30" width="16.3984375" style="3" customWidth="1"/>
    <col min="31" max="16384" width="9.1328125" style="3"/>
  </cols>
  <sheetData>
    <row r="1" spans="1:31" ht="62.25" customHeight="1" thickBot="1" x14ac:dyDescent="0.5">
      <c r="A1" s="676">
        <f>+ASSUMPTIONS!B1</f>
        <v>0</v>
      </c>
      <c r="B1" s="677"/>
      <c r="C1" s="677"/>
      <c r="D1" s="677"/>
      <c r="E1" s="677"/>
      <c r="F1" s="677"/>
      <c r="G1" s="677"/>
      <c r="H1" s="677"/>
      <c r="I1" s="677"/>
      <c r="J1" s="677"/>
      <c r="K1" s="677"/>
      <c r="L1" s="677"/>
      <c r="M1" s="677"/>
      <c r="N1" s="677"/>
      <c r="O1" s="677"/>
      <c r="P1" s="677"/>
      <c r="Q1" s="677"/>
      <c r="R1" s="677"/>
      <c r="S1" s="677"/>
      <c r="T1" s="677"/>
      <c r="U1" s="677"/>
      <c r="V1" s="677"/>
      <c r="W1" s="677"/>
      <c r="X1" s="678"/>
    </row>
    <row r="2" spans="1:31" ht="16.149999999999999" thickBot="1" x14ac:dyDescent="0.5">
      <c r="A2" s="308"/>
      <c r="B2" s="308"/>
      <c r="C2" s="309"/>
      <c r="D2" s="309"/>
      <c r="E2" s="309"/>
      <c r="F2" s="309"/>
      <c r="G2" s="309"/>
      <c r="H2" s="309"/>
      <c r="I2" s="310"/>
      <c r="J2" s="309"/>
      <c r="K2" s="309"/>
      <c r="L2" s="309"/>
      <c r="M2" s="309"/>
    </row>
    <row r="3" spans="1:31" ht="32.25" customHeight="1" thickBot="1" x14ac:dyDescent="0.5">
      <c r="A3" s="679" t="str">
        <f>'Summary Equip'!B9</f>
        <v>Ore Truck 50t</v>
      </c>
      <c r="B3" s="680"/>
      <c r="C3" s="681"/>
      <c r="D3" s="682" t="s">
        <v>2</v>
      </c>
      <c r="E3" s="683"/>
      <c r="F3" s="683"/>
      <c r="G3" s="683"/>
      <c r="H3" s="683"/>
      <c r="I3" s="683"/>
      <c r="J3" s="683"/>
      <c r="K3" s="683"/>
      <c r="L3" s="683"/>
      <c r="M3" s="683"/>
      <c r="N3" s="683"/>
      <c r="O3" s="683"/>
      <c r="P3" s="683"/>
      <c r="Q3" s="683"/>
      <c r="R3" s="683"/>
      <c r="S3" s="683"/>
      <c r="T3" s="683"/>
      <c r="U3" s="683"/>
      <c r="V3" s="683"/>
      <c r="W3" s="683"/>
      <c r="X3" s="684"/>
    </row>
    <row r="4" spans="1:31" ht="14.65" thickBot="1" x14ac:dyDescent="0.5">
      <c r="C4" s="11"/>
      <c r="D4" s="11"/>
      <c r="E4" s="11"/>
      <c r="F4" s="11"/>
      <c r="G4" s="11"/>
      <c r="H4" s="11"/>
      <c r="I4" s="12"/>
      <c r="J4" s="11"/>
      <c r="K4" s="11"/>
      <c r="L4" s="11"/>
      <c r="M4" s="11"/>
      <c r="Q4" s="368">
        <f>+'Summary Equip'!AC7</f>
        <v>520.125</v>
      </c>
      <c r="U4" s="57">
        <v>0.05</v>
      </c>
    </row>
    <row r="5" spans="1:31" ht="23.25" customHeight="1" thickBot="1" x14ac:dyDescent="0.5">
      <c r="A5" s="685" t="s">
        <v>9</v>
      </c>
      <c r="B5" s="686"/>
      <c r="C5" s="687"/>
      <c r="D5" s="11"/>
      <c r="E5" s="11"/>
      <c r="F5" s="11"/>
      <c r="G5" s="11"/>
      <c r="H5" s="11"/>
      <c r="I5" s="688" t="s">
        <v>34</v>
      </c>
      <c r="J5" s="689"/>
      <c r="K5" s="689"/>
      <c r="L5" s="689"/>
      <c r="M5" s="690"/>
      <c r="O5" s="688" t="s">
        <v>35</v>
      </c>
      <c r="P5" s="691"/>
      <c r="Q5" s="689"/>
      <c r="R5" s="689"/>
      <c r="S5" s="689"/>
      <c r="T5" s="689"/>
      <c r="U5" s="689"/>
      <c r="V5" s="689"/>
      <c r="W5" s="692"/>
      <c r="X5" s="693"/>
      <c r="AA5" s="145">
        <v>0</v>
      </c>
    </row>
    <row r="6" spans="1:31" ht="28.9" thickBot="1" x14ac:dyDescent="0.5">
      <c r="A6" s="29" t="s">
        <v>0</v>
      </c>
      <c r="B6" s="28" t="s">
        <v>1</v>
      </c>
      <c r="C6" s="50" t="s">
        <v>10</v>
      </c>
      <c r="D6" s="11"/>
      <c r="E6" s="11"/>
      <c r="F6" s="11"/>
      <c r="G6" s="11"/>
      <c r="H6" s="11"/>
      <c r="I6" s="16" t="s">
        <v>15</v>
      </c>
      <c r="J6" s="17" t="s">
        <v>70</v>
      </c>
      <c r="K6" s="17" t="s">
        <v>17</v>
      </c>
      <c r="L6" s="17" t="s">
        <v>18</v>
      </c>
      <c r="M6" s="18" t="s">
        <v>19</v>
      </c>
      <c r="O6" s="16" t="s">
        <v>15</v>
      </c>
      <c r="P6" s="52" t="s">
        <v>39</v>
      </c>
      <c r="Q6" s="17" t="s">
        <v>36</v>
      </c>
      <c r="R6" s="17" t="s">
        <v>37</v>
      </c>
      <c r="S6" s="17" t="s">
        <v>27</v>
      </c>
      <c r="T6" s="17" t="s">
        <v>38</v>
      </c>
      <c r="U6" s="17" t="s">
        <v>7</v>
      </c>
      <c r="V6" s="17" t="s">
        <v>41</v>
      </c>
      <c r="W6" s="18" t="s">
        <v>40</v>
      </c>
      <c r="X6" s="55" t="s">
        <v>42</v>
      </c>
      <c r="Z6" s="5" t="s">
        <v>71</v>
      </c>
      <c r="AA6" s="5" t="s">
        <v>46</v>
      </c>
      <c r="AB6" s="5" t="s">
        <v>47</v>
      </c>
    </row>
    <row r="7" spans="1:31" x14ac:dyDescent="0.45">
      <c r="A7" s="8">
        <v>1</v>
      </c>
      <c r="B7" s="9" t="s">
        <v>11</v>
      </c>
      <c r="C7" s="152">
        <f>+F11*(1+'Summary Equip'!$N$3)</f>
        <v>114450</v>
      </c>
      <c r="D7" s="11"/>
      <c r="E7" s="8" t="s">
        <v>61</v>
      </c>
      <c r="F7" s="150">
        <f>+'Summary Equip'!J9</f>
        <v>109000</v>
      </c>
      <c r="G7" s="106"/>
      <c r="H7" s="383">
        <v>1</v>
      </c>
      <c r="I7" s="15">
        <v>1</v>
      </c>
      <c r="J7" s="77">
        <f>C7</f>
        <v>114450</v>
      </c>
      <c r="K7" s="77">
        <f>J7*$C$8*30.44/365.25</f>
        <v>505.52901848049277</v>
      </c>
      <c r="L7" s="77">
        <f>+L69</f>
        <v>-2175.578364378724</v>
      </c>
      <c r="M7" s="78">
        <f t="shared" ref="M7:M66" si="0">J7+K7+L7</f>
        <v>112779.95065410176</v>
      </c>
      <c r="O7" s="15">
        <v>1</v>
      </c>
      <c r="P7" s="53">
        <f>Q4</f>
        <v>520.125</v>
      </c>
      <c r="Q7" s="77">
        <f>$F$42+($Q$4*$G$42)</f>
        <v>5654.6938954071984</v>
      </c>
      <c r="R7" s="77">
        <f>+L7</f>
        <v>-2175.578364378724</v>
      </c>
      <c r="S7" s="77">
        <f>+IF(R7=0,,-S68/C12)</f>
        <v>-908.33333333333337</v>
      </c>
      <c r="T7" s="77"/>
      <c r="U7" s="77">
        <f>-Q7*U4</f>
        <v>-282.73469477035991</v>
      </c>
      <c r="V7" s="77">
        <f>-(AB7*$C$9/12)</f>
        <v>-223.33645833333335</v>
      </c>
      <c r="W7" s="83">
        <f>SUM(Q7:V7)</f>
        <v>2064.7110445914477</v>
      </c>
      <c r="X7" s="84">
        <f>W7</f>
        <v>2064.7110445914477</v>
      </c>
      <c r="Z7" s="92">
        <f>+$D$27-(($D$27+$D$28)*O7/$B$22)</f>
        <v>107201.5</v>
      </c>
      <c r="AA7" s="5">
        <f>+Z7*$AA$5</f>
        <v>0</v>
      </c>
      <c r="AB7" s="92">
        <f>+Z7+AA7</f>
        <v>107201.5</v>
      </c>
      <c r="AC7" s="132"/>
      <c r="AD7" s="132">
        <f>+S7</f>
        <v>-908.33333333333337</v>
      </c>
      <c r="AE7" s="3">
        <f>+IF(AD7=0,0,1)</f>
        <v>1</v>
      </c>
    </row>
    <row r="8" spans="1:31" ht="28.5" x14ac:dyDescent="0.45">
      <c r="A8" s="4">
        <f>A7+1</f>
        <v>2</v>
      </c>
      <c r="B8" s="5" t="s">
        <v>3</v>
      </c>
      <c r="C8" s="156">
        <f>+'Summary Equip'!R9</f>
        <v>5.2999999999999999E-2</v>
      </c>
      <c r="D8" s="11"/>
      <c r="E8" s="107" t="s">
        <v>64</v>
      </c>
      <c r="F8" s="311">
        <f>+'Summary Equip'!D9</f>
        <v>0</v>
      </c>
      <c r="G8" s="108"/>
      <c r="H8" s="383">
        <f>+'Summary Equip'!C7</f>
        <v>1</v>
      </c>
      <c r="I8" s="14">
        <f>I7+1</f>
        <v>2</v>
      </c>
      <c r="J8" s="63">
        <f>+IF(M7&lt;0,,M7)</f>
        <v>112779.95065410176</v>
      </c>
      <c r="K8" s="63">
        <f t="shared" ref="K8:K54" si="1">J8*$C$8*30.44/365.25</f>
        <v>498.1523613669417</v>
      </c>
      <c r="L8" s="63">
        <f>IF(M7&lt;0,,L7)</f>
        <v>-2175.578364378724</v>
      </c>
      <c r="M8" s="65">
        <f t="shared" si="0"/>
        <v>111102.52465108997</v>
      </c>
      <c r="O8" s="14">
        <f>O7+1</f>
        <v>2</v>
      </c>
      <c r="P8" s="54">
        <f>P7+$Q$4</f>
        <v>1040.25</v>
      </c>
      <c r="Q8" s="63">
        <f>$F$42+($Q$4*$G$42)</f>
        <v>5654.6938954071984</v>
      </c>
      <c r="R8" s="77">
        <f t="shared" ref="R8:R66" si="2">+L8</f>
        <v>-2175.578364378724</v>
      </c>
      <c r="S8" s="63">
        <f>+IF(R8=0,,S7)</f>
        <v>-908.33333333333337</v>
      </c>
      <c r="T8" s="63"/>
      <c r="U8" s="63">
        <f>U7</f>
        <v>-282.73469477035991</v>
      </c>
      <c r="V8" s="77">
        <f t="shared" ref="V8:V14" si="3">-(AB8*$C$9/12)</f>
        <v>-219.58958333333337</v>
      </c>
      <c r="W8" s="83">
        <f t="shared" ref="W8:W66" si="4">SUM(Q8:V8)</f>
        <v>2068.4579195914475</v>
      </c>
      <c r="X8" s="85">
        <f>X7+W8</f>
        <v>4133.1689641828953</v>
      </c>
      <c r="Z8" s="92">
        <f>+$D$27-(($D$27+$D$28)*O8/$B$22)</f>
        <v>105403</v>
      </c>
      <c r="AA8" s="5">
        <f t="shared" ref="AA8:AA66" si="5">+Z8*$AA$5</f>
        <v>0</v>
      </c>
      <c r="AB8" s="92">
        <f t="shared" ref="AB8:AB66" si="6">+Z8+AA8</f>
        <v>105403</v>
      </c>
      <c r="AD8" s="133">
        <f t="shared" ref="AD8:AD53" si="7">IF(AD7=0,0,IF(+S8+AD7&lt;-$S$72,0,+S8+AD7))</f>
        <v>-1816.6666666666667</v>
      </c>
      <c r="AE8" s="3">
        <f t="shared" ref="AE8:AE66" si="8">+IF(AD8=0,0,1)</f>
        <v>1</v>
      </c>
    </row>
    <row r="9" spans="1:31" x14ac:dyDescent="0.45">
      <c r="A9" s="4">
        <f t="shared" ref="A9:A14" si="9">A8+1</f>
        <v>3</v>
      </c>
      <c r="B9" s="5" t="s">
        <v>4</v>
      </c>
      <c r="C9" s="157">
        <f>+'Summary Equip'!S9</f>
        <v>2.5000000000000001E-2</v>
      </c>
      <c r="D9" s="11"/>
      <c r="E9" s="338" t="s">
        <v>69</v>
      </c>
      <c r="F9" s="339">
        <f>+'Summary Equip'!F9</f>
        <v>5450</v>
      </c>
      <c r="G9" s="110"/>
      <c r="H9" s="383">
        <f>+'Summary Equip'!E7</f>
        <v>1</v>
      </c>
      <c r="I9" s="14">
        <f t="shared" ref="I9:I66" si="10">I8+1</f>
        <v>3</v>
      </c>
      <c r="J9" s="63">
        <f t="shared" ref="J9:J66" si="11">+IF(M8&lt;0,,M8)</f>
        <v>111102.52465108997</v>
      </c>
      <c r="K9" s="63">
        <f t="shared" si="1"/>
        <v>490.74312134181105</v>
      </c>
      <c r="L9" s="63">
        <f t="shared" ref="L9:L66" si="12">IF(M8&lt;0,,L8)</f>
        <v>-2175.578364378724</v>
      </c>
      <c r="M9" s="65">
        <f t="shared" si="0"/>
        <v>109417.68940805306</v>
      </c>
      <c r="O9" s="14">
        <f t="shared" ref="O9:O66" si="13">O8+1</f>
        <v>3</v>
      </c>
      <c r="P9" s="54">
        <f t="shared" ref="P9:P66" si="14">P8+$Q$4</f>
        <v>1560.375</v>
      </c>
      <c r="Q9" s="63">
        <f t="shared" ref="Q9:Q66" si="15">$F$42+($Q$4*$G$42)</f>
        <v>5654.6938954071984</v>
      </c>
      <c r="R9" s="77">
        <f t="shared" si="2"/>
        <v>-2175.578364378724</v>
      </c>
      <c r="S9" s="63">
        <f t="shared" ref="S9:S62" si="16">+S8</f>
        <v>-908.33333333333337</v>
      </c>
      <c r="T9" s="63"/>
      <c r="U9" s="63">
        <f t="shared" ref="U9:U62" si="17">U8</f>
        <v>-282.73469477035991</v>
      </c>
      <c r="V9" s="77">
        <f t="shared" si="3"/>
        <v>-215.84270833333335</v>
      </c>
      <c r="W9" s="83">
        <f t="shared" si="4"/>
        <v>2072.2047945914474</v>
      </c>
      <c r="X9" s="85">
        <f t="shared" ref="X9:X62" si="18">X8+W9</f>
        <v>6205.3737587743426</v>
      </c>
      <c r="Z9" s="92">
        <f t="shared" ref="Z9:Z66" si="19">+$D$27-(($D$27+$D$28)*O9/$B$22)</f>
        <v>103604.5</v>
      </c>
      <c r="AA9" s="5">
        <f t="shared" si="5"/>
        <v>0</v>
      </c>
      <c r="AB9" s="92">
        <f t="shared" si="6"/>
        <v>103604.5</v>
      </c>
      <c r="AD9" s="133">
        <f t="shared" si="7"/>
        <v>-2725</v>
      </c>
      <c r="AE9" s="3">
        <f t="shared" si="8"/>
        <v>1</v>
      </c>
    </row>
    <row r="10" spans="1:31" ht="14.65" thickBot="1" x14ac:dyDescent="0.5">
      <c r="A10" s="4">
        <f t="shared" si="9"/>
        <v>4</v>
      </c>
      <c r="B10" s="5" t="s">
        <v>5</v>
      </c>
      <c r="C10" s="158">
        <f>+'Summary Equip'!T9</f>
        <v>0.05</v>
      </c>
      <c r="D10" s="11"/>
      <c r="E10" s="111" t="s">
        <v>52</v>
      </c>
      <c r="F10" s="312">
        <f>SUM(F7:F8)*G10</f>
        <v>0</v>
      </c>
      <c r="G10" s="151">
        <f>+'Summary Equip'!H9</f>
        <v>0</v>
      </c>
      <c r="H10" s="383">
        <f>+'Summary Equip'!G7</f>
        <v>0</v>
      </c>
      <c r="I10" s="14">
        <f t="shared" si="10"/>
        <v>4</v>
      </c>
      <c r="J10" s="63">
        <f t="shared" si="11"/>
        <v>109417.68940805306</v>
      </c>
      <c r="K10" s="63">
        <f t="shared" si="1"/>
        <v>483.30115448542136</v>
      </c>
      <c r="L10" s="63">
        <f t="shared" si="12"/>
        <v>-2175.578364378724</v>
      </c>
      <c r="M10" s="65">
        <f t="shared" si="0"/>
        <v>107725.41219815976</v>
      </c>
      <c r="O10" s="14">
        <f t="shared" si="13"/>
        <v>4</v>
      </c>
      <c r="P10" s="54">
        <f t="shared" si="14"/>
        <v>2080.5</v>
      </c>
      <c r="Q10" s="63">
        <f t="shared" si="15"/>
        <v>5654.6938954071984</v>
      </c>
      <c r="R10" s="77">
        <f t="shared" si="2"/>
        <v>-2175.578364378724</v>
      </c>
      <c r="S10" s="63">
        <f t="shared" si="16"/>
        <v>-908.33333333333337</v>
      </c>
      <c r="T10" s="63"/>
      <c r="U10" s="63">
        <f t="shared" si="17"/>
        <v>-282.73469477035991</v>
      </c>
      <c r="V10" s="77">
        <f t="shared" si="3"/>
        <v>-212.09583333333333</v>
      </c>
      <c r="W10" s="83">
        <f t="shared" si="4"/>
        <v>2075.9516695914476</v>
      </c>
      <c r="X10" s="85">
        <f t="shared" si="18"/>
        <v>8281.3254283657898</v>
      </c>
      <c r="Z10" s="92">
        <f t="shared" si="19"/>
        <v>101806</v>
      </c>
      <c r="AA10" s="5">
        <f t="shared" si="5"/>
        <v>0</v>
      </c>
      <c r="AB10" s="92">
        <f t="shared" si="6"/>
        <v>101806</v>
      </c>
      <c r="AD10" s="133">
        <f t="shared" si="7"/>
        <v>-3633.3333333333335</v>
      </c>
      <c r="AE10" s="3">
        <f t="shared" si="8"/>
        <v>1</v>
      </c>
    </row>
    <row r="11" spans="1:31" ht="14.65" thickBot="1" x14ac:dyDescent="0.5">
      <c r="A11" s="4">
        <f t="shared" si="9"/>
        <v>5</v>
      </c>
      <c r="B11" s="5" t="s">
        <v>12</v>
      </c>
      <c r="C11" s="159">
        <f>+'Summary Equip'!U9</f>
        <v>0.01</v>
      </c>
      <c r="D11" s="11"/>
      <c r="E11" s="112" t="s">
        <v>28</v>
      </c>
      <c r="F11" s="313">
        <f>SUMPRODUCT(F7:F10,H7:H10)</f>
        <v>114450</v>
      </c>
      <c r="G11" s="113"/>
      <c r="H11" s="11"/>
      <c r="I11" s="14">
        <f t="shared" si="10"/>
        <v>5</v>
      </c>
      <c r="J11" s="63">
        <f t="shared" si="11"/>
        <v>107725.41219815976</v>
      </c>
      <c r="K11" s="63">
        <f t="shared" si="1"/>
        <v>475.82631624239582</v>
      </c>
      <c r="L11" s="63">
        <f t="shared" si="12"/>
        <v>-2175.578364378724</v>
      </c>
      <c r="M11" s="65">
        <f t="shared" si="0"/>
        <v>106025.66015002342</v>
      </c>
      <c r="O11" s="14">
        <f t="shared" si="13"/>
        <v>5</v>
      </c>
      <c r="P11" s="54">
        <f t="shared" si="14"/>
        <v>2600.625</v>
      </c>
      <c r="Q11" s="63">
        <f t="shared" si="15"/>
        <v>5654.6938954071984</v>
      </c>
      <c r="R11" s="77">
        <f t="shared" si="2"/>
        <v>-2175.578364378724</v>
      </c>
      <c r="S11" s="63">
        <f t="shared" si="16"/>
        <v>-908.33333333333337</v>
      </c>
      <c r="T11" s="63"/>
      <c r="U11" s="63">
        <f t="shared" si="17"/>
        <v>-282.73469477035991</v>
      </c>
      <c r="V11" s="77">
        <f t="shared" si="3"/>
        <v>-208.34895833333334</v>
      </c>
      <c r="W11" s="83">
        <f t="shared" si="4"/>
        <v>2079.6985445914474</v>
      </c>
      <c r="X11" s="85">
        <f t="shared" si="18"/>
        <v>10361.023972957237</v>
      </c>
      <c r="Z11" s="92">
        <f t="shared" si="19"/>
        <v>100007.5</v>
      </c>
      <c r="AA11" s="5">
        <f t="shared" si="5"/>
        <v>0</v>
      </c>
      <c r="AB11" s="92">
        <f t="shared" si="6"/>
        <v>100007.5</v>
      </c>
      <c r="AD11" s="133">
        <f t="shared" si="7"/>
        <v>-4541.666666666667</v>
      </c>
      <c r="AE11" s="3">
        <f t="shared" si="8"/>
        <v>1</v>
      </c>
    </row>
    <row r="12" spans="1:31" x14ac:dyDescent="0.45">
      <c r="A12" s="4">
        <f t="shared" si="9"/>
        <v>6</v>
      </c>
      <c r="B12" s="5" t="s">
        <v>13</v>
      </c>
      <c r="C12" s="160">
        <f>+'Summary Equip'!V9</f>
        <v>60</v>
      </c>
      <c r="D12" s="11"/>
      <c r="E12" s="11"/>
      <c r="F12" s="11"/>
      <c r="G12" s="11"/>
      <c r="H12" s="11"/>
      <c r="I12" s="14">
        <f t="shared" si="10"/>
        <v>6</v>
      </c>
      <c r="J12" s="63">
        <f t="shared" si="11"/>
        <v>106025.66015002342</v>
      </c>
      <c r="K12" s="63">
        <f t="shared" si="1"/>
        <v>468.31846141885228</v>
      </c>
      <c r="L12" s="63">
        <f t="shared" si="12"/>
        <v>-2175.578364378724</v>
      </c>
      <c r="M12" s="65">
        <f t="shared" si="0"/>
        <v>104318.40024706355</v>
      </c>
      <c r="O12" s="14">
        <f t="shared" si="13"/>
        <v>6</v>
      </c>
      <c r="P12" s="54">
        <f t="shared" si="14"/>
        <v>3120.75</v>
      </c>
      <c r="Q12" s="63">
        <f t="shared" si="15"/>
        <v>5654.6938954071984</v>
      </c>
      <c r="R12" s="77">
        <f t="shared" si="2"/>
        <v>-2175.578364378724</v>
      </c>
      <c r="S12" s="63">
        <f t="shared" si="16"/>
        <v>-908.33333333333337</v>
      </c>
      <c r="T12" s="63"/>
      <c r="U12" s="63">
        <f t="shared" si="17"/>
        <v>-282.73469477035991</v>
      </c>
      <c r="V12" s="77">
        <f t="shared" si="3"/>
        <v>-204.60208333333333</v>
      </c>
      <c r="W12" s="83">
        <f t="shared" si="4"/>
        <v>2083.4454195914477</v>
      </c>
      <c r="X12" s="85">
        <f t="shared" si="18"/>
        <v>12444.469392548684</v>
      </c>
      <c r="Z12" s="92">
        <f t="shared" si="19"/>
        <v>98209</v>
      </c>
      <c r="AA12" s="5">
        <f t="shared" si="5"/>
        <v>0</v>
      </c>
      <c r="AB12" s="92">
        <f t="shared" si="6"/>
        <v>98209</v>
      </c>
      <c r="AD12" s="133">
        <f t="shared" si="7"/>
        <v>-5450</v>
      </c>
      <c r="AE12" s="3">
        <f t="shared" si="8"/>
        <v>1</v>
      </c>
    </row>
    <row r="13" spans="1:31" x14ac:dyDescent="0.45">
      <c r="A13" s="4">
        <f t="shared" si="9"/>
        <v>7</v>
      </c>
      <c r="B13" s="5" t="s">
        <v>14</v>
      </c>
      <c r="C13" s="161">
        <f>+'Summary Equip'!W9</f>
        <v>18000</v>
      </c>
      <c r="D13" s="176">
        <f>+C13*C14</f>
        <v>16200</v>
      </c>
      <c r="E13" s="11"/>
      <c r="F13" s="11"/>
      <c r="G13" s="11"/>
      <c r="H13" s="11"/>
      <c r="I13" s="14">
        <f t="shared" si="10"/>
        <v>7</v>
      </c>
      <c r="J13" s="63">
        <f t="shared" si="11"/>
        <v>104318.40024706355</v>
      </c>
      <c r="K13" s="63">
        <f t="shared" si="1"/>
        <v>460.77744417958269</v>
      </c>
      <c r="L13" s="63">
        <f t="shared" si="12"/>
        <v>-2175.578364378724</v>
      </c>
      <c r="M13" s="65">
        <f t="shared" si="0"/>
        <v>102603.59932686439</v>
      </c>
      <c r="O13" s="14">
        <f t="shared" si="13"/>
        <v>7</v>
      </c>
      <c r="P13" s="54">
        <f t="shared" si="14"/>
        <v>3640.875</v>
      </c>
      <c r="Q13" s="63">
        <f t="shared" si="15"/>
        <v>5654.6938954071984</v>
      </c>
      <c r="R13" s="77">
        <f t="shared" si="2"/>
        <v>-2175.578364378724</v>
      </c>
      <c r="S13" s="63">
        <f t="shared" si="16"/>
        <v>-908.33333333333337</v>
      </c>
      <c r="T13" s="63"/>
      <c r="U13" s="63">
        <f t="shared" si="17"/>
        <v>-282.73469477035991</v>
      </c>
      <c r="V13" s="77">
        <f t="shared" si="3"/>
        <v>-200.85520833333337</v>
      </c>
      <c r="W13" s="83">
        <f t="shared" si="4"/>
        <v>2087.1922945914475</v>
      </c>
      <c r="X13" s="85">
        <f t="shared" si="18"/>
        <v>14531.661687140131</v>
      </c>
      <c r="Z13" s="92">
        <f t="shared" si="19"/>
        <v>96410.5</v>
      </c>
      <c r="AA13" s="5">
        <f t="shared" si="5"/>
        <v>0</v>
      </c>
      <c r="AB13" s="92">
        <f t="shared" si="6"/>
        <v>96410.5</v>
      </c>
      <c r="AD13" s="133">
        <f t="shared" si="7"/>
        <v>-6358.333333333333</v>
      </c>
      <c r="AE13" s="3">
        <f t="shared" si="8"/>
        <v>1</v>
      </c>
    </row>
    <row r="14" spans="1:31" ht="14.65" thickBot="1" x14ac:dyDescent="0.5">
      <c r="A14" s="6">
        <f t="shared" si="9"/>
        <v>8</v>
      </c>
      <c r="B14" s="7" t="s">
        <v>33</v>
      </c>
      <c r="C14" s="162">
        <f>+'Summary Equip'!X9</f>
        <v>0.9</v>
      </c>
      <c r="D14" s="176">
        <f>+D13/C12</f>
        <v>270</v>
      </c>
      <c r="E14" s="11"/>
      <c r="F14" s="11"/>
      <c r="G14" s="11"/>
      <c r="H14" s="11"/>
      <c r="I14" s="14">
        <f t="shared" si="10"/>
        <v>8</v>
      </c>
      <c r="J14" s="63">
        <f t="shared" si="11"/>
        <v>102603.59932686439</v>
      </c>
      <c r="K14" s="63">
        <f t="shared" si="1"/>
        <v>453.20311804522072</v>
      </c>
      <c r="L14" s="63">
        <f t="shared" si="12"/>
        <v>-2175.578364378724</v>
      </c>
      <c r="M14" s="65">
        <f t="shared" si="0"/>
        <v>100881.22408053088</v>
      </c>
      <c r="O14" s="14">
        <f t="shared" si="13"/>
        <v>8</v>
      </c>
      <c r="P14" s="54">
        <f t="shared" si="14"/>
        <v>4161</v>
      </c>
      <c r="Q14" s="63">
        <f t="shared" si="15"/>
        <v>5654.6938954071984</v>
      </c>
      <c r="R14" s="77">
        <f t="shared" si="2"/>
        <v>-2175.578364378724</v>
      </c>
      <c r="S14" s="63">
        <f t="shared" si="16"/>
        <v>-908.33333333333337</v>
      </c>
      <c r="T14" s="63"/>
      <c r="U14" s="63">
        <f t="shared" si="17"/>
        <v>-282.73469477035991</v>
      </c>
      <c r="V14" s="77">
        <f t="shared" si="3"/>
        <v>-197.10833333333335</v>
      </c>
      <c r="W14" s="83">
        <f t="shared" si="4"/>
        <v>2090.9391695914474</v>
      </c>
      <c r="X14" s="85">
        <f t="shared" si="18"/>
        <v>16622.60085673158</v>
      </c>
      <c r="Z14" s="92">
        <f t="shared" si="19"/>
        <v>94612</v>
      </c>
      <c r="AA14" s="5">
        <f t="shared" si="5"/>
        <v>0</v>
      </c>
      <c r="AB14" s="92">
        <f t="shared" si="6"/>
        <v>94612</v>
      </c>
      <c r="AD14" s="133">
        <f t="shared" si="7"/>
        <v>-7266.6666666666661</v>
      </c>
      <c r="AE14" s="3">
        <f t="shared" si="8"/>
        <v>1</v>
      </c>
    </row>
    <row r="15" spans="1:31" ht="14.65" thickBot="1" x14ac:dyDescent="0.5">
      <c r="C15" s="11"/>
      <c r="D15" s="11"/>
      <c r="E15" s="11"/>
      <c r="F15" s="11"/>
      <c r="G15" s="11"/>
      <c r="H15" s="11"/>
      <c r="I15" s="14">
        <f t="shared" si="10"/>
        <v>9</v>
      </c>
      <c r="J15" s="63">
        <f t="shared" si="11"/>
        <v>100881.22408053088</v>
      </c>
      <c r="K15" s="63">
        <f t="shared" si="1"/>
        <v>445.59533588939661</v>
      </c>
      <c r="L15" s="63">
        <f t="shared" si="12"/>
        <v>-2175.578364378724</v>
      </c>
      <c r="M15" s="65">
        <f t="shared" si="0"/>
        <v>99151.241052041543</v>
      </c>
      <c r="O15" s="14">
        <f t="shared" si="13"/>
        <v>9</v>
      </c>
      <c r="P15" s="54">
        <f t="shared" si="14"/>
        <v>4681.125</v>
      </c>
      <c r="Q15" s="63">
        <f t="shared" si="15"/>
        <v>5654.6938954071984</v>
      </c>
      <c r="R15" s="77">
        <f t="shared" si="2"/>
        <v>-2175.578364378724</v>
      </c>
      <c r="S15" s="63">
        <f t="shared" si="16"/>
        <v>-908.33333333333337</v>
      </c>
      <c r="T15" s="63"/>
      <c r="U15" s="63">
        <f t="shared" si="17"/>
        <v>-282.73469477035991</v>
      </c>
      <c r="V15" s="77">
        <f>-(AB15*$C$9/12)</f>
        <v>-193.36145833333333</v>
      </c>
      <c r="W15" s="83">
        <f t="shared" si="4"/>
        <v>2094.6860445914476</v>
      </c>
      <c r="X15" s="85">
        <f t="shared" si="18"/>
        <v>18717.286901323027</v>
      </c>
      <c r="Z15" s="92">
        <f t="shared" si="19"/>
        <v>92813.5</v>
      </c>
      <c r="AA15" s="5">
        <f t="shared" si="5"/>
        <v>0</v>
      </c>
      <c r="AB15" s="92">
        <f t="shared" si="6"/>
        <v>92813.5</v>
      </c>
      <c r="AD15" s="133">
        <f t="shared" si="7"/>
        <v>-8174.9999999999991</v>
      </c>
      <c r="AE15" s="3">
        <f t="shared" si="8"/>
        <v>1</v>
      </c>
    </row>
    <row r="16" spans="1:31" ht="16.149999999999999" thickBot="1" x14ac:dyDescent="0.5">
      <c r="A16" s="661" t="s">
        <v>43</v>
      </c>
      <c r="B16" s="662"/>
      <c r="C16" s="662"/>
      <c r="D16" s="662"/>
      <c r="E16" s="663"/>
      <c r="F16" s="1"/>
      <c r="G16" s="1"/>
      <c r="H16" s="117"/>
      <c r="I16" s="14">
        <f t="shared" si="10"/>
        <v>10</v>
      </c>
      <c r="J16" s="63">
        <f t="shared" si="11"/>
        <v>99151.241052041543</v>
      </c>
      <c r="K16" s="63">
        <f t="shared" si="1"/>
        <v>437.95394993587865</v>
      </c>
      <c r="L16" s="63">
        <f t="shared" si="12"/>
        <v>-2175.578364378724</v>
      </c>
      <c r="M16" s="65">
        <f t="shared" si="0"/>
        <v>97413.616637598694</v>
      </c>
      <c r="O16" s="14">
        <f t="shared" si="13"/>
        <v>10</v>
      </c>
      <c r="P16" s="54">
        <f t="shared" si="14"/>
        <v>5201.25</v>
      </c>
      <c r="Q16" s="63">
        <f t="shared" si="15"/>
        <v>5654.6938954071984</v>
      </c>
      <c r="R16" s="77">
        <f t="shared" si="2"/>
        <v>-2175.578364378724</v>
      </c>
      <c r="S16" s="63">
        <f t="shared" si="16"/>
        <v>-908.33333333333337</v>
      </c>
      <c r="T16" s="63"/>
      <c r="U16" s="63">
        <f t="shared" si="17"/>
        <v>-282.73469477035991</v>
      </c>
      <c r="V16" s="77">
        <f t="shared" ref="V16:V66" si="20">-(AB16*$C$9/12)</f>
        <v>-189.61458333333334</v>
      </c>
      <c r="W16" s="83">
        <f t="shared" si="4"/>
        <v>2098.4329195914474</v>
      </c>
      <c r="X16" s="85">
        <f t="shared" si="18"/>
        <v>20815.719820914474</v>
      </c>
      <c r="Z16" s="92">
        <f t="shared" si="19"/>
        <v>91015</v>
      </c>
      <c r="AA16" s="5">
        <f t="shared" si="5"/>
        <v>0</v>
      </c>
      <c r="AB16" s="92">
        <f t="shared" si="6"/>
        <v>91015</v>
      </c>
      <c r="AD16" s="133">
        <f t="shared" si="7"/>
        <v>-9083.3333333333321</v>
      </c>
      <c r="AE16" s="3">
        <f t="shared" si="8"/>
        <v>1</v>
      </c>
    </row>
    <row r="17" spans="1:31" ht="14.65" thickBot="1" x14ac:dyDescent="0.5">
      <c r="A17" s="97" t="s">
        <v>44</v>
      </c>
      <c r="B17" s="98" t="s">
        <v>48</v>
      </c>
      <c r="C17" s="98" t="s">
        <v>45</v>
      </c>
      <c r="D17" s="99" t="s">
        <v>46</v>
      </c>
      <c r="E17" s="55" t="s">
        <v>47</v>
      </c>
      <c r="F17" s="1"/>
      <c r="G17" s="1"/>
      <c r="H17" s="117"/>
      <c r="I17" s="14">
        <f t="shared" si="10"/>
        <v>11</v>
      </c>
      <c r="J17" s="63">
        <f t="shared" si="11"/>
        <v>97413.616637598694</v>
      </c>
      <c r="K17" s="63">
        <f t="shared" si="1"/>
        <v>430.2788117557036</v>
      </c>
      <c r="L17" s="63">
        <f t="shared" si="12"/>
        <v>-2175.578364378724</v>
      </c>
      <c r="M17" s="65">
        <f t="shared" si="0"/>
        <v>95668.317084975672</v>
      </c>
      <c r="O17" s="14">
        <f t="shared" si="13"/>
        <v>11</v>
      </c>
      <c r="P17" s="54">
        <f t="shared" si="14"/>
        <v>5721.375</v>
      </c>
      <c r="Q17" s="63">
        <f t="shared" si="15"/>
        <v>5654.6938954071984</v>
      </c>
      <c r="R17" s="77">
        <f t="shared" si="2"/>
        <v>-2175.578364378724</v>
      </c>
      <c r="S17" s="63">
        <f t="shared" si="16"/>
        <v>-908.33333333333337</v>
      </c>
      <c r="T17" s="63"/>
      <c r="U17" s="63">
        <f t="shared" si="17"/>
        <v>-282.73469477035991</v>
      </c>
      <c r="V17" s="77">
        <f t="shared" si="20"/>
        <v>-185.86770833333333</v>
      </c>
      <c r="W17" s="83">
        <f t="shared" si="4"/>
        <v>2102.1797945914477</v>
      </c>
      <c r="X17" s="85">
        <f t="shared" si="18"/>
        <v>22917.899615505921</v>
      </c>
      <c r="Z17" s="92">
        <f t="shared" si="19"/>
        <v>89216.5</v>
      </c>
      <c r="AA17" s="5">
        <f t="shared" si="5"/>
        <v>0</v>
      </c>
      <c r="AB17" s="92">
        <f t="shared" si="6"/>
        <v>89216.5</v>
      </c>
      <c r="AD17" s="133">
        <f t="shared" si="7"/>
        <v>-9991.6666666666661</v>
      </c>
      <c r="AE17" s="3">
        <f t="shared" si="8"/>
        <v>1</v>
      </c>
    </row>
    <row r="18" spans="1:31" x14ac:dyDescent="0.45">
      <c r="A18" s="94">
        <v>1</v>
      </c>
      <c r="B18" s="95">
        <v>12</v>
      </c>
      <c r="C18" s="96">
        <f>D$27-(D$27+D$28)*B18/60</f>
        <v>87418</v>
      </c>
      <c r="D18" s="100">
        <v>0.1</v>
      </c>
      <c r="E18" s="103">
        <f t="shared" ref="E18:E23" si="21">C18/(100%-D18)</f>
        <v>97131.111111111109</v>
      </c>
      <c r="F18" s="11"/>
      <c r="G18" s="11"/>
      <c r="H18" s="11"/>
      <c r="I18" s="14">
        <f t="shared" si="10"/>
        <v>12</v>
      </c>
      <c r="J18" s="63">
        <f t="shared" si="11"/>
        <v>95668.317084975672</v>
      </c>
      <c r="K18" s="63">
        <f t="shared" si="1"/>
        <v>422.56977226429285</v>
      </c>
      <c r="L18" s="63">
        <f t="shared" si="12"/>
        <v>-2175.578364378724</v>
      </c>
      <c r="M18" s="65">
        <f t="shared" si="0"/>
        <v>93915.308492861237</v>
      </c>
      <c r="O18" s="14">
        <f t="shared" si="13"/>
        <v>12</v>
      </c>
      <c r="P18" s="54">
        <f t="shared" si="14"/>
        <v>6241.5</v>
      </c>
      <c r="Q18" s="63">
        <f t="shared" si="15"/>
        <v>5654.6938954071984</v>
      </c>
      <c r="R18" s="77">
        <f t="shared" si="2"/>
        <v>-2175.578364378724</v>
      </c>
      <c r="S18" s="63">
        <f t="shared" si="16"/>
        <v>-908.33333333333337</v>
      </c>
      <c r="T18" s="63"/>
      <c r="U18" s="63">
        <f t="shared" si="17"/>
        <v>-282.73469477035991</v>
      </c>
      <c r="V18" s="77">
        <f t="shared" si="20"/>
        <v>-182.12083333333337</v>
      </c>
      <c r="W18" s="83">
        <f t="shared" si="4"/>
        <v>2105.9266695914475</v>
      </c>
      <c r="X18" s="85">
        <f t="shared" si="18"/>
        <v>25023.82628509737</v>
      </c>
      <c r="Z18" s="92">
        <f t="shared" si="19"/>
        <v>87418</v>
      </c>
      <c r="AA18" s="5">
        <f t="shared" si="5"/>
        <v>0</v>
      </c>
      <c r="AB18" s="92">
        <f t="shared" si="6"/>
        <v>87418</v>
      </c>
      <c r="AD18" s="133">
        <f t="shared" si="7"/>
        <v>-10900</v>
      </c>
      <c r="AE18" s="3">
        <f t="shared" si="8"/>
        <v>1</v>
      </c>
    </row>
    <row r="19" spans="1:31" x14ac:dyDescent="0.45">
      <c r="A19" s="4">
        <f>A18+1</f>
        <v>2</v>
      </c>
      <c r="B19" s="5">
        <f>B18+12</f>
        <v>24</v>
      </c>
      <c r="C19" s="92">
        <f>D$27-(D$27+D$28)*B19/60</f>
        <v>65836</v>
      </c>
      <c r="D19" s="101">
        <f>D18</f>
        <v>0.1</v>
      </c>
      <c r="E19" s="104">
        <f t="shared" si="21"/>
        <v>73151.111111111109</v>
      </c>
      <c r="F19" s="11"/>
      <c r="G19" s="11"/>
      <c r="H19" s="11"/>
      <c r="I19" s="14">
        <f t="shared" si="10"/>
        <v>13</v>
      </c>
      <c r="J19" s="63">
        <f t="shared" si="11"/>
        <v>93915.308492861237</v>
      </c>
      <c r="K19" s="63">
        <f t="shared" si="1"/>
        <v>414.82668171855687</v>
      </c>
      <c r="L19" s="63">
        <f t="shared" si="12"/>
        <v>-2175.578364378724</v>
      </c>
      <c r="M19" s="65">
        <f t="shared" si="0"/>
        <v>92154.556810201058</v>
      </c>
      <c r="O19" s="14">
        <f t="shared" si="13"/>
        <v>13</v>
      </c>
      <c r="P19" s="54">
        <f t="shared" si="14"/>
        <v>6761.625</v>
      </c>
      <c r="Q19" s="63">
        <f t="shared" si="15"/>
        <v>5654.6938954071984</v>
      </c>
      <c r="R19" s="77">
        <f t="shared" si="2"/>
        <v>-2175.578364378724</v>
      </c>
      <c r="S19" s="63">
        <f t="shared" si="16"/>
        <v>-908.33333333333337</v>
      </c>
      <c r="T19" s="63"/>
      <c r="U19" s="63">
        <f t="shared" si="17"/>
        <v>-282.73469477035991</v>
      </c>
      <c r="V19" s="77">
        <f t="shared" si="20"/>
        <v>-178.37395833333335</v>
      </c>
      <c r="W19" s="83">
        <f t="shared" si="4"/>
        <v>2109.6735445914474</v>
      </c>
      <c r="X19" s="85">
        <f t="shared" si="18"/>
        <v>27133.499829688815</v>
      </c>
      <c r="Z19" s="92">
        <f t="shared" si="19"/>
        <v>85619.5</v>
      </c>
      <c r="AA19" s="5">
        <f t="shared" si="5"/>
        <v>0</v>
      </c>
      <c r="AB19" s="92">
        <f t="shared" si="6"/>
        <v>85619.5</v>
      </c>
      <c r="AD19" s="133">
        <f t="shared" si="7"/>
        <v>-11808.333333333334</v>
      </c>
      <c r="AE19" s="3">
        <f t="shared" si="8"/>
        <v>1</v>
      </c>
    </row>
    <row r="20" spans="1:31" x14ac:dyDescent="0.45">
      <c r="A20" s="4">
        <f>A19+1</f>
        <v>3</v>
      </c>
      <c r="B20" s="5">
        <f>B19+12</f>
        <v>36</v>
      </c>
      <c r="C20" s="92">
        <f>D$27-(D$27+D$28)*B20/60</f>
        <v>44254</v>
      </c>
      <c r="D20" s="101">
        <f>D19</f>
        <v>0.1</v>
      </c>
      <c r="E20" s="104">
        <f t="shared" si="21"/>
        <v>49171.111111111109</v>
      </c>
      <c r="F20" s="11"/>
      <c r="G20" s="11"/>
      <c r="H20" s="11"/>
      <c r="I20" s="14">
        <f t="shared" si="10"/>
        <v>14</v>
      </c>
      <c r="J20" s="63">
        <f t="shared" si="11"/>
        <v>92154.556810201058</v>
      </c>
      <c r="K20" s="63">
        <f t="shared" si="1"/>
        <v>407.04938971398656</v>
      </c>
      <c r="L20" s="63">
        <f t="shared" si="12"/>
        <v>-2175.578364378724</v>
      </c>
      <c r="M20" s="65">
        <f t="shared" si="0"/>
        <v>90386.027835536312</v>
      </c>
      <c r="O20" s="14">
        <f t="shared" si="13"/>
        <v>14</v>
      </c>
      <c r="P20" s="54">
        <f t="shared" si="14"/>
        <v>7281.75</v>
      </c>
      <c r="Q20" s="63">
        <f t="shared" si="15"/>
        <v>5654.6938954071984</v>
      </c>
      <c r="R20" s="77">
        <f t="shared" si="2"/>
        <v>-2175.578364378724</v>
      </c>
      <c r="S20" s="63">
        <f t="shared" si="16"/>
        <v>-908.33333333333337</v>
      </c>
      <c r="T20" s="63"/>
      <c r="U20" s="63">
        <f t="shared" si="17"/>
        <v>-282.73469477035991</v>
      </c>
      <c r="V20" s="77">
        <f t="shared" si="20"/>
        <v>-174.62708333333333</v>
      </c>
      <c r="W20" s="83">
        <f t="shared" si="4"/>
        <v>2113.4204195914476</v>
      </c>
      <c r="X20" s="85">
        <f t="shared" si="18"/>
        <v>29246.920249280261</v>
      </c>
      <c r="Z20" s="92">
        <f t="shared" si="19"/>
        <v>83821</v>
      </c>
      <c r="AA20" s="5">
        <f t="shared" si="5"/>
        <v>0</v>
      </c>
      <c r="AB20" s="92">
        <f t="shared" si="6"/>
        <v>83821</v>
      </c>
      <c r="AD20" s="133">
        <f t="shared" si="7"/>
        <v>-12716.666666666668</v>
      </c>
      <c r="AE20" s="3">
        <f t="shared" si="8"/>
        <v>1</v>
      </c>
    </row>
    <row r="21" spans="1:31" x14ac:dyDescent="0.45">
      <c r="A21" s="4">
        <f>A20+1</f>
        <v>4</v>
      </c>
      <c r="B21" s="5">
        <f>B20+12</f>
        <v>48</v>
      </c>
      <c r="C21" s="92">
        <f>D$27-(D$27+D$28)*B21/60</f>
        <v>22672</v>
      </c>
      <c r="D21" s="101">
        <f>D20</f>
        <v>0.1</v>
      </c>
      <c r="E21" s="104">
        <f t="shared" si="21"/>
        <v>25191.111111111109</v>
      </c>
      <c r="F21" s="11"/>
      <c r="G21" s="11"/>
      <c r="H21" s="11"/>
      <c r="I21" s="14">
        <f t="shared" si="10"/>
        <v>15</v>
      </c>
      <c r="J21" s="63">
        <f t="shared" si="11"/>
        <v>90386.027835536312</v>
      </c>
      <c r="K21" s="63">
        <f t="shared" si="1"/>
        <v>399.23774518173155</v>
      </c>
      <c r="L21" s="63">
        <f t="shared" si="12"/>
        <v>-2175.578364378724</v>
      </c>
      <c r="M21" s="65">
        <f t="shared" si="0"/>
        <v>88609.687216339313</v>
      </c>
      <c r="O21" s="14">
        <f t="shared" si="13"/>
        <v>15</v>
      </c>
      <c r="P21" s="54">
        <f t="shared" si="14"/>
        <v>7801.875</v>
      </c>
      <c r="Q21" s="63">
        <f t="shared" si="15"/>
        <v>5654.6938954071984</v>
      </c>
      <c r="R21" s="77">
        <f t="shared" si="2"/>
        <v>-2175.578364378724</v>
      </c>
      <c r="S21" s="63">
        <f t="shared" si="16"/>
        <v>-908.33333333333337</v>
      </c>
      <c r="T21" s="63"/>
      <c r="U21" s="63">
        <f t="shared" si="17"/>
        <v>-282.73469477035991</v>
      </c>
      <c r="V21" s="77">
        <f t="shared" si="20"/>
        <v>-170.88020833333334</v>
      </c>
      <c r="W21" s="83">
        <f t="shared" si="4"/>
        <v>2117.1672945914474</v>
      </c>
      <c r="X21" s="85">
        <f t="shared" si="18"/>
        <v>31364.087543871708</v>
      </c>
      <c r="Z21" s="92">
        <f t="shared" si="19"/>
        <v>82022.5</v>
      </c>
      <c r="AA21" s="5">
        <f t="shared" si="5"/>
        <v>0</v>
      </c>
      <c r="AB21" s="92">
        <f t="shared" si="6"/>
        <v>82022.5</v>
      </c>
      <c r="AD21" s="133">
        <f t="shared" si="7"/>
        <v>-13625.000000000002</v>
      </c>
      <c r="AE21" s="3">
        <f t="shared" si="8"/>
        <v>1</v>
      </c>
    </row>
    <row r="22" spans="1:31" x14ac:dyDescent="0.45">
      <c r="A22" s="4">
        <f>A21+1</f>
        <v>5</v>
      </c>
      <c r="B22" s="5">
        <f>B21+12</f>
        <v>60</v>
      </c>
      <c r="C22" s="92">
        <f>D$27-(D$27+D$28)*B22/60</f>
        <v>1090</v>
      </c>
      <c r="D22" s="101">
        <f>D21</f>
        <v>0.1</v>
      </c>
      <c r="E22" s="104">
        <f t="shared" si="21"/>
        <v>1211.1111111111111</v>
      </c>
      <c r="F22" s="11"/>
      <c r="G22" s="11"/>
      <c r="H22" s="11"/>
      <c r="I22" s="14">
        <f t="shared" si="10"/>
        <v>16</v>
      </c>
      <c r="J22" s="63">
        <f t="shared" si="11"/>
        <v>88609.687216339313</v>
      </c>
      <c r="K22" s="63">
        <f t="shared" si="1"/>
        <v>391.39159638566611</v>
      </c>
      <c r="L22" s="63">
        <f t="shared" si="12"/>
        <v>-2175.578364378724</v>
      </c>
      <c r="M22" s="65">
        <f t="shared" si="0"/>
        <v>86825.500448346254</v>
      </c>
      <c r="O22" s="14">
        <f t="shared" si="13"/>
        <v>16</v>
      </c>
      <c r="P22" s="54">
        <f t="shared" si="14"/>
        <v>8322</v>
      </c>
      <c r="Q22" s="63">
        <f t="shared" si="15"/>
        <v>5654.6938954071984</v>
      </c>
      <c r="R22" s="77">
        <f t="shared" si="2"/>
        <v>-2175.578364378724</v>
      </c>
      <c r="S22" s="63">
        <f t="shared" si="16"/>
        <v>-908.33333333333337</v>
      </c>
      <c r="T22" s="63"/>
      <c r="U22" s="63">
        <f t="shared" si="17"/>
        <v>-282.73469477035991</v>
      </c>
      <c r="V22" s="77">
        <f t="shared" si="20"/>
        <v>-167.13333333333335</v>
      </c>
      <c r="W22" s="83">
        <f t="shared" si="4"/>
        <v>2120.9141695914477</v>
      </c>
      <c r="X22" s="85">
        <f t="shared" si="18"/>
        <v>33485.001713463156</v>
      </c>
      <c r="Z22" s="92">
        <f t="shared" si="19"/>
        <v>80224</v>
      </c>
      <c r="AA22" s="5">
        <f t="shared" si="5"/>
        <v>0</v>
      </c>
      <c r="AB22" s="92">
        <f t="shared" si="6"/>
        <v>80224</v>
      </c>
      <c r="AD22" s="133">
        <f t="shared" si="7"/>
        <v>-14533.333333333336</v>
      </c>
      <c r="AE22" s="3">
        <f t="shared" si="8"/>
        <v>1</v>
      </c>
    </row>
    <row r="23" spans="1:31" ht="14.65" thickBot="1" x14ac:dyDescent="0.5">
      <c r="A23" s="6">
        <f>A22+1</f>
        <v>6</v>
      </c>
      <c r="B23" s="7">
        <f>B22+12</f>
        <v>72</v>
      </c>
      <c r="C23" s="93">
        <v>1</v>
      </c>
      <c r="D23" s="102">
        <f>D22</f>
        <v>0.1</v>
      </c>
      <c r="E23" s="105">
        <f t="shared" si="21"/>
        <v>1.1111111111111112</v>
      </c>
      <c r="H23" s="11"/>
      <c r="I23" s="14">
        <f t="shared" si="10"/>
        <v>17</v>
      </c>
      <c r="J23" s="63">
        <f t="shared" si="11"/>
        <v>86825.500448346254</v>
      </c>
      <c r="K23" s="63">
        <f t="shared" si="1"/>
        <v>383.51079091944138</v>
      </c>
      <c r="L23" s="63">
        <f t="shared" si="12"/>
        <v>-2175.578364378724</v>
      </c>
      <c r="M23" s="65">
        <f t="shared" si="0"/>
        <v>85033.432874886974</v>
      </c>
      <c r="O23" s="14">
        <f t="shared" si="13"/>
        <v>17</v>
      </c>
      <c r="P23" s="54">
        <f t="shared" si="14"/>
        <v>8842.125</v>
      </c>
      <c r="Q23" s="63">
        <f t="shared" si="15"/>
        <v>5654.6938954071984</v>
      </c>
      <c r="R23" s="77">
        <f t="shared" si="2"/>
        <v>-2175.578364378724</v>
      </c>
      <c r="S23" s="63">
        <f t="shared" si="16"/>
        <v>-908.33333333333337</v>
      </c>
      <c r="T23" s="63"/>
      <c r="U23" s="63">
        <f t="shared" si="17"/>
        <v>-282.73469477035991</v>
      </c>
      <c r="V23" s="77">
        <f t="shared" si="20"/>
        <v>-163.38645833333334</v>
      </c>
      <c r="W23" s="83">
        <f t="shared" si="4"/>
        <v>2124.6610445914475</v>
      </c>
      <c r="X23" s="85">
        <f t="shared" si="18"/>
        <v>35609.662758054605</v>
      </c>
      <c r="Z23" s="92">
        <f t="shared" si="19"/>
        <v>78425.5</v>
      </c>
      <c r="AA23" s="5">
        <f t="shared" si="5"/>
        <v>0</v>
      </c>
      <c r="AB23" s="92">
        <f t="shared" si="6"/>
        <v>78425.5</v>
      </c>
      <c r="AD23" s="133">
        <f t="shared" si="7"/>
        <v>-15441.66666666667</v>
      </c>
      <c r="AE23" s="3">
        <f t="shared" si="8"/>
        <v>1</v>
      </c>
    </row>
    <row r="24" spans="1:31" ht="14.65" thickBot="1" x14ac:dyDescent="0.5">
      <c r="H24" s="11"/>
      <c r="I24" s="14">
        <f>I23+1</f>
        <v>18</v>
      </c>
      <c r="J24" s="63">
        <f t="shared" si="11"/>
        <v>85033.432874886974</v>
      </c>
      <c r="K24" s="63">
        <f t="shared" si="1"/>
        <v>375.5951757035254</v>
      </c>
      <c r="L24" s="63">
        <f t="shared" si="12"/>
        <v>-2175.578364378724</v>
      </c>
      <c r="M24" s="65">
        <f t="shared" si="0"/>
        <v>83233.449686211767</v>
      </c>
      <c r="O24" s="14">
        <f>O23+1</f>
        <v>18</v>
      </c>
      <c r="P24" s="54">
        <f t="shared" si="14"/>
        <v>9362.25</v>
      </c>
      <c r="Q24" s="63">
        <f t="shared" si="15"/>
        <v>5654.6938954071984</v>
      </c>
      <c r="R24" s="77">
        <f t="shared" si="2"/>
        <v>-2175.578364378724</v>
      </c>
      <c r="S24" s="63">
        <f t="shared" si="16"/>
        <v>-908.33333333333337</v>
      </c>
      <c r="T24" s="63"/>
      <c r="U24" s="63">
        <f t="shared" si="17"/>
        <v>-282.73469477035991</v>
      </c>
      <c r="V24" s="77">
        <f t="shared" si="20"/>
        <v>-159.63958333333335</v>
      </c>
      <c r="W24" s="83">
        <f t="shared" si="4"/>
        <v>2128.4079195914474</v>
      </c>
      <c r="X24" s="85">
        <f t="shared" si="18"/>
        <v>37738.07067764605</v>
      </c>
      <c r="Z24" s="92">
        <f t="shared" si="19"/>
        <v>76627</v>
      </c>
      <c r="AA24" s="5">
        <f t="shared" si="5"/>
        <v>0</v>
      </c>
      <c r="AB24" s="92">
        <f t="shared" si="6"/>
        <v>76627</v>
      </c>
      <c r="AD24" s="133">
        <f t="shared" si="7"/>
        <v>-16350.000000000004</v>
      </c>
      <c r="AE24" s="3">
        <f t="shared" si="8"/>
        <v>1</v>
      </c>
    </row>
    <row r="25" spans="1:31" ht="32.25" customHeight="1" thickBot="1" x14ac:dyDescent="0.5">
      <c r="A25" s="664" t="s">
        <v>21</v>
      </c>
      <c r="B25" s="665"/>
      <c r="C25" s="665"/>
      <c r="D25" s="665"/>
      <c r="E25" s="665"/>
      <c r="F25" s="665"/>
      <c r="G25" s="666"/>
      <c r="H25" s="11"/>
      <c r="I25" s="14">
        <f t="shared" si="10"/>
        <v>19</v>
      </c>
      <c r="J25" s="63">
        <f t="shared" si="11"/>
        <v>83233.449686211767</v>
      </c>
      <c r="K25" s="63">
        <f t="shared" si="1"/>
        <v>367.64459698222907</v>
      </c>
      <c r="L25" s="63">
        <f t="shared" si="12"/>
        <v>-2175.578364378724</v>
      </c>
      <c r="M25" s="65">
        <f t="shared" si="0"/>
        <v>81425.515918815261</v>
      </c>
      <c r="O25" s="14">
        <f t="shared" si="13"/>
        <v>19</v>
      </c>
      <c r="P25" s="54">
        <f t="shared" si="14"/>
        <v>9882.375</v>
      </c>
      <c r="Q25" s="63">
        <f t="shared" si="15"/>
        <v>5654.6938954071984</v>
      </c>
      <c r="R25" s="77">
        <f t="shared" si="2"/>
        <v>-2175.578364378724</v>
      </c>
      <c r="S25" s="63">
        <f t="shared" si="16"/>
        <v>-908.33333333333337</v>
      </c>
      <c r="T25" s="63"/>
      <c r="U25" s="63">
        <f t="shared" si="17"/>
        <v>-282.73469477035991</v>
      </c>
      <c r="V25" s="77">
        <f t="shared" si="20"/>
        <v>-155.89270833333333</v>
      </c>
      <c r="W25" s="83">
        <f t="shared" si="4"/>
        <v>2132.1547945914476</v>
      </c>
      <c r="X25" s="85">
        <f t="shared" si="18"/>
        <v>39870.2254722375</v>
      </c>
      <c r="Z25" s="92">
        <f t="shared" si="19"/>
        <v>74828.5</v>
      </c>
      <c r="AA25" s="5">
        <f t="shared" si="5"/>
        <v>0</v>
      </c>
      <c r="AB25" s="92">
        <f t="shared" si="6"/>
        <v>74828.5</v>
      </c>
      <c r="AD25" s="133">
        <f t="shared" si="7"/>
        <v>-17258.333333333336</v>
      </c>
      <c r="AE25" s="3">
        <f t="shared" si="8"/>
        <v>1</v>
      </c>
    </row>
    <row r="26" spans="1:31" ht="28.9" thickBot="1" x14ac:dyDescent="0.5">
      <c r="A26" s="26" t="s">
        <v>0</v>
      </c>
      <c r="B26" s="27" t="s">
        <v>1</v>
      </c>
      <c r="C26" s="43" t="s">
        <v>22</v>
      </c>
      <c r="D26" s="43" t="s">
        <v>10</v>
      </c>
      <c r="E26" s="43" t="s">
        <v>23</v>
      </c>
      <c r="F26" s="43" t="s">
        <v>24</v>
      </c>
      <c r="G26" s="44" t="s">
        <v>25</v>
      </c>
      <c r="H26" s="11"/>
      <c r="I26" s="14">
        <f t="shared" si="10"/>
        <v>20</v>
      </c>
      <c r="J26" s="63">
        <f t="shared" si="11"/>
        <v>81425.515918815261</v>
      </c>
      <c r="K26" s="63">
        <f t="shared" si="1"/>
        <v>359.65890032072019</v>
      </c>
      <c r="L26" s="63">
        <f t="shared" si="12"/>
        <v>-2175.578364378724</v>
      </c>
      <c r="M26" s="65">
        <f t="shared" si="0"/>
        <v>79609.596454757251</v>
      </c>
      <c r="O26" s="14">
        <f t="shared" si="13"/>
        <v>20</v>
      </c>
      <c r="P26" s="54">
        <f t="shared" si="14"/>
        <v>10402.5</v>
      </c>
      <c r="Q26" s="63">
        <f t="shared" si="15"/>
        <v>5654.6938954071984</v>
      </c>
      <c r="R26" s="77">
        <f t="shared" si="2"/>
        <v>-2175.578364378724</v>
      </c>
      <c r="S26" s="63">
        <f t="shared" si="16"/>
        <v>-908.33333333333337</v>
      </c>
      <c r="T26" s="63"/>
      <c r="U26" s="63">
        <f t="shared" si="17"/>
        <v>-282.73469477035991</v>
      </c>
      <c r="V26" s="77">
        <f t="shared" si="20"/>
        <v>-152.14583333333334</v>
      </c>
      <c r="W26" s="83">
        <f t="shared" si="4"/>
        <v>2135.9016695914474</v>
      </c>
      <c r="X26" s="85">
        <f t="shared" si="18"/>
        <v>42006.127141828947</v>
      </c>
      <c r="Z26" s="92">
        <f t="shared" si="19"/>
        <v>73030</v>
      </c>
      <c r="AA26" s="5">
        <f t="shared" si="5"/>
        <v>0</v>
      </c>
      <c r="AB26" s="92">
        <f t="shared" si="6"/>
        <v>73030</v>
      </c>
      <c r="AD26" s="133">
        <f t="shared" si="7"/>
        <v>-18166.666666666668</v>
      </c>
      <c r="AE26" s="3">
        <f t="shared" si="8"/>
        <v>1</v>
      </c>
    </row>
    <row r="27" spans="1:31" x14ac:dyDescent="0.45">
      <c r="A27" s="8">
        <v>1</v>
      </c>
      <c r="B27" s="9" t="s">
        <v>16</v>
      </c>
      <c r="C27" s="48">
        <v>1</v>
      </c>
      <c r="D27" s="153">
        <f>+F7</f>
        <v>109000</v>
      </c>
      <c r="E27" s="342">
        <f>+'Summary Equip'!AE9</f>
        <v>0.8</v>
      </c>
      <c r="F27" s="62">
        <f>E27*D27</f>
        <v>87200</v>
      </c>
      <c r="G27" s="60">
        <f>D27-F27</f>
        <v>21800</v>
      </c>
      <c r="H27" s="11"/>
      <c r="I27" s="14">
        <f t="shared" si="10"/>
        <v>21</v>
      </c>
      <c r="J27" s="63">
        <f t="shared" si="11"/>
        <v>79609.596454757251</v>
      </c>
      <c r="K27" s="63">
        <f t="shared" si="1"/>
        <v>351.63793060202318</v>
      </c>
      <c r="L27" s="63">
        <f t="shared" si="12"/>
        <v>-2175.578364378724</v>
      </c>
      <c r="M27" s="65">
        <f t="shared" si="0"/>
        <v>77785.656020980547</v>
      </c>
      <c r="O27" s="14">
        <f t="shared" si="13"/>
        <v>21</v>
      </c>
      <c r="P27" s="54">
        <f t="shared" si="14"/>
        <v>10922.625</v>
      </c>
      <c r="Q27" s="63">
        <f t="shared" si="15"/>
        <v>5654.6938954071984</v>
      </c>
      <c r="R27" s="77">
        <f t="shared" si="2"/>
        <v>-2175.578364378724</v>
      </c>
      <c r="S27" s="63">
        <f t="shared" si="16"/>
        <v>-908.33333333333337</v>
      </c>
      <c r="T27" s="63"/>
      <c r="U27" s="63">
        <f t="shared" si="17"/>
        <v>-282.73469477035991</v>
      </c>
      <c r="V27" s="77">
        <f t="shared" si="20"/>
        <v>-148.39895833333335</v>
      </c>
      <c r="W27" s="83">
        <f t="shared" si="4"/>
        <v>2139.6485445914477</v>
      </c>
      <c r="X27" s="85">
        <f t="shared" si="18"/>
        <v>44145.775686420398</v>
      </c>
      <c r="Z27" s="92">
        <f t="shared" si="19"/>
        <v>71231.5</v>
      </c>
      <c r="AA27" s="5">
        <f t="shared" si="5"/>
        <v>0</v>
      </c>
      <c r="AB27" s="92">
        <f t="shared" si="6"/>
        <v>71231.5</v>
      </c>
      <c r="AD27" s="133">
        <f t="shared" si="7"/>
        <v>-19075</v>
      </c>
      <c r="AE27" s="3">
        <f t="shared" si="8"/>
        <v>1</v>
      </c>
    </row>
    <row r="28" spans="1:31" x14ac:dyDescent="0.45">
      <c r="A28" s="4">
        <f>A27+1</f>
        <v>2</v>
      </c>
      <c r="B28" s="5" t="s">
        <v>12</v>
      </c>
      <c r="C28" s="19">
        <f>C11</f>
        <v>0.01</v>
      </c>
      <c r="D28" s="300">
        <f>-C28*D27</f>
        <v>-1090</v>
      </c>
      <c r="E28" s="23">
        <f>E27</f>
        <v>0.8</v>
      </c>
      <c r="F28" s="63">
        <f t="shared" ref="F28:F33" si="22">E28*D28</f>
        <v>-872</v>
      </c>
      <c r="G28" s="65">
        <f>D28-F28</f>
        <v>-218</v>
      </c>
      <c r="H28" s="11"/>
      <c r="I28" s="14">
        <f t="shared" si="10"/>
        <v>22</v>
      </c>
      <c r="J28" s="63">
        <f t="shared" si="11"/>
        <v>77785.656020980547</v>
      </c>
      <c r="K28" s="63">
        <f t="shared" si="1"/>
        <v>343.58153202400644</v>
      </c>
      <c r="L28" s="63">
        <f t="shared" si="12"/>
        <v>-2175.578364378724</v>
      </c>
      <c r="M28" s="65">
        <f t="shared" si="0"/>
        <v>75953.659188625825</v>
      </c>
      <c r="O28" s="14">
        <f t="shared" si="13"/>
        <v>22</v>
      </c>
      <c r="P28" s="54">
        <f t="shared" si="14"/>
        <v>11442.75</v>
      </c>
      <c r="Q28" s="63">
        <f t="shared" si="15"/>
        <v>5654.6938954071984</v>
      </c>
      <c r="R28" s="77">
        <f t="shared" si="2"/>
        <v>-2175.578364378724</v>
      </c>
      <c r="S28" s="63">
        <f t="shared" si="16"/>
        <v>-908.33333333333337</v>
      </c>
      <c r="T28" s="63"/>
      <c r="U28" s="63">
        <f t="shared" si="17"/>
        <v>-282.73469477035991</v>
      </c>
      <c r="V28" s="77">
        <f t="shared" si="20"/>
        <v>-144.65208333333334</v>
      </c>
      <c r="W28" s="83">
        <f t="shared" si="4"/>
        <v>2143.3954195914475</v>
      </c>
      <c r="X28" s="85">
        <f t="shared" si="18"/>
        <v>46289.171106011847</v>
      </c>
      <c r="Z28" s="92">
        <f t="shared" si="19"/>
        <v>69433</v>
      </c>
      <c r="AA28" s="5">
        <f t="shared" si="5"/>
        <v>0</v>
      </c>
      <c r="AB28" s="92">
        <f t="shared" si="6"/>
        <v>69433</v>
      </c>
      <c r="AD28" s="133">
        <f t="shared" si="7"/>
        <v>-19983.333333333332</v>
      </c>
      <c r="AE28" s="3">
        <f t="shared" si="8"/>
        <v>1</v>
      </c>
    </row>
    <row r="29" spans="1:31" x14ac:dyDescent="0.45">
      <c r="A29" s="4">
        <f t="shared" ref="A29:A34" si="23">A28+1</f>
        <v>3</v>
      </c>
      <c r="B29" s="5" t="s">
        <v>17</v>
      </c>
      <c r="C29" s="24">
        <f>C8</f>
        <v>5.2999999999999999E-2</v>
      </c>
      <c r="D29" s="63">
        <f>K67</f>
        <v>15351.841834389263</v>
      </c>
      <c r="E29" s="23">
        <v>1</v>
      </c>
      <c r="F29" s="63">
        <f t="shared" si="22"/>
        <v>15351.841834389263</v>
      </c>
      <c r="G29" s="65">
        <f>D29-F29</f>
        <v>0</v>
      </c>
      <c r="H29" s="11"/>
      <c r="I29" s="14">
        <f t="shared" si="10"/>
        <v>23</v>
      </c>
      <c r="J29" s="63">
        <f t="shared" si="11"/>
        <v>75953.659188625825</v>
      </c>
      <c r="K29" s="63">
        <f t="shared" si="1"/>
        <v>335.48954809635541</v>
      </c>
      <c r="L29" s="63">
        <f t="shared" si="12"/>
        <v>-2175.578364378724</v>
      </c>
      <c r="M29" s="65">
        <f t="shared" si="0"/>
        <v>74113.570372343456</v>
      </c>
      <c r="O29" s="14">
        <f t="shared" si="13"/>
        <v>23</v>
      </c>
      <c r="P29" s="54">
        <f t="shared" si="14"/>
        <v>11962.875</v>
      </c>
      <c r="Q29" s="63">
        <f t="shared" si="15"/>
        <v>5654.6938954071984</v>
      </c>
      <c r="R29" s="77">
        <f t="shared" si="2"/>
        <v>-2175.578364378724</v>
      </c>
      <c r="S29" s="63">
        <f t="shared" si="16"/>
        <v>-908.33333333333337</v>
      </c>
      <c r="T29" s="63"/>
      <c r="U29" s="63">
        <f t="shared" si="17"/>
        <v>-282.73469477035991</v>
      </c>
      <c r="V29" s="77">
        <f t="shared" si="20"/>
        <v>-140.90520833333335</v>
      </c>
      <c r="W29" s="83">
        <f t="shared" si="4"/>
        <v>2147.1422945914474</v>
      </c>
      <c r="X29" s="85">
        <f t="shared" si="18"/>
        <v>48436.313400603292</v>
      </c>
      <c r="Z29" s="92">
        <f t="shared" si="19"/>
        <v>67634.5</v>
      </c>
      <c r="AA29" s="5">
        <f t="shared" si="5"/>
        <v>0</v>
      </c>
      <c r="AB29" s="92">
        <f t="shared" si="6"/>
        <v>67634.5</v>
      </c>
      <c r="AD29" s="133">
        <f t="shared" si="7"/>
        <v>-20891.666666666664</v>
      </c>
      <c r="AE29" s="3">
        <f t="shared" si="8"/>
        <v>1</v>
      </c>
    </row>
    <row r="30" spans="1:31" x14ac:dyDescent="0.45">
      <c r="A30" s="4">
        <f t="shared" si="23"/>
        <v>4</v>
      </c>
      <c r="B30" s="5" t="s">
        <v>6</v>
      </c>
      <c r="C30" s="23">
        <f>C9</f>
        <v>2.5000000000000001E-2</v>
      </c>
      <c r="D30" s="63">
        <f>-V67</f>
        <v>6493.675000000002</v>
      </c>
      <c r="E30" s="23">
        <v>1</v>
      </c>
      <c r="F30" s="63">
        <f t="shared" si="22"/>
        <v>6493.675000000002</v>
      </c>
      <c r="G30" s="65">
        <f>D30-F30</f>
        <v>0</v>
      </c>
      <c r="H30" s="11"/>
      <c r="I30" s="14">
        <f t="shared" si="10"/>
        <v>24</v>
      </c>
      <c r="J30" s="63">
        <f t="shared" si="11"/>
        <v>74113.570372343456</v>
      </c>
      <c r="K30" s="63">
        <f t="shared" si="1"/>
        <v>327.36182163753358</v>
      </c>
      <c r="L30" s="63">
        <f t="shared" si="12"/>
        <v>-2175.578364378724</v>
      </c>
      <c r="M30" s="65">
        <f t="shared" si="0"/>
        <v>72265.35382960226</v>
      </c>
      <c r="O30" s="14">
        <f t="shared" si="13"/>
        <v>24</v>
      </c>
      <c r="P30" s="54">
        <f t="shared" si="14"/>
        <v>12483</v>
      </c>
      <c r="Q30" s="63">
        <f t="shared" si="15"/>
        <v>5654.6938954071984</v>
      </c>
      <c r="R30" s="77">
        <f t="shared" si="2"/>
        <v>-2175.578364378724</v>
      </c>
      <c r="S30" s="63">
        <f t="shared" si="16"/>
        <v>-908.33333333333337</v>
      </c>
      <c r="T30" s="63"/>
      <c r="U30" s="63">
        <f t="shared" si="17"/>
        <v>-282.73469477035991</v>
      </c>
      <c r="V30" s="77">
        <f t="shared" si="20"/>
        <v>-137.15833333333333</v>
      </c>
      <c r="W30" s="83">
        <f t="shared" si="4"/>
        <v>2150.8891695914476</v>
      </c>
      <c r="X30" s="85">
        <f t="shared" si="18"/>
        <v>50587.202570194742</v>
      </c>
      <c r="Z30" s="92">
        <f t="shared" si="19"/>
        <v>65836</v>
      </c>
      <c r="AA30" s="5">
        <f t="shared" si="5"/>
        <v>0</v>
      </c>
      <c r="AB30" s="92">
        <f t="shared" si="6"/>
        <v>65836</v>
      </c>
      <c r="AD30" s="133">
        <f t="shared" si="7"/>
        <v>-21799.999999999996</v>
      </c>
      <c r="AE30" s="3">
        <f t="shared" si="8"/>
        <v>1</v>
      </c>
    </row>
    <row r="31" spans="1:31" x14ac:dyDescent="0.45">
      <c r="A31" s="4">
        <f t="shared" si="23"/>
        <v>5</v>
      </c>
      <c r="B31" s="5" t="s">
        <v>27</v>
      </c>
      <c r="C31" s="334">
        <f>+'Summary Equip'!AH9</f>
        <v>0.5</v>
      </c>
      <c r="D31" s="63">
        <f>D27*C31</f>
        <v>54500</v>
      </c>
      <c r="E31" s="334">
        <f>+ASSUMPTIONS!B43</f>
        <v>0.1</v>
      </c>
      <c r="F31" s="63">
        <f t="shared" si="22"/>
        <v>5450</v>
      </c>
      <c r="G31" s="65">
        <f>D31</f>
        <v>54500</v>
      </c>
      <c r="H31" s="11"/>
      <c r="I31" s="14">
        <f t="shared" si="10"/>
        <v>25</v>
      </c>
      <c r="J31" s="63">
        <f t="shared" si="11"/>
        <v>72265.35382960226</v>
      </c>
      <c r="K31" s="63">
        <f t="shared" si="1"/>
        <v>319.19819477172877</v>
      </c>
      <c r="L31" s="63">
        <f t="shared" si="12"/>
        <v>-2175.578364378724</v>
      </c>
      <c r="M31" s="65">
        <f t="shared" si="0"/>
        <v>70408.973659995259</v>
      </c>
      <c r="O31" s="14">
        <f t="shared" si="13"/>
        <v>25</v>
      </c>
      <c r="P31" s="54">
        <f t="shared" si="14"/>
        <v>13003.125</v>
      </c>
      <c r="Q31" s="63">
        <f t="shared" si="15"/>
        <v>5654.6938954071984</v>
      </c>
      <c r="R31" s="77">
        <f t="shared" si="2"/>
        <v>-2175.578364378724</v>
      </c>
      <c r="S31" s="63">
        <f t="shared" si="16"/>
        <v>-908.33333333333337</v>
      </c>
      <c r="T31" s="63"/>
      <c r="U31" s="63">
        <f t="shared" si="17"/>
        <v>-282.73469477035991</v>
      </c>
      <c r="V31" s="77">
        <f t="shared" si="20"/>
        <v>-133.41145833333334</v>
      </c>
      <c r="W31" s="83">
        <f t="shared" si="4"/>
        <v>2154.6360445914474</v>
      </c>
      <c r="X31" s="85">
        <f t="shared" si="18"/>
        <v>52741.838614786189</v>
      </c>
      <c r="Z31" s="92">
        <f t="shared" si="19"/>
        <v>64037.5</v>
      </c>
      <c r="AA31" s="5">
        <f t="shared" si="5"/>
        <v>0</v>
      </c>
      <c r="AB31" s="92">
        <f t="shared" si="6"/>
        <v>64037.5</v>
      </c>
      <c r="AD31" s="133">
        <f t="shared" si="7"/>
        <v>-22708.333333333328</v>
      </c>
      <c r="AE31" s="3">
        <f t="shared" si="8"/>
        <v>1</v>
      </c>
    </row>
    <row r="32" spans="1:31" x14ac:dyDescent="0.45">
      <c r="A32" s="4">
        <f t="shared" si="23"/>
        <v>6</v>
      </c>
      <c r="B32" s="5" t="s">
        <v>26</v>
      </c>
      <c r="C32" s="530">
        <v>0.2</v>
      </c>
      <c r="D32" s="63">
        <f>D27*C32</f>
        <v>21800</v>
      </c>
      <c r="E32" s="334">
        <f>+ASSUMPTIONS!B44</f>
        <v>0.05</v>
      </c>
      <c r="F32" s="63">
        <f t="shared" si="22"/>
        <v>1090</v>
      </c>
      <c r="G32" s="65">
        <f>D32</f>
        <v>21800</v>
      </c>
      <c r="H32" s="11"/>
      <c r="I32" s="14">
        <f t="shared" si="10"/>
        <v>26</v>
      </c>
      <c r="J32" s="63">
        <f t="shared" si="11"/>
        <v>70408.973659995259</v>
      </c>
      <c r="K32" s="63">
        <f t="shared" si="1"/>
        <v>310.99850892578661</v>
      </c>
      <c r="L32" s="63">
        <f t="shared" si="12"/>
        <v>-2175.578364378724</v>
      </c>
      <c r="M32" s="65">
        <f t="shared" si="0"/>
        <v>68544.393804542313</v>
      </c>
      <c r="O32" s="14">
        <f t="shared" si="13"/>
        <v>26</v>
      </c>
      <c r="P32" s="54">
        <f t="shared" si="14"/>
        <v>13523.25</v>
      </c>
      <c r="Q32" s="63">
        <f t="shared" si="15"/>
        <v>5654.6938954071984</v>
      </c>
      <c r="R32" s="77">
        <f t="shared" si="2"/>
        <v>-2175.578364378724</v>
      </c>
      <c r="S32" s="63">
        <f t="shared" si="16"/>
        <v>-908.33333333333337</v>
      </c>
      <c r="T32" s="63"/>
      <c r="U32" s="63">
        <f t="shared" si="17"/>
        <v>-282.73469477035991</v>
      </c>
      <c r="V32" s="77">
        <f t="shared" si="20"/>
        <v>-129.66458333333335</v>
      </c>
      <c r="W32" s="83">
        <f t="shared" si="4"/>
        <v>2158.3829195914477</v>
      </c>
      <c r="X32" s="85">
        <f t="shared" si="18"/>
        <v>54900.221534377633</v>
      </c>
      <c r="Z32" s="92">
        <f t="shared" si="19"/>
        <v>62239</v>
      </c>
      <c r="AA32" s="5">
        <f t="shared" si="5"/>
        <v>0</v>
      </c>
      <c r="AB32" s="92">
        <f t="shared" si="6"/>
        <v>62239</v>
      </c>
      <c r="AD32" s="133">
        <f t="shared" si="7"/>
        <v>-23616.666666666661</v>
      </c>
      <c r="AE32" s="3">
        <f t="shared" si="8"/>
        <v>1</v>
      </c>
    </row>
    <row r="33" spans="1:31" ht="14.65" thickBot="1" x14ac:dyDescent="0.5">
      <c r="A33" s="6">
        <f t="shared" si="23"/>
        <v>7</v>
      </c>
      <c r="B33" s="7" t="s">
        <v>32</v>
      </c>
      <c r="C33" s="336">
        <f>+'Summary Equip'!AJ9</f>
        <v>0.03</v>
      </c>
      <c r="D33" s="64">
        <f>D27*C33</f>
        <v>3270</v>
      </c>
      <c r="E33" s="334">
        <f>+ASSUMPTIONS!B45</f>
        <v>0</v>
      </c>
      <c r="F33" s="64">
        <f t="shared" si="22"/>
        <v>0</v>
      </c>
      <c r="G33" s="66">
        <f>D33</f>
        <v>3270</v>
      </c>
      <c r="H33" s="11"/>
      <c r="I33" s="14">
        <f t="shared" si="10"/>
        <v>27</v>
      </c>
      <c r="J33" s="63">
        <f t="shared" si="11"/>
        <v>68544.393804542313</v>
      </c>
      <c r="K33" s="63">
        <f t="shared" si="1"/>
        <v>302.7626048261306</v>
      </c>
      <c r="L33" s="63">
        <f t="shared" si="12"/>
        <v>-2175.578364378724</v>
      </c>
      <c r="M33" s="65">
        <f t="shared" si="0"/>
        <v>66671.578044989714</v>
      </c>
      <c r="O33" s="14">
        <f t="shared" si="13"/>
        <v>27</v>
      </c>
      <c r="P33" s="54">
        <f t="shared" si="14"/>
        <v>14043.375</v>
      </c>
      <c r="Q33" s="63">
        <f t="shared" si="15"/>
        <v>5654.6938954071984</v>
      </c>
      <c r="R33" s="77">
        <f t="shared" si="2"/>
        <v>-2175.578364378724</v>
      </c>
      <c r="S33" s="63">
        <f t="shared" si="16"/>
        <v>-908.33333333333337</v>
      </c>
      <c r="T33" s="63"/>
      <c r="U33" s="63">
        <f t="shared" si="17"/>
        <v>-282.73469477035991</v>
      </c>
      <c r="V33" s="77">
        <f t="shared" si="20"/>
        <v>-125.91770833333334</v>
      </c>
      <c r="W33" s="83">
        <f t="shared" si="4"/>
        <v>2162.1297945914475</v>
      </c>
      <c r="X33" s="85">
        <f t="shared" si="18"/>
        <v>57062.351328969082</v>
      </c>
      <c r="Z33" s="92">
        <f t="shared" si="19"/>
        <v>60440.5</v>
      </c>
      <c r="AA33" s="5">
        <f t="shared" si="5"/>
        <v>0</v>
      </c>
      <c r="AB33" s="92">
        <f t="shared" si="6"/>
        <v>60440.5</v>
      </c>
      <c r="AD33" s="133">
        <f t="shared" si="7"/>
        <v>-24524.999999999993</v>
      </c>
      <c r="AE33" s="3">
        <f t="shared" si="8"/>
        <v>1</v>
      </c>
    </row>
    <row r="34" spans="1:31" ht="14.65" thickBot="1" x14ac:dyDescent="0.5">
      <c r="A34" s="33">
        <f t="shared" si="23"/>
        <v>8</v>
      </c>
      <c r="B34" s="30" t="s">
        <v>8</v>
      </c>
      <c r="C34" s="45"/>
      <c r="D34" s="46"/>
      <c r="E34" s="47"/>
      <c r="F34" s="67">
        <f>SUM(F27:F33)</f>
        <v>114713.51683438926</v>
      </c>
      <c r="G34" s="68">
        <f>SUM(G27:G33)</f>
        <v>101152</v>
      </c>
      <c r="H34" s="11"/>
      <c r="I34" s="14">
        <f t="shared" si="10"/>
        <v>28</v>
      </c>
      <c r="J34" s="63">
        <f t="shared" si="11"/>
        <v>66671.578044989714</v>
      </c>
      <c r="K34" s="63">
        <f t="shared" si="1"/>
        <v>294.49032249566824</v>
      </c>
      <c r="L34" s="63">
        <f t="shared" si="12"/>
        <v>-2175.578364378724</v>
      </c>
      <c r="M34" s="65">
        <f t="shared" si="0"/>
        <v>64790.490003106657</v>
      </c>
      <c r="O34" s="14">
        <f t="shared" si="13"/>
        <v>28</v>
      </c>
      <c r="P34" s="54">
        <f t="shared" si="14"/>
        <v>14563.5</v>
      </c>
      <c r="Q34" s="63">
        <f t="shared" si="15"/>
        <v>5654.6938954071984</v>
      </c>
      <c r="R34" s="77">
        <f t="shared" si="2"/>
        <v>-2175.578364378724</v>
      </c>
      <c r="S34" s="63">
        <f t="shared" si="16"/>
        <v>-908.33333333333337</v>
      </c>
      <c r="T34" s="63"/>
      <c r="U34" s="63">
        <f t="shared" si="17"/>
        <v>-282.73469477035991</v>
      </c>
      <c r="V34" s="77">
        <f t="shared" si="20"/>
        <v>-122.17083333333335</v>
      </c>
      <c r="W34" s="83">
        <f t="shared" si="4"/>
        <v>2165.8766695914474</v>
      </c>
      <c r="X34" s="85">
        <f t="shared" si="18"/>
        <v>59228.227998560527</v>
      </c>
      <c r="Z34" s="92">
        <f t="shared" si="19"/>
        <v>58642</v>
      </c>
      <c r="AA34" s="5">
        <f t="shared" si="5"/>
        <v>0</v>
      </c>
      <c r="AB34" s="92">
        <f t="shared" si="6"/>
        <v>58642</v>
      </c>
      <c r="AD34" s="133">
        <f t="shared" si="7"/>
        <v>-25433.333333333325</v>
      </c>
      <c r="AE34" s="3">
        <f t="shared" si="8"/>
        <v>1</v>
      </c>
    </row>
    <row r="35" spans="1:31" ht="14.65" thickBot="1" x14ac:dyDescent="0.5">
      <c r="A35" s="31">
        <f>A34+1</f>
        <v>9</v>
      </c>
      <c r="B35" s="32" t="s">
        <v>7</v>
      </c>
      <c r="C35" s="42">
        <f>+C10</f>
        <v>0.05</v>
      </c>
      <c r="D35" s="22"/>
      <c r="E35" s="34"/>
      <c r="F35" s="69">
        <f>F36-F34</f>
        <v>6037.5535175994446</v>
      </c>
      <c r="G35" s="70">
        <f>G36-G34</f>
        <v>5323.7894736842136</v>
      </c>
      <c r="H35" s="11"/>
      <c r="I35" s="14">
        <f t="shared" si="10"/>
        <v>29</v>
      </c>
      <c r="J35" s="63">
        <f t="shared" si="11"/>
        <v>64790.490003106657</v>
      </c>
      <c r="K35" s="63">
        <f t="shared" si="1"/>
        <v>286.1815012506832</v>
      </c>
      <c r="L35" s="63">
        <f t="shared" si="12"/>
        <v>-2175.578364378724</v>
      </c>
      <c r="M35" s="65">
        <f t="shared" si="0"/>
        <v>62901.09313997862</v>
      </c>
      <c r="O35" s="14">
        <f t="shared" si="13"/>
        <v>29</v>
      </c>
      <c r="P35" s="54">
        <f t="shared" si="14"/>
        <v>15083.625</v>
      </c>
      <c r="Q35" s="63">
        <f t="shared" si="15"/>
        <v>5654.6938954071984</v>
      </c>
      <c r="R35" s="77">
        <f t="shared" si="2"/>
        <v>-2175.578364378724</v>
      </c>
      <c r="S35" s="63">
        <f t="shared" si="16"/>
        <v>-908.33333333333337</v>
      </c>
      <c r="T35" s="63"/>
      <c r="U35" s="63">
        <f t="shared" si="17"/>
        <v>-282.73469477035991</v>
      </c>
      <c r="V35" s="77">
        <f t="shared" si="20"/>
        <v>-118.42395833333335</v>
      </c>
      <c r="W35" s="83">
        <f t="shared" si="4"/>
        <v>2169.6235445914476</v>
      </c>
      <c r="X35" s="85">
        <f t="shared" si="18"/>
        <v>61397.851543151977</v>
      </c>
      <c r="Z35" s="92">
        <f t="shared" si="19"/>
        <v>56843.5</v>
      </c>
      <c r="AA35" s="5">
        <f t="shared" si="5"/>
        <v>0</v>
      </c>
      <c r="AB35" s="92">
        <f t="shared" si="6"/>
        <v>56843.5</v>
      </c>
      <c r="AD35" s="133">
        <f t="shared" si="7"/>
        <v>-26341.666666666657</v>
      </c>
      <c r="AE35" s="3">
        <f t="shared" si="8"/>
        <v>1</v>
      </c>
    </row>
    <row r="36" spans="1:31" ht="14.65" thickBot="1" x14ac:dyDescent="0.5">
      <c r="A36" s="37">
        <f>A35+1</f>
        <v>10</v>
      </c>
      <c r="B36" s="38" t="s">
        <v>28</v>
      </c>
      <c r="C36" s="39"/>
      <c r="D36" s="40"/>
      <c r="E36" s="41"/>
      <c r="F36" s="71">
        <f>F34/(100%-C35)</f>
        <v>120751.0703519887</v>
      </c>
      <c r="G36" s="72">
        <f>G34/(100%-C35)</f>
        <v>106475.78947368421</v>
      </c>
      <c r="H36" s="11"/>
      <c r="I36" s="14">
        <f t="shared" si="10"/>
        <v>30</v>
      </c>
      <c r="J36" s="63">
        <f t="shared" si="11"/>
        <v>62901.09313997862</v>
      </c>
      <c r="K36" s="63">
        <f t="shared" si="1"/>
        <v>277.83597969771472</v>
      </c>
      <c r="L36" s="63">
        <f t="shared" si="12"/>
        <v>-2175.578364378724</v>
      </c>
      <c r="M36" s="65">
        <f t="shared" si="0"/>
        <v>61003.350755297615</v>
      </c>
      <c r="O36" s="14">
        <f t="shared" si="13"/>
        <v>30</v>
      </c>
      <c r="P36" s="54">
        <f t="shared" si="14"/>
        <v>15603.75</v>
      </c>
      <c r="Q36" s="63">
        <f t="shared" si="15"/>
        <v>5654.6938954071984</v>
      </c>
      <c r="R36" s="77">
        <f t="shared" si="2"/>
        <v>-2175.578364378724</v>
      </c>
      <c r="S36" s="63">
        <f t="shared" si="16"/>
        <v>-908.33333333333337</v>
      </c>
      <c r="T36" s="63">
        <f>-T68*0.5</f>
        <v>-10900</v>
      </c>
      <c r="U36" s="63">
        <f t="shared" si="17"/>
        <v>-282.73469477035991</v>
      </c>
      <c r="V36" s="77">
        <f t="shared" si="20"/>
        <v>-114.67708333333333</v>
      </c>
      <c r="W36" s="83">
        <f t="shared" si="4"/>
        <v>-8726.6295804085512</v>
      </c>
      <c r="X36" s="85">
        <f t="shared" si="18"/>
        <v>52671.221962743424</v>
      </c>
      <c r="Z36" s="92">
        <f t="shared" si="19"/>
        <v>55045</v>
      </c>
      <c r="AA36" s="5">
        <f t="shared" si="5"/>
        <v>0</v>
      </c>
      <c r="AB36" s="92">
        <f t="shared" si="6"/>
        <v>55045</v>
      </c>
      <c r="AD36" s="133">
        <f t="shared" si="7"/>
        <v>-27249.999999999989</v>
      </c>
      <c r="AE36" s="3">
        <f t="shared" si="8"/>
        <v>1</v>
      </c>
    </row>
    <row r="37" spans="1:31" x14ac:dyDescent="0.45">
      <c r="C37" s="11"/>
      <c r="D37" s="11"/>
      <c r="E37" s="11"/>
      <c r="F37" s="11"/>
      <c r="G37" s="11"/>
      <c r="H37" s="11"/>
      <c r="I37" s="14">
        <f t="shared" si="10"/>
        <v>31</v>
      </c>
      <c r="J37" s="63">
        <f t="shared" si="11"/>
        <v>61003.350755297615</v>
      </c>
      <c r="K37" s="63">
        <f t="shared" si="1"/>
        <v>269.45359573042231</v>
      </c>
      <c r="L37" s="63">
        <f t="shared" si="12"/>
        <v>-2175.578364378724</v>
      </c>
      <c r="M37" s="65">
        <f t="shared" si="0"/>
        <v>59097.225986649319</v>
      </c>
      <c r="O37" s="14">
        <f t="shared" si="13"/>
        <v>31</v>
      </c>
      <c r="P37" s="54">
        <f t="shared" si="14"/>
        <v>16123.875</v>
      </c>
      <c r="Q37" s="63">
        <f t="shared" si="15"/>
        <v>5654.6938954071984</v>
      </c>
      <c r="R37" s="77">
        <f t="shared" si="2"/>
        <v>-2175.578364378724</v>
      </c>
      <c r="S37" s="63">
        <f t="shared" si="16"/>
        <v>-908.33333333333337</v>
      </c>
      <c r="T37" s="63"/>
      <c r="U37" s="63">
        <f t="shared" si="17"/>
        <v>-282.73469477035991</v>
      </c>
      <c r="V37" s="77">
        <f t="shared" si="20"/>
        <v>-110.93020833333334</v>
      </c>
      <c r="W37" s="83">
        <f t="shared" si="4"/>
        <v>2177.1172945914477</v>
      </c>
      <c r="X37" s="85">
        <f t="shared" si="18"/>
        <v>54848.339257334868</v>
      </c>
      <c r="Z37" s="92">
        <f t="shared" si="19"/>
        <v>53246.5</v>
      </c>
      <c r="AA37" s="5">
        <f t="shared" si="5"/>
        <v>0</v>
      </c>
      <c r="AB37" s="92">
        <f t="shared" si="6"/>
        <v>53246.5</v>
      </c>
      <c r="AD37" s="133">
        <f t="shared" si="7"/>
        <v>-28158.333333333321</v>
      </c>
      <c r="AE37" s="3">
        <f t="shared" si="8"/>
        <v>1</v>
      </c>
    </row>
    <row r="38" spans="1:31" x14ac:dyDescent="0.45">
      <c r="C38" s="11"/>
      <c r="D38" s="11"/>
      <c r="E38" s="11"/>
      <c r="F38" s="11"/>
      <c r="G38" s="11"/>
      <c r="H38" s="11"/>
      <c r="I38" s="14">
        <f t="shared" si="10"/>
        <v>32</v>
      </c>
      <c r="J38" s="63">
        <f t="shared" si="11"/>
        <v>59097.225986649319</v>
      </c>
      <c r="K38" s="63">
        <f t="shared" si="1"/>
        <v>261.03418652643688</v>
      </c>
      <c r="L38" s="63">
        <f t="shared" si="12"/>
        <v>-2175.578364378724</v>
      </c>
      <c r="M38" s="65">
        <f t="shared" si="0"/>
        <v>57182.681808797031</v>
      </c>
      <c r="O38" s="14">
        <f t="shared" si="13"/>
        <v>32</v>
      </c>
      <c r="P38" s="54">
        <f t="shared" si="14"/>
        <v>16644</v>
      </c>
      <c r="Q38" s="63">
        <f t="shared" si="15"/>
        <v>5654.6938954071984</v>
      </c>
      <c r="R38" s="77">
        <f t="shared" si="2"/>
        <v>-2175.578364378724</v>
      </c>
      <c r="S38" s="63">
        <f t="shared" si="16"/>
        <v>-908.33333333333337</v>
      </c>
      <c r="T38" s="63"/>
      <c r="U38" s="63">
        <f t="shared" si="17"/>
        <v>-282.73469477035991</v>
      </c>
      <c r="V38" s="77">
        <f t="shared" si="20"/>
        <v>-107.18333333333334</v>
      </c>
      <c r="W38" s="83">
        <f t="shared" si="4"/>
        <v>2180.8641695914475</v>
      </c>
      <c r="X38" s="85">
        <f t="shared" si="18"/>
        <v>57029.203426926317</v>
      </c>
      <c r="Z38" s="92">
        <f t="shared" si="19"/>
        <v>51448</v>
      </c>
      <c r="AA38" s="5">
        <f t="shared" si="5"/>
        <v>0</v>
      </c>
      <c r="AB38" s="92">
        <f t="shared" si="6"/>
        <v>51448</v>
      </c>
      <c r="AD38" s="133">
        <f t="shared" si="7"/>
        <v>-29066.666666666653</v>
      </c>
      <c r="AE38" s="3">
        <f t="shared" si="8"/>
        <v>1</v>
      </c>
    </row>
    <row r="39" spans="1:31" x14ac:dyDescent="0.45">
      <c r="C39" s="11"/>
      <c r="D39" s="11"/>
      <c r="E39" s="11"/>
      <c r="F39" s="11"/>
      <c r="G39" s="11"/>
      <c r="H39" s="11"/>
      <c r="I39" s="14">
        <f t="shared" si="10"/>
        <v>33</v>
      </c>
      <c r="J39" s="63">
        <f t="shared" si="11"/>
        <v>57182.681808797031</v>
      </c>
      <c r="K39" s="63">
        <f t="shared" si="1"/>
        <v>252.57758854419831</v>
      </c>
      <c r="L39" s="63">
        <f t="shared" si="12"/>
        <v>-2175.578364378724</v>
      </c>
      <c r="M39" s="65">
        <f t="shared" si="0"/>
        <v>55259.681032962508</v>
      </c>
      <c r="O39" s="14">
        <f t="shared" si="13"/>
        <v>33</v>
      </c>
      <c r="P39" s="54">
        <f t="shared" si="14"/>
        <v>17164.125</v>
      </c>
      <c r="Q39" s="63">
        <f t="shared" si="15"/>
        <v>5654.6938954071984</v>
      </c>
      <c r="R39" s="77">
        <f t="shared" si="2"/>
        <v>-2175.578364378724</v>
      </c>
      <c r="S39" s="63">
        <f t="shared" si="16"/>
        <v>-908.33333333333337</v>
      </c>
      <c r="T39" s="63"/>
      <c r="U39" s="63">
        <f t="shared" si="17"/>
        <v>-282.73469477035991</v>
      </c>
      <c r="V39" s="77">
        <f t="shared" si="20"/>
        <v>-103.43645833333335</v>
      </c>
      <c r="W39" s="83">
        <f t="shared" si="4"/>
        <v>2184.6110445914474</v>
      </c>
      <c r="X39" s="85">
        <f t="shared" si="18"/>
        <v>59213.814471517762</v>
      </c>
      <c r="Z39" s="92">
        <f t="shared" si="19"/>
        <v>49649.5</v>
      </c>
      <c r="AA39" s="5">
        <f t="shared" si="5"/>
        <v>0</v>
      </c>
      <c r="AB39" s="92">
        <f t="shared" si="6"/>
        <v>49649.5</v>
      </c>
      <c r="AD39" s="133">
        <f t="shared" si="7"/>
        <v>-29974.999999999985</v>
      </c>
      <c r="AE39" s="3">
        <f t="shared" si="8"/>
        <v>1</v>
      </c>
    </row>
    <row r="40" spans="1:31" ht="14.65" thickBot="1" x14ac:dyDescent="0.5">
      <c r="C40" s="11"/>
      <c r="D40" s="11"/>
      <c r="E40" s="11"/>
      <c r="F40" s="11"/>
      <c r="G40" s="11"/>
      <c r="H40" s="11"/>
      <c r="I40" s="14">
        <f t="shared" si="10"/>
        <v>34</v>
      </c>
      <c r="J40" s="63">
        <f t="shared" si="11"/>
        <v>55259.681032962508</v>
      </c>
      <c r="K40" s="63">
        <f t="shared" si="1"/>
        <v>244.08363751977845</v>
      </c>
      <c r="L40" s="63">
        <f t="shared" si="12"/>
        <v>-2175.578364378724</v>
      </c>
      <c r="M40" s="65">
        <f t="shared" si="0"/>
        <v>53328.186306103562</v>
      </c>
      <c r="O40" s="14">
        <f t="shared" si="13"/>
        <v>34</v>
      </c>
      <c r="P40" s="54">
        <f t="shared" si="14"/>
        <v>17684.25</v>
      </c>
      <c r="Q40" s="63">
        <f t="shared" si="15"/>
        <v>5654.6938954071984</v>
      </c>
      <c r="R40" s="77">
        <f t="shared" si="2"/>
        <v>-2175.578364378724</v>
      </c>
      <c r="S40" s="63">
        <f t="shared" si="16"/>
        <v>-908.33333333333337</v>
      </c>
      <c r="T40" s="63"/>
      <c r="U40" s="63">
        <f t="shared" si="17"/>
        <v>-282.73469477035991</v>
      </c>
      <c r="V40" s="77">
        <f t="shared" si="20"/>
        <v>-99.689583333333346</v>
      </c>
      <c r="W40" s="83">
        <f t="shared" si="4"/>
        <v>2188.3579195914476</v>
      </c>
      <c r="X40" s="85">
        <f t="shared" si="18"/>
        <v>61402.172391109212</v>
      </c>
      <c r="Z40" s="92">
        <f t="shared" si="19"/>
        <v>47851</v>
      </c>
      <c r="AA40" s="5">
        <f t="shared" si="5"/>
        <v>0</v>
      </c>
      <c r="AB40" s="92">
        <f t="shared" si="6"/>
        <v>47851</v>
      </c>
      <c r="AD40" s="133">
        <f t="shared" si="7"/>
        <v>-30883.333333333318</v>
      </c>
      <c r="AE40" s="3">
        <f t="shared" si="8"/>
        <v>1</v>
      </c>
    </row>
    <row r="41" spans="1:31" ht="32.25" customHeight="1" thickBot="1" x14ac:dyDescent="0.5">
      <c r="A41" s="667" t="s">
        <v>29</v>
      </c>
      <c r="B41" s="668"/>
      <c r="C41" s="668"/>
      <c r="D41" s="668"/>
      <c r="E41" s="668"/>
      <c r="F41" s="668"/>
      <c r="G41" s="669"/>
      <c r="H41" s="11"/>
      <c r="I41" s="14">
        <f t="shared" si="10"/>
        <v>35</v>
      </c>
      <c r="J41" s="63">
        <f t="shared" si="11"/>
        <v>53328.186306103562</v>
      </c>
      <c r="K41" s="63">
        <f t="shared" si="1"/>
        <v>235.55216846369063</v>
      </c>
      <c r="L41" s="63">
        <f t="shared" si="12"/>
        <v>-2175.578364378724</v>
      </c>
      <c r="M41" s="65">
        <f t="shared" si="0"/>
        <v>51388.160110188532</v>
      </c>
      <c r="O41" s="14">
        <f t="shared" si="13"/>
        <v>35</v>
      </c>
      <c r="P41" s="54">
        <f t="shared" si="14"/>
        <v>18204.375</v>
      </c>
      <c r="Q41" s="63">
        <f t="shared" si="15"/>
        <v>5654.6938954071984</v>
      </c>
      <c r="R41" s="77">
        <f t="shared" si="2"/>
        <v>-2175.578364378724</v>
      </c>
      <c r="S41" s="63">
        <f t="shared" si="16"/>
        <v>-908.33333333333337</v>
      </c>
      <c r="T41" s="63"/>
      <c r="U41" s="63">
        <f t="shared" si="17"/>
        <v>-282.73469477035991</v>
      </c>
      <c r="V41" s="77">
        <f t="shared" si="20"/>
        <v>-95.942708333333329</v>
      </c>
      <c r="W41" s="83">
        <f t="shared" si="4"/>
        <v>2192.1047945914474</v>
      </c>
      <c r="X41" s="85">
        <f t="shared" si="18"/>
        <v>63594.277185700659</v>
      </c>
      <c r="Z41" s="92">
        <f t="shared" si="19"/>
        <v>46052.5</v>
      </c>
      <c r="AA41" s="5">
        <f t="shared" si="5"/>
        <v>0</v>
      </c>
      <c r="AB41" s="92">
        <f t="shared" si="6"/>
        <v>46052.5</v>
      </c>
      <c r="AD41" s="133">
        <f t="shared" si="7"/>
        <v>-31791.66666666665</v>
      </c>
      <c r="AE41" s="3">
        <f t="shared" si="8"/>
        <v>1</v>
      </c>
    </row>
    <row r="42" spans="1:31" ht="19.5" customHeight="1" x14ac:dyDescent="0.45">
      <c r="A42" s="35">
        <v>1</v>
      </c>
      <c r="B42" s="670" t="s">
        <v>30</v>
      </c>
      <c r="C42" s="671"/>
      <c r="D42" s="671"/>
      <c r="E42" s="672"/>
      <c r="F42" s="73">
        <f>F36/C12/C14</f>
        <v>2236.1309324442354</v>
      </c>
      <c r="G42" s="74">
        <f>G36/C13/C14</f>
        <v>6.5725795971410008</v>
      </c>
      <c r="H42" s="11"/>
      <c r="I42" s="20">
        <f t="shared" si="10"/>
        <v>36</v>
      </c>
      <c r="J42" s="63">
        <f t="shared" si="11"/>
        <v>51388.160110188532</v>
      </c>
      <c r="K42" s="79">
        <f t="shared" si="1"/>
        <v>226.98301565768477</v>
      </c>
      <c r="L42" s="63">
        <f t="shared" si="12"/>
        <v>-2175.578364378724</v>
      </c>
      <c r="M42" s="80">
        <f t="shared" si="0"/>
        <v>49439.564761467496</v>
      </c>
      <c r="O42" s="20">
        <f t="shared" si="13"/>
        <v>36</v>
      </c>
      <c r="P42" s="54">
        <f t="shared" si="14"/>
        <v>18724.5</v>
      </c>
      <c r="Q42" s="63">
        <f t="shared" si="15"/>
        <v>5654.6938954071984</v>
      </c>
      <c r="R42" s="77">
        <f t="shared" si="2"/>
        <v>-2175.578364378724</v>
      </c>
      <c r="S42" s="63">
        <f t="shared" si="16"/>
        <v>-908.33333333333337</v>
      </c>
      <c r="T42" s="63"/>
      <c r="U42" s="63">
        <f t="shared" si="17"/>
        <v>-282.73469477035991</v>
      </c>
      <c r="V42" s="77">
        <f t="shared" si="20"/>
        <v>-92.19583333333334</v>
      </c>
      <c r="W42" s="83">
        <f t="shared" si="4"/>
        <v>2195.8516695914477</v>
      </c>
      <c r="X42" s="85">
        <f t="shared" si="18"/>
        <v>65790.128855292103</v>
      </c>
      <c r="Z42" s="92">
        <f t="shared" si="19"/>
        <v>44254</v>
      </c>
      <c r="AA42" s="5">
        <f t="shared" si="5"/>
        <v>0</v>
      </c>
      <c r="AB42" s="92">
        <f t="shared" si="6"/>
        <v>44254</v>
      </c>
      <c r="AD42" s="133">
        <f t="shared" si="7"/>
        <v>-32699.999999999982</v>
      </c>
      <c r="AE42" s="3">
        <f t="shared" si="8"/>
        <v>1</v>
      </c>
    </row>
    <row r="43" spans="1:31" ht="19.5" customHeight="1" thickBot="1" x14ac:dyDescent="0.5">
      <c r="A43" s="36">
        <f>A42+1</f>
        <v>2</v>
      </c>
      <c r="B43" s="673" t="s">
        <v>31</v>
      </c>
      <c r="C43" s="674"/>
      <c r="D43" s="674"/>
      <c r="E43" s="675"/>
      <c r="F43" s="75"/>
      <c r="G43" s="76">
        <f>+(F42*C12+D13*G42)/D13</f>
        <v>14.854546013601132</v>
      </c>
      <c r="H43" s="11"/>
      <c r="I43" s="20">
        <f t="shared" si="10"/>
        <v>37</v>
      </c>
      <c r="J43" s="63">
        <f t="shared" si="11"/>
        <v>49439.564761467496</v>
      </c>
      <c r="K43" s="79">
        <f t="shared" si="1"/>
        <v>218.37601265152838</v>
      </c>
      <c r="L43" s="63">
        <f t="shared" si="12"/>
        <v>-2175.578364378724</v>
      </c>
      <c r="M43" s="80">
        <f t="shared" si="0"/>
        <v>47482.362409740301</v>
      </c>
      <c r="O43" s="20">
        <f t="shared" si="13"/>
        <v>37</v>
      </c>
      <c r="P43" s="54">
        <f t="shared" si="14"/>
        <v>19244.625</v>
      </c>
      <c r="Q43" s="63">
        <f t="shared" si="15"/>
        <v>5654.6938954071984</v>
      </c>
      <c r="R43" s="77">
        <f t="shared" si="2"/>
        <v>-2175.578364378724</v>
      </c>
      <c r="S43" s="63">
        <f t="shared" si="16"/>
        <v>-908.33333333333337</v>
      </c>
      <c r="T43" s="63"/>
      <c r="U43" s="63">
        <f t="shared" si="17"/>
        <v>-282.73469477035991</v>
      </c>
      <c r="V43" s="77">
        <f t="shared" si="20"/>
        <v>-88.448958333333337</v>
      </c>
      <c r="W43" s="83">
        <f t="shared" si="4"/>
        <v>2199.5985445914475</v>
      </c>
      <c r="X43" s="85">
        <f t="shared" si="18"/>
        <v>67989.727399883544</v>
      </c>
      <c r="Z43" s="92">
        <f t="shared" si="19"/>
        <v>42455.5</v>
      </c>
      <c r="AA43" s="5">
        <f t="shared" si="5"/>
        <v>0</v>
      </c>
      <c r="AB43" s="92">
        <f t="shared" si="6"/>
        <v>42455.5</v>
      </c>
      <c r="AD43" s="133">
        <f t="shared" si="7"/>
        <v>-33608.333333333314</v>
      </c>
      <c r="AE43" s="3">
        <f t="shared" si="8"/>
        <v>1</v>
      </c>
    </row>
    <row r="44" spans="1:31" x14ac:dyDescent="0.45">
      <c r="I44" s="20">
        <f t="shared" si="10"/>
        <v>38</v>
      </c>
      <c r="J44" s="63">
        <f t="shared" si="11"/>
        <v>47482.362409740301</v>
      </c>
      <c r="K44" s="79">
        <f t="shared" si="1"/>
        <v>209.73099225977336</v>
      </c>
      <c r="L44" s="63">
        <f t="shared" si="12"/>
        <v>-2175.578364378724</v>
      </c>
      <c r="M44" s="80">
        <f t="shared" si="0"/>
        <v>45516.51503762135</v>
      </c>
      <c r="O44" s="20">
        <f t="shared" si="13"/>
        <v>38</v>
      </c>
      <c r="P44" s="54">
        <f t="shared" si="14"/>
        <v>19764.75</v>
      </c>
      <c r="Q44" s="63">
        <f t="shared" si="15"/>
        <v>5654.6938954071984</v>
      </c>
      <c r="R44" s="77">
        <f t="shared" si="2"/>
        <v>-2175.578364378724</v>
      </c>
      <c r="S44" s="63">
        <f t="shared" si="16"/>
        <v>-908.33333333333337</v>
      </c>
      <c r="T44" s="63"/>
      <c r="U44" s="63">
        <f t="shared" si="17"/>
        <v>-282.73469477035991</v>
      </c>
      <c r="V44" s="77">
        <f t="shared" si="20"/>
        <v>-84.702083333333334</v>
      </c>
      <c r="W44" s="83">
        <f t="shared" si="4"/>
        <v>2203.3454195914478</v>
      </c>
      <c r="X44" s="85">
        <f t="shared" si="18"/>
        <v>70193.072819474997</v>
      </c>
      <c r="Z44" s="92">
        <f t="shared" si="19"/>
        <v>40657</v>
      </c>
      <c r="AA44" s="5">
        <f t="shared" si="5"/>
        <v>0</v>
      </c>
      <c r="AB44" s="92">
        <f t="shared" si="6"/>
        <v>40657</v>
      </c>
      <c r="AD44" s="133">
        <f t="shared" si="7"/>
        <v>-34516.66666666665</v>
      </c>
      <c r="AE44" s="3">
        <f t="shared" si="8"/>
        <v>1</v>
      </c>
    </row>
    <row r="45" spans="1:31" x14ac:dyDescent="0.45">
      <c r="I45" s="20">
        <f t="shared" si="10"/>
        <v>39</v>
      </c>
      <c r="J45" s="63">
        <f t="shared" si="11"/>
        <v>45516.51503762135</v>
      </c>
      <c r="K45" s="79">
        <f t="shared" si="1"/>
        <v>201.04778655850862</v>
      </c>
      <c r="L45" s="63">
        <f t="shared" si="12"/>
        <v>-2175.578364378724</v>
      </c>
      <c r="M45" s="80">
        <f t="shared" si="0"/>
        <v>43541.984459801133</v>
      </c>
      <c r="O45" s="20">
        <f t="shared" si="13"/>
        <v>39</v>
      </c>
      <c r="P45" s="54">
        <f t="shared" si="14"/>
        <v>20284.875</v>
      </c>
      <c r="Q45" s="63">
        <f t="shared" si="15"/>
        <v>5654.6938954071984</v>
      </c>
      <c r="R45" s="77">
        <f t="shared" si="2"/>
        <v>-2175.578364378724</v>
      </c>
      <c r="S45" s="63">
        <f t="shared" si="16"/>
        <v>-908.33333333333337</v>
      </c>
      <c r="T45" s="63"/>
      <c r="U45" s="63">
        <f t="shared" si="17"/>
        <v>-282.73469477035991</v>
      </c>
      <c r="V45" s="77">
        <f t="shared" si="20"/>
        <v>-80.955208333333346</v>
      </c>
      <c r="W45" s="83">
        <f t="shared" si="4"/>
        <v>2207.0922945914476</v>
      </c>
      <c r="X45" s="85">
        <f t="shared" si="18"/>
        <v>72400.165114066447</v>
      </c>
      <c r="Z45" s="92">
        <f t="shared" si="19"/>
        <v>38858.5</v>
      </c>
      <c r="AA45" s="5">
        <f t="shared" si="5"/>
        <v>0</v>
      </c>
      <c r="AB45" s="92">
        <f t="shared" si="6"/>
        <v>38858.5</v>
      </c>
      <c r="AD45" s="133">
        <f t="shared" si="7"/>
        <v>-35424.999999999985</v>
      </c>
      <c r="AE45" s="3">
        <f t="shared" si="8"/>
        <v>1</v>
      </c>
    </row>
    <row r="46" spans="1:31" x14ac:dyDescent="0.45">
      <c r="I46" s="20">
        <f t="shared" si="10"/>
        <v>40</v>
      </c>
      <c r="J46" s="63">
        <f t="shared" si="11"/>
        <v>43541.984459801133</v>
      </c>
      <c r="K46" s="79">
        <f t="shared" si="1"/>
        <v>192.32622688209818</v>
      </c>
      <c r="L46" s="63">
        <f t="shared" si="12"/>
        <v>-2175.578364378724</v>
      </c>
      <c r="M46" s="80">
        <f t="shared" si="0"/>
        <v>41558.73232230451</v>
      </c>
      <c r="O46" s="20">
        <f t="shared" si="13"/>
        <v>40</v>
      </c>
      <c r="P46" s="54">
        <f t="shared" si="14"/>
        <v>20805</v>
      </c>
      <c r="Q46" s="63">
        <f t="shared" si="15"/>
        <v>5654.6938954071984</v>
      </c>
      <c r="R46" s="77">
        <f t="shared" si="2"/>
        <v>-2175.578364378724</v>
      </c>
      <c r="S46" s="63">
        <f t="shared" si="16"/>
        <v>-908.33333333333337</v>
      </c>
      <c r="T46" s="63"/>
      <c r="U46" s="63">
        <f t="shared" si="17"/>
        <v>-282.73469477035991</v>
      </c>
      <c r="V46" s="77">
        <f t="shared" si="20"/>
        <v>-77.208333333333329</v>
      </c>
      <c r="W46" s="83">
        <f t="shared" si="4"/>
        <v>2210.8391695914474</v>
      </c>
      <c r="X46" s="85">
        <f t="shared" si="18"/>
        <v>74611.004283657894</v>
      </c>
      <c r="Z46" s="92">
        <f t="shared" si="19"/>
        <v>37060</v>
      </c>
      <c r="AA46" s="5">
        <f t="shared" si="5"/>
        <v>0</v>
      </c>
      <c r="AB46" s="92">
        <f t="shared" si="6"/>
        <v>37060</v>
      </c>
      <c r="AD46" s="133">
        <f t="shared" si="7"/>
        <v>-36333.333333333321</v>
      </c>
      <c r="AE46" s="3">
        <f t="shared" si="8"/>
        <v>1</v>
      </c>
    </row>
    <row r="47" spans="1:31" x14ac:dyDescent="0.45">
      <c r="I47" s="20">
        <f t="shared" si="10"/>
        <v>41</v>
      </c>
      <c r="J47" s="63">
        <f t="shared" si="11"/>
        <v>41558.73232230451</v>
      </c>
      <c r="K47" s="79">
        <f t="shared" si="1"/>
        <v>183.56614381990502</v>
      </c>
      <c r="L47" s="63">
        <f t="shared" si="12"/>
        <v>-2175.578364378724</v>
      </c>
      <c r="M47" s="80">
        <f t="shared" si="0"/>
        <v>39566.72010174569</v>
      </c>
      <c r="O47" s="20">
        <f t="shared" si="13"/>
        <v>41</v>
      </c>
      <c r="P47" s="54">
        <f t="shared" si="14"/>
        <v>21325.125</v>
      </c>
      <c r="Q47" s="63">
        <f t="shared" si="15"/>
        <v>5654.6938954071984</v>
      </c>
      <c r="R47" s="77">
        <f t="shared" si="2"/>
        <v>-2175.578364378724</v>
      </c>
      <c r="S47" s="63">
        <f t="shared" si="16"/>
        <v>-908.33333333333337</v>
      </c>
      <c r="T47" s="63"/>
      <c r="U47" s="63">
        <f t="shared" si="17"/>
        <v>-282.73469477035991</v>
      </c>
      <c r="V47" s="77">
        <f t="shared" si="20"/>
        <v>-73.46145833333334</v>
      </c>
      <c r="W47" s="83">
        <f t="shared" si="4"/>
        <v>2214.5860445914477</v>
      </c>
      <c r="X47" s="85">
        <f t="shared" si="18"/>
        <v>76825.590328249338</v>
      </c>
      <c r="Z47" s="92">
        <f t="shared" si="19"/>
        <v>35261.5</v>
      </c>
      <c r="AA47" s="5">
        <f t="shared" si="5"/>
        <v>0</v>
      </c>
      <c r="AB47" s="92">
        <f t="shared" si="6"/>
        <v>35261.5</v>
      </c>
      <c r="AD47" s="133">
        <f t="shared" si="7"/>
        <v>-37241.666666666657</v>
      </c>
      <c r="AE47" s="3">
        <f t="shared" si="8"/>
        <v>1</v>
      </c>
    </row>
    <row r="48" spans="1:31" x14ac:dyDescent="0.45">
      <c r="I48" s="20">
        <f t="shared" si="10"/>
        <v>42</v>
      </c>
      <c r="J48" s="63">
        <f t="shared" si="11"/>
        <v>39566.72010174569</v>
      </c>
      <c r="K48" s="79">
        <f t="shared" si="1"/>
        <v>174.76736721300028</v>
      </c>
      <c r="L48" s="63">
        <f t="shared" si="12"/>
        <v>-2175.578364378724</v>
      </c>
      <c r="M48" s="80">
        <f t="shared" si="0"/>
        <v>37565.909104579965</v>
      </c>
      <c r="O48" s="20">
        <f t="shared" si="13"/>
        <v>42</v>
      </c>
      <c r="P48" s="54">
        <f t="shared" si="14"/>
        <v>21845.25</v>
      </c>
      <c r="Q48" s="63">
        <f t="shared" si="15"/>
        <v>5654.6938954071984</v>
      </c>
      <c r="R48" s="77">
        <f t="shared" si="2"/>
        <v>-2175.578364378724</v>
      </c>
      <c r="S48" s="63">
        <f t="shared" si="16"/>
        <v>-908.33333333333337</v>
      </c>
      <c r="T48" s="63"/>
      <c r="U48" s="63">
        <f t="shared" si="17"/>
        <v>-282.73469477035991</v>
      </c>
      <c r="V48" s="77">
        <f t="shared" si="20"/>
        <v>-69.714583333333337</v>
      </c>
      <c r="W48" s="83">
        <f t="shared" si="4"/>
        <v>2218.3329195914475</v>
      </c>
      <c r="X48" s="85">
        <f t="shared" si="18"/>
        <v>79043.923247840779</v>
      </c>
      <c r="Z48" s="92">
        <f t="shared" si="19"/>
        <v>33463</v>
      </c>
      <c r="AA48" s="5">
        <f t="shared" si="5"/>
        <v>0</v>
      </c>
      <c r="AB48" s="92">
        <f t="shared" si="6"/>
        <v>33463</v>
      </c>
      <c r="AD48" s="133">
        <f t="shared" si="7"/>
        <v>-38149.999999999993</v>
      </c>
      <c r="AE48" s="3">
        <f t="shared" si="8"/>
        <v>1</v>
      </c>
    </row>
    <row r="49" spans="9:31" x14ac:dyDescent="0.45">
      <c r="I49" s="20">
        <f t="shared" si="10"/>
        <v>43</v>
      </c>
      <c r="J49" s="63">
        <f t="shared" si="11"/>
        <v>37565.909104579965</v>
      </c>
      <c r="K49" s="79">
        <f t="shared" si="1"/>
        <v>165.92972615085819</v>
      </c>
      <c r="L49" s="63">
        <f t="shared" si="12"/>
        <v>-2175.578364378724</v>
      </c>
      <c r="M49" s="80">
        <f t="shared" si="0"/>
        <v>35556.260466352098</v>
      </c>
      <c r="O49" s="20">
        <f t="shared" si="13"/>
        <v>43</v>
      </c>
      <c r="P49" s="54">
        <f t="shared" si="14"/>
        <v>22365.375</v>
      </c>
      <c r="Q49" s="63">
        <f t="shared" si="15"/>
        <v>5654.6938954071984</v>
      </c>
      <c r="R49" s="77">
        <f t="shared" si="2"/>
        <v>-2175.578364378724</v>
      </c>
      <c r="S49" s="63">
        <f t="shared" si="16"/>
        <v>-908.33333333333337</v>
      </c>
      <c r="T49" s="63"/>
      <c r="U49" s="63">
        <f t="shared" si="17"/>
        <v>-282.73469477035991</v>
      </c>
      <c r="V49" s="77">
        <f t="shared" si="20"/>
        <v>-65.967708333333334</v>
      </c>
      <c r="W49" s="83">
        <f t="shared" si="4"/>
        <v>2222.0797945914478</v>
      </c>
      <c r="X49" s="85">
        <f t="shared" si="18"/>
        <v>81266.003042432232</v>
      </c>
      <c r="Z49" s="92">
        <f t="shared" si="19"/>
        <v>31664.5</v>
      </c>
      <c r="AA49" s="5">
        <f t="shared" si="5"/>
        <v>0</v>
      </c>
      <c r="AB49" s="92">
        <f t="shared" si="6"/>
        <v>31664.5</v>
      </c>
      <c r="AD49" s="133">
        <f t="shared" si="7"/>
        <v>-39058.333333333328</v>
      </c>
      <c r="AE49" s="3">
        <f t="shared" si="8"/>
        <v>1</v>
      </c>
    </row>
    <row r="50" spans="9:31" x14ac:dyDescent="0.45">
      <c r="I50" s="20">
        <f t="shared" si="10"/>
        <v>44</v>
      </c>
      <c r="J50" s="63">
        <f t="shared" si="11"/>
        <v>35556.260466352098</v>
      </c>
      <c r="K50" s="79">
        <f t="shared" si="1"/>
        <v>157.05304896803605</v>
      </c>
      <c r="L50" s="63">
        <f t="shared" si="12"/>
        <v>-2175.578364378724</v>
      </c>
      <c r="M50" s="80">
        <f t="shared" si="0"/>
        <v>33537.735150941415</v>
      </c>
      <c r="O50" s="20">
        <f t="shared" si="13"/>
        <v>44</v>
      </c>
      <c r="P50" s="54">
        <f t="shared" si="14"/>
        <v>22885.5</v>
      </c>
      <c r="Q50" s="63">
        <f t="shared" si="15"/>
        <v>5654.6938954071984</v>
      </c>
      <c r="R50" s="77">
        <f t="shared" si="2"/>
        <v>-2175.578364378724</v>
      </c>
      <c r="S50" s="63">
        <f t="shared" si="16"/>
        <v>-908.33333333333337</v>
      </c>
      <c r="T50" s="63"/>
      <c r="U50" s="63">
        <f t="shared" si="17"/>
        <v>-282.73469477035991</v>
      </c>
      <c r="V50" s="77">
        <f t="shared" si="20"/>
        <v>-62.220833333333339</v>
      </c>
      <c r="W50" s="83">
        <f t="shared" si="4"/>
        <v>2225.8266695914476</v>
      </c>
      <c r="X50" s="85">
        <f t="shared" si="18"/>
        <v>83491.829712023682</v>
      </c>
      <c r="Z50" s="92">
        <f t="shared" si="19"/>
        <v>29866</v>
      </c>
      <c r="AA50" s="5">
        <f t="shared" si="5"/>
        <v>0</v>
      </c>
      <c r="AB50" s="92">
        <f t="shared" si="6"/>
        <v>29866</v>
      </c>
      <c r="AD50" s="133">
        <f t="shared" si="7"/>
        <v>-39966.666666666664</v>
      </c>
      <c r="AE50" s="3">
        <f t="shared" si="8"/>
        <v>1</v>
      </c>
    </row>
    <row r="51" spans="9:31" x14ac:dyDescent="0.45">
      <c r="I51" s="20">
        <f t="shared" si="10"/>
        <v>45</v>
      </c>
      <c r="J51" s="63">
        <f t="shared" si="11"/>
        <v>33537.735150941415</v>
      </c>
      <c r="K51" s="79">
        <f t="shared" si="1"/>
        <v>148.13716324083998</v>
      </c>
      <c r="L51" s="63">
        <f t="shared" si="12"/>
        <v>-2175.578364378724</v>
      </c>
      <c r="M51" s="80">
        <f t="shared" si="0"/>
        <v>31510.29394980353</v>
      </c>
      <c r="O51" s="20">
        <f t="shared" si="13"/>
        <v>45</v>
      </c>
      <c r="P51" s="54">
        <f t="shared" si="14"/>
        <v>23405.625</v>
      </c>
      <c r="Q51" s="63">
        <f t="shared" si="15"/>
        <v>5654.6938954071984</v>
      </c>
      <c r="R51" s="77">
        <f t="shared" si="2"/>
        <v>-2175.578364378724</v>
      </c>
      <c r="S51" s="63">
        <f t="shared" si="16"/>
        <v>-908.33333333333337</v>
      </c>
      <c r="T51" s="63"/>
      <c r="U51" s="63">
        <f t="shared" si="17"/>
        <v>-282.73469477035991</v>
      </c>
      <c r="V51" s="77">
        <f t="shared" si="20"/>
        <v>-58.473958333333336</v>
      </c>
      <c r="W51" s="83">
        <f t="shared" si="4"/>
        <v>2229.5735445914474</v>
      </c>
      <c r="X51" s="85">
        <f t="shared" si="18"/>
        <v>85721.403256615129</v>
      </c>
      <c r="Z51" s="92">
        <f t="shared" si="19"/>
        <v>28067.5</v>
      </c>
      <c r="AA51" s="5">
        <f t="shared" si="5"/>
        <v>0</v>
      </c>
      <c r="AB51" s="92">
        <f t="shared" si="6"/>
        <v>28067.5</v>
      </c>
      <c r="AD51" s="133">
        <f t="shared" si="7"/>
        <v>-40875</v>
      </c>
      <c r="AE51" s="3">
        <f t="shared" si="8"/>
        <v>1</v>
      </c>
    </row>
    <row r="52" spans="9:31" x14ac:dyDescent="0.45">
      <c r="I52" s="20">
        <f t="shared" si="10"/>
        <v>46</v>
      </c>
      <c r="J52" s="63">
        <f t="shared" si="11"/>
        <v>31510.29394980353</v>
      </c>
      <c r="K52" s="79">
        <f t="shared" si="1"/>
        <v>139.18189578397545</v>
      </c>
      <c r="L52" s="63">
        <f t="shared" si="12"/>
        <v>-2175.578364378724</v>
      </c>
      <c r="M52" s="80">
        <f t="shared" si="0"/>
        <v>29473.89748120878</v>
      </c>
      <c r="O52" s="20">
        <f t="shared" si="13"/>
        <v>46</v>
      </c>
      <c r="P52" s="54">
        <f t="shared" si="14"/>
        <v>23925.75</v>
      </c>
      <c r="Q52" s="63">
        <f t="shared" si="15"/>
        <v>5654.6938954071984</v>
      </c>
      <c r="R52" s="77">
        <f t="shared" si="2"/>
        <v>-2175.578364378724</v>
      </c>
      <c r="S52" s="63">
        <f t="shared" si="16"/>
        <v>-908.33333333333337</v>
      </c>
      <c r="T52" s="63"/>
      <c r="U52" s="63">
        <f t="shared" si="17"/>
        <v>-282.73469477035991</v>
      </c>
      <c r="V52" s="77">
        <f t="shared" si="20"/>
        <v>-54.727083333333333</v>
      </c>
      <c r="W52" s="83">
        <f t="shared" si="4"/>
        <v>2233.3204195914477</v>
      </c>
      <c r="X52" s="85">
        <f t="shared" si="18"/>
        <v>87954.723676206573</v>
      </c>
      <c r="Z52" s="92">
        <f t="shared" si="19"/>
        <v>26269</v>
      </c>
      <c r="AA52" s="5">
        <f t="shared" si="5"/>
        <v>0</v>
      </c>
      <c r="AB52" s="92">
        <f t="shared" si="6"/>
        <v>26269</v>
      </c>
      <c r="AD52" s="133">
        <f t="shared" si="7"/>
        <v>-41783.333333333336</v>
      </c>
      <c r="AE52" s="3">
        <f t="shared" si="8"/>
        <v>1</v>
      </c>
    </row>
    <row r="53" spans="9:31" x14ac:dyDescent="0.45">
      <c r="I53" s="20">
        <f t="shared" si="10"/>
        <v>47</v>
      </c>
      <c r="J53" s="63">
        <f t="shared" si="11"/>
        <v>29473.89748120878</v>
      </c>
      <c r="K53" s="79">
        <f t="shared" si="1"/>
        <v>130.18707264718344</v>
      </c>
      <c r="L53" s="63">
        <f t="shared" si="12"/>
        <v>-2175.578364378724</v>
      </c>
      <c r="M53" s="80">
        <f t="shared" si="0"/>
        <v>27428.506189477237</v>
      </c>
      <c r="O53" s="20">
        <f t="shared" si="13"/>
        <v>47</v>
      </c>
      <c r="P53" s="54">
        <f t="shared" si="14"/>
        <v>24445.875</v>
      </c>
      <c r="Q53" s="63">
        <f t="shared" si="15"/>
        <v>5654.6938954071984</v>
      </c>
      <c r="R53" s="77">
        <f t="shared" si="2"/>
        <v>-2175.578364378724</v>
      </c>
      <c r="S53" s="63">
        <f t="shared" si="16"/>
        <v>-908.33333333333337</v>
      </c>
      <c r="T53" s="63"/>
      <c r="U53" s="63">
        <f t="shared" si="17"/>
        <v>-282.73469477035991</v>
      </c>
      <c r="V53" s="77">
        <f t="shared" si="20"/>
        <v>-50.980208333333337</v>
      </c>
      <c r="W53" s="83">
        <f t="shared" si="4"/>
        <v>2237.0672945914475</v>
      </c>
      <c r="X53" s="85">
        <f t="shared" si="18"/>
        <v>90191.790970798014</v>
      </c>
      <c r="Z53" s="92">
        <f t="shared" si="19"/>
        <v>24470.5</v>
      </c>
      <c r="AA53" s="5">
        <f t="shared" si="5"/>
        <v>0</v>
      </c>
      <c r="AB53" s="92">
        <f t="shared" si="6"/>
        <v>24470.5</v>
      </c>
      <c r="AD53" s="133">
        <f t="shared" si="7"/>
        <v>-42691.666666666672</v>
      </c>
      <c r="AE53" s="3">
        <f t="shared" si="8"/>
        <v>1</v>
      </c>
    </row>
    <row r="54" spans="9:31" x14ac:dyDescent="0.45">
      <c r="I54" s="20">
        <f t="shared" si="10"/>
        <v>48</v>
      </c>
      <c r="J54" s="63">
        <f t="shared" si="11"/>
        <v>27428.506189477237</v>
      </c>
      <c r="K54" s="79">
        <f t="shared" si="1"/>
        <v>121.15251911186151</v>
      </c>
      <c r="L54" s="63">
        <f t="shared" si="12"/>
        <v>-2175.578364378724</v>
      </c>
      <c r="M54" s="80">
        <f t="shared" si="0"/>
        <v>25374.080344210372</v>
      </c>
      <c r="O54" s="20">
        <f t="shared" si="13"/>
        <v>48</v>
      </c>
      <c r="P54" s="54">
        <f t="shared" si="14"/>
        <v>24966</v>
      </c>
      <c r="Q54" s="63">
        <f t="shared" si="15"/>
        <v>5654.6938954071984</v>
      </c>
      <c r="R54" s="77">
        <f t="shared" si="2"/>
        <v>-2175.578364378724</v>
      </c>
      <c r="S54" s="63">
        <f t="shared" si="16"/>
        <v>-908.33333333333337</v>
      </c>
      <c r="T54" s="63">
        <f>-T68*0.5</f>
        <v>-10900</v>
      </c>
      <c r="U54" s="63">
        <f t="shared" si="17"/>
        <v>-282.73469477035991</v>
      </c>
      <c r="V54" s="77">
        <f t="shared" si="20"/>
        <v>-47.233333333333341</v>
      </c>
      <c r="W54" s="83">
        <f t="shared" si="4"/>
        <v>-8659.1858304085508</v>
      </c>
      <c r="X54" s="85">
        <f t="shared" si="18"/>
        <v>81532.605140389467</v>
      </c>
      <c r="Z54" s="92">
        <f t="shared" si="19"/>
        <v>22672</v>
      </c>
      <c r="AA54" s="5">
        <f t="shared" si="5"/>
        <v>0</v>
      </c>
      <c r="AB54" s="92">
        <f t="shared" si="6"/>
        <v>22672</v>
      </c>
      <c r="AD54" s="133">
        <f t="shared" ref="AD54:AD62" si="24">IF(AD53=0,0,IF(+S54+AD53&lt;-$S$68,0,+S54+AD53))</f>
        <v>-43600.000000000007</v>
      </c>
      <c r="AE54" s="3">
        <f t="shared" si="8"/>
        <v>1</v>
      </c>
    </row>
    <row r="55" spans="9:31" x14ac:dyDescent="0.45">
      <c r="I55" s="20">
        <f t="shared" si="10"/>
        <v>49</v>
      </c>
      <c r="J55" s="63">
        <f t="shared" si="11"/>
        <v>25374.080344210372</v>
      </c>
      <c r="K55" s="79">
        <f>J55*$C$8*30.44/365.25</f>
        <v>112.07805968767002</v>
      </c>
      <c r="L55" s="63">
        <f t="shared" si="12"/>
        <v>-2175.578364378724</v>
      </c>
      <c r="M55" s="80">
        <f t="shared" si="0"/>
        <v>23310.580039519315</v>
      </c>
      <c r="O55" s="20">
        <f t="shared" si="13"/>
        <v>49</v>
      </c>
      <c r="P55" s="54">
        <f t="shared" si="14"/>
        <v>25486.125</v>
      </c>
      <c r="Q55" s="63">
        <f t="shared" si="15"/>
        <v>5654.6938954071984</v>
      </c>
      <c r="R55" s="77">
        <f t="shared" si="2"/>
        <v>-2175.578364378724</v>
      </c>
      <c r="S55" s="63">
        <f t="shared" si="16"/>
        <v>-908.33333333333337</v>
      </c>
      <c r="T55" s="63">
        <f>-T69*0.5</f>
        <v>0</v>
      </c>
      <c r="U55" s="63">
        <f t="shared" si="17"/>
        <v>-282.73469477035991</v>
      </c>
      <c r="V55" s="77">
        <f t="shared" si="20"/>
        <v>-43.486458333333331</v>
      </c>
      <c r="W55" s="83">
        <f t="shared" si="4"/>
        <v>2244.5610445914476</v>
      </c>
      <c r="X55" s="85">
        <f t="shared" si="18"/>
        <v>83777.166184980917</v>
      </c>
      <c r="Z55" s="92">
        <f t="shared" si="19"/>
        <v>20873.5</v>
      </c>
      <c r="AA55" s="5">
        <f t="shared" si="5"/>
        <v>0</v>
      </c>
      <c r="AB55" s="92">
        <f t="shared" si="6"/>
        <v>20873.5</v>
      </c>
      <c r="AD55" s="133">
        <f t="shared" si="24"/>
        <v>-44508.333333333343</v>
      </c>
      <c r="AE55" s="3">
        <f t="shared" si="8"/>
        <v>1</v>
      </c>
    </row>
    <row r="56" spans="9:31" x14ac:dyDescent="0.45">
      <c r="I56" s="20">
        <f t="shared" si="10"/>
        <v>50</v>
      </c>
      <c r="J56" s="63">
        <f t="shared" si="11"/>
        <v>23310.580039519315</v>
      </c>
      <c r="K56" s="79">
        <f>J56*$C$8*30.44/365.25</f>
        <v>102.96351810912334</v>
      </c>
      <c r="L56" s="63">
        <f t="shared" si="12"/>
        <v>-2175.578364378724</v>
      </c>
      <c r="M56" s="80">
        <f t="shared" si="0"/>
        <v>21237.965193249711</v>
      </c>
      <c r="O56" s="20">
        <f t="shared" si="13"/>
        <v>50</v>
      </c>
      <c r="P56" s="54">
        <f t="shared" si="14"/>
        <v>26006.25</v>
      </c>
      <c r="Q56" s="63">
        <f t="shared" si="15"/>
        <v>5654.6938954071984</v>
      </c>
      <c r="R56" s="77">
        <f t="shared" si="2"/>
        <v>-2175.578364378724</v>
      </c>
      <c r="S56" s="63">
        <f t="shared" si="16"/>
        <v>-908.33333333333337</v>
      </c>
      <c r="T56" s="63">
        <f>-T70*0.5</f>
        <v>0</v>
      </c>
      <c r="U56" s="63">
        <f t="shared" si="17"/>
        <v>-282.73469477035991</v>
      </c>
      <c r="V56" s="77">
        <f t="shared" si="20"/>
        <v>-39.739583333333336</v>
      </c>
      <c r="W56" s="83">
        <f t="shared" si="4"/>
        <v>2248.3079195914474</v>
      </c>
      <c r="X56" s="85">
        <f t="shared" si="18"/>
        <v>86025.474104572364</v>
      </c>
      <c r="Z56" s="92">
        <f t="shared" si="19"/>
        <v>19075</v>
      </c>
      <c r="AA56" s="5">
        <f t="shared" si="5"/>
        <v>0</v>
      </c>
      <c r="AB56" s="92">
        <f t="shared" si="6"/>
        <v>19075</v>
      </c>
      <c r="AD56" s="133">
        <f t="shared" si="24"/>
        <v>-45416.666666666679</v>
      </c>
      <c r="AE56" s="3">
        <f t="shared" si="8"/>
        <v>1</v>
      </c>
    </row>
    <row r="57" spans="9:31" x14ac:dyDescent="0.45">
      <c r="I57" s="20">
        <f t="shared" si="10"/>
        <v>51</v>
      </c>
      <c r="J57" s="63">
        <f t="shared" si="11"/>
        <v>21237.965193249711</v>
      </c>
      <c r="K57" s="79">
        <f t="shared" ref="K57:K66" si="25">J57*$C$8*30.44/365.25</f>
        <v>93.808717332165969</v>
      </c>
      <c r="L57" s="63">
        <f t="shared" si="12"/>
        <v>-2175.578364378724</v>
      </c>
      <c r="M57" s="80">
        <f t="shared" si="0"/>
        <v>19156.195546203151</v>
      </c>
      <c r="O57" s="20">
        <f t="shared" si="13"/>
        <v>51</v>
      </c>
      <c r="P57" s="54">
        <f t="shared" si="14"/>
        <v>26526.375</v>
      </c>
      <c r="Q57" s="63">
        <f t="shared" si="15"/>
        <v>5654.6938954071984</v>
      </c>
      <c r="R57" s="77">
        <f t="shared" si="2"/>
        <v>-2175.578364378724</v>
      </c>
      <c r="S57" s="63">
        <f t="shared" si="16"/>
        <v>-908.33333333333337</v>
      </c>
      <c r="T57" s="63">
        <f>-T71*0.5</f>
        <v>0</v>
      </c>
      <c r="U57" s="63">
        <f t="shared" si="17"/>
        <v>-282.73469477035991</v>
      </c>
      <c r="V57" s="77">
        <f t="shared" si="20"/>
        <v>-35.992708333333333</v>
      </c>
      <c r="W57" s="83">
        <f t="shared" si="4"/>
        <v>2252.0547945914477</v>
      </c>
      <c r="X57" s="85">
        <f t="shared" si="18"/>
        <v>88277.528899163808</v>
      </c>
      <c r="Z57" s="92">
        <f t="shared" si="19"/>
        <v>17276.5</v>
      </c>
      <c r="AA57" s="5">
        <f t="shared" si="5"/>
        <v>0</v>
      </c>
      <c r="AB57" s="92">
        <f t="shared" si="6"/>
        <v>17276.5</v>
      </c>
      <c r="AD57" s="133">
        <f t="shared" si="24"/>
        <v>-46325.000000000015</v>
      </c>
      <c r="AE57" s="3">
        <f t="shared" si="8"/>
        <v>1</v>
      </c>
    </row>
    <row r="58" spans="9:31" x14ac:dyDescent="0.45">
      <c r="I58" s="20">
        <f t="shared" si="10"/>
        <v>52</v>
      </c>
      <c r="J58" s="63">
        <f t="shared" si="11"/>
        <v>19156.195546203151</v>
      </c>
      <c r="K58" s="79">
        <f t="shared" si="25"/>
        <v>84.613479530733656</v>
      </c>
      <c r="L58" s="63">
        <f t="shared" si="12"/>
        <v>-2175.578364378724</v>
      </c>
      <c r="M58" s="80">
        <f t="shared" si="0"/>
        <v>17065.230661355159</v>
      </c>
      <c r="O58" s="20">
        <f t="shared" si="13"/>
        <v>52</v>
      </c>
      <c r="P58" s="54">
        <f t="shared" si="14"/>
        <v>27046.5</v>
      </c>
      <c r="Q58" s="63">
        <f t="shared" si="15"/>
        <v>5654.6938954071984</v>
      </c>
      <c r="R58" s="77">
        <f t="shared" si="2"/>
        <v>-2175.578364378724</v>
      </c>
      <c r="S58" s="63">
        <f t="shared" si="16"/>
        <v>-908.33333333333337</v>
      </c>
      <c r="T58" s="63"/>
      <c r="U58" s="63">
        <f t="shared" si="17"/>
        <v>-282.73469477035991</v>
      </c>
      <c r="V58" s="77">
        <f t="shared" si="20"/>
        <v>-32.245833333333337</v>
      </c>
      <c r="W58" s="83">
        <f t="shared" si="4"/>
        <v>2255.8016695914475</v>
      </c>
      <c r="X58" s="85">
        <f t="shared" si="18"/>
        <v>90533.330568755249</v>
      </c>
      <c r="Z58" s="92">
        <f t="shared" si="19"/>
        <v>15478</v>
      </c>
      <c r="AA58" s="5">
        <f t="shared" si="5"/>
        <v>0</v>
      </c>
      <c r="AB58" s="92">
        <f t="shared" si="6"/>
        <v>15478</v>
      </c>
      <c r="AD58" s="133">
        <f t="shared" si="24"/>
        <v>-47233.33333333335</v>
      </c>
      <c r="AE58" s="3">
        <f t="shared" si="8"/>
        <v>1</v>
      </c>
    </row>
    <row r="59" spans="9:31" x14ac:dyDescent="0.45">
      <c r="I59" s="20">
        <f t="shared" si="10"/>
        <v>53</v>
      </c>
      <c r="J59" s="63">
        <f t="shared" si="11"/>
        <v>17065.230661355159</v>
      </c>
      <c r="K59" s="79">
        <f t="shared" si="25"/>
        <v>75.377626093299128</v>
      </c>
      <c r="L59" s="63">
        <f t="shared" si="12"/>
        <v>-2175.578364378724</v>
      </c>
      <c r="M59" s="80">
        <f t="shared" si="0"/>
        <v>14965.029923069736</v>
      </c>
      <c r="O59" s="20">
        <f t="shared" si="13"/>
        <v>53</v>
      </c>
      <c r="P59" s="54">
        <f t="shared" si="14"/>
        <v>27566.625</v>
      </c>
      <c r="Q59" s="63">
        <f t="shared" si="15"/>
        <v>5654.6938954071984</v>
      </c>
      <c r="R59" s="77">
        <f t="shared" si="2"/>
        <v>-2175.578364378724</v>
      </c>
      <c r="S59" s="63">
        <f t="shared" si="16"/>
        <v>-908.33333333333337</v>
      </c>
      <c r="T59" s="63"/>
      <c r="U59" s="63">
        <f t="shared" si="17"/>
        <v>-282.73469477035991</v>
      </c>
      <c r="V59" s="77">
        <f t="shared" si="20"/>
        <v>-28.498958333333334</v>
      </c>
      <c r="W59" s="83">
        <f t="shared" si="4"/>
        <v>2259.5485445914478</v>
      </c>
      <c r="X59" s="85">
        <f t="shared" si="18"/>
        <v>92792.879113346702</v>
      </c>
      <c r="Z59" s="92">
        <f t="shared" si="19"/>
        <v>13679.5</v>
      </c>
      <c r="AA59" s="5">
        <f t="shared" si="5"/>
        <v>0</v>
      </c>
      <c r="AB59" s="92">
        <f t="shared" si="6"/>
        <v>13679.5</v>
      </c>
      <c r="AD59" s="133">
        <f t="shared" si="24"/>
        <v>-48141.666666666686</v>
      </c>
      <c r="AE59" s="3">
        <f t="shared" si="8"/>
        <v>1</v>
      </c>
    </row>
    <row r="60" spans="9:31" x14ac:dyDescent="0.45">
      <c r="I60" s="20">
        <f t="shared" si="10"/>
        <v>54</v>
      </c>
      <c r="J60" s="63">
        <f t="shared" si="11"/>
        <v>14965.029923069736</v>
      </c>
      <c r="K60" s="79">
        <f t="shared" si="25"/>
        <v>66.100977619402784</v>
      </c>
      <c r="L60" s="63">
        <f t="shared" si="12"/>
        <v>-2175.578364378724</v>
      </c>
      <c r="M60" s="80">
        <f t="shared" si="0"/>
        <v>12855.552536310415</v>
      </c>
      <c r="O60" s="20">
        <f t="shared" si="13"/>
        <v>54</v>
      </c>
      <c r="P60" s="54">
        <f t="shared" si="14"/>
        <v>28086.75</v>
      </c>
      <c r="Q60" s="63">
        <f t="shared" si="15"/>
        <v>5654.6938954071984</v>
      </c>
      <c r="R60" s="77">
        <f t="shared" si="2"/>
        <v>-2175.578364378724</v>
      </c>
      <c r="S60" s="63">
        <f t="shared" si="16"/>
        <v>-908.33333333333337</v>
      </c>
      <c r="T60" s="63"/>
      <c r="U60" s="63">
        <f t="shared" si="17"/>
        <v>-282.73469477035991</v>
      </c>
      <c r="V60" s="77">
        <f t="shared" si="20"/>
        <v>-24.752083333333335</v>
      </c>
      <c r="W60" s="83">
        <f t="shared" si="4"/>
        <v>2263.2954195914476</v>
      </c>
      <c r="X60" s="85">
        <f t="shared" si="18"/>
        <v>95056.174532938152</v>
      </c>
      <c r="Z60" s="92">
        <f t="shared" si="19"/>
        <v>11881</v>
      </c>
      <c r="AA60" s="5">
        <f t="shared" si="5"/>
        <v>0</v>
      </c>
      <c r="AB60" s="92">
        <f t="shared" si="6"/>
        <v>11881</v>
      </c>
      <c r="AD60" s="133">
        <f t="shared" si="24"/>
        <v>-49050.000000000022</v>
      </c>
      <c r="AE60" s="3">
        <f t="shared" si="8"/>
        <v>1</v>
      </c>
    </row>
    <row r="61" spans="9:31" x14ac:dyDescent="0.45">
      <c r="I61" s="20">
        <f t="shared" si="10"/>
        <v>55</v>
      </c>
      <c r="J61" s="63">
        <f t="shared" si="11"/>
        <v>12855.552536310415</v>
      </c>
      <c r="K61" s="79">
        <f t="shared" si="25"/>
        <v>56.783353916167883</v>
      </c>
      <c r="L61" s="63">
        <f t="shared" si="12"/>
        <v>-2175.578364378724</v>
      </c>
      <c r="M61" s="80">
        <f t="shared" si="0"/>
        <v>10736.757525847859</v>
      </c>
      <c r="O61" s="20">
        <f t="shared" si="13"/>
        <v>55</v>
      </c>
      <c r="P61" s="54">
        <f t="shared" si="14"/>
        <v>28606.875</v>
      </c>
      <c r="Q61" s="63">
        <f t="shared" si="15"/>
        <v>5654.6938954071984</v>
      </c>
      <c r="R61" s="77">
        <f t="shared" si="2"/>
        <v>-2175.578364378724</v>
      </c>
      <c r="S61" s="63">
        <f t="shared" si="16"/>
        <v>-908.33333333333337</v>
      </c>
      <c r="T61" s="63">
        <f>-T75*0.5</f>
        <v>0</v>
      </c>
      <c r="U61" s="63">
        <f t="shared" si="17"/>
        <v>-282.73469477035991</v>
      </c>
      <c r="V61" s="77">
        <f t="shared" si="20"/>
        <v>-21.005208333333332</v>
      </c>
      <c r="W61" s="83">
        <f t="shared" si="4"/>
        <v>2267.0422945914474</v>
      </c>
      <c r="X61" s="85">
        <f t="shared" si="18"/>
        <v>97323.216827529599</v>
      </c>
      <c r="Z61" s="92">
        <f t="shared" si="19"/>
        <v>10082.5</v>
      </c>
      <c r="AA61" s="5">
        <f t="shared" si="5"/>
        <v>0</v>
      </c>
      <c r="AB61" s="92">
        <f t="shared" si="6"/>
        <v>10082.5</v>
      </c>
      <c r="AD61" s="133">
        <f t="shared" si="24"/>
        <v>-49958.333333333358</v>
      </c>
      <c r="AE61" s="3">
        <f t="shared" si="8"/>
        <v>1</v>
      </c>
    </row>
    <row r="62" spans="9:31" x14ac:dyDescent="0.45">
      <c r="I62" s="20">
        <f t="shared" si="10"/>
        <v>56</v>
      </c>
      <c r="J62" s="63">
        <f t="shared" si="11"/>
        <v>10736.757525847859</v>
      </c>
      <c r="K62" s="79">
        <f t="shared" si="25"/>
        <v>47.424573994800461</v>
      </c>
      <c r="L62" s="63">
        <f t="shared" si="12"/>
        <v>-2175.578364378724</v>
      </c>
      <c r="M62" s="80">
        <f t="shared" si="0"/>
        <v>8608.6037354639357</v>
      </c>
      <c r="O62" s="20">
        <f t="shared" si="13"/>
        <v>56</v>
      </c>
      <c r="P62" s="54">
        <f t="shared" si="14"/>
        <v>29127</v>
      </c>
      <c r="Q62" s="63">
        <f t="shared" si="15"/>
        <v>5654.6938954071984</v>
      </c>
      <c r="R62" s="77">
        <f t="shared" si="2"/>
        <v>-2175.578364378724</v>
      </c>
      <c r="S62" s="63">
        <f t="shared" si="16"/>
        <v>-908.33333333333337</v>
      </c>
      <c r="T62" s="63">
        <f>-T76*0.5</f>
        <v>0</v>
      </c>
      <c r="U62" s="63">
        <f t="shared" si="17"/>
        <v>-282.73469477035991</v>
      </c>
      <c r="V62" s="77">
        <f t="shared" si="20"/>
        <v>-17.258333333333336</v>
      </c>
      <c r="W62" s="83">
        <f t="shared" si="4"/>
        <v>2270.7891695914477</v>
      </c>
      <c r="X62" s="85">
        <f t="shared" si="18"/>
        <v>99594.005997121043</v>
      </c>
      <c r="Z62" s="92">
        <f t="shared" si="19"/>
        <v>8284</v>
      </c>
      <c r="AA62" s="5">
        <f t="shared" si="5"/>
        <v>0</v>
      </c>
      <c r="AB62" s="92">
        <f t="shared" si="6"/>
        <v>8284</v>
      </c>
      <c r="AD62" s="133">
        <f t="shared" si="24"/>
        <v>-50866.666666666693</v>
      </c>
      <c r="AE62" s="3">
        <f t="shared" si="8"/>
        <v>1</v>
      </c>
    </row>
    <row r="63" spans="9:31" x14ac:dyDescent="0.45">
      <c r="I63" s="20">
        <f t="shared" si="10"/>
        <v>57</v>
      </c>
      <c r="J63" s="63">
        <f t="shared" si="11"/>
        <v>8608.6037354639357</v>
      </c>
      <c r="K63" s="79">
        <f t="shared" si="25"/>
        <v>38.024456067073721</v>
      </c>
      <c r="L63" s="63">
        <f t="shared" si="12"/>
        <v>-2175.578364378724</v>
      </c>
      <c r="M63" s="80">
        <f t="shared" si="0"/>
        <v>6471.0498271522865</v>
      </c>
      <c r="O63" s="20">
        <f t="shared" si="13"/>
        <v>57</v>
      </c>
      <c r="P63" s="54">
        <f t="shared" si="14"/>
        <v>29647.125</v>
      </c>
      <c r="Q63" s="63">
        <f t="shared" si="15"/>
        <v>5654.6938954071984</v>
      </c>
      <c r="R63" s="77">
        <f t="shared" si="2"/>
        <v>-2175.578364378724</v>
      </c>
      <c r="S63" s="63">
        <f>+S61</f>
        <v>-908.33333333333337</v>
      </c>
      <c r="T63" s="63">
        <f>-T76*0.5</f>
        <v>0</v>
      </c>
      <c r="U63" s="63">
        <f>U61</f>
        <v>-282.73469477035991</v>
      </c>
      <c r="V63" s="77">
        <f t="shared" si="20"/>
        <v>-13.511458333333335</v>
      </c>
      <c r="W63" s="83">
        <f t="shared" si="4"/>
        <v>2274.5360445914475</v>
      </c>
      <c r="X63" s="85">
        <f>X61+W63</f>
        <v>99597.75287212104</v>
      </c>
      <c r="Z63" s="92">
        <f t="shared" si="19"/>
        <v>6485.5</v>
      </c>
      <c r="AA63" s="5">
        <f t="shared" si="5"/>
        <v>0</v>
      </c>
      <c r="AB63" s="92">
        <f t="shared" si="6"/>
        <v>6485.5</v>
      </c>
      <c r="AD63" s="133">
        <f>IF(AD61=0,0,IF(+S63+AD61&lt;-$S$68,0,+S63+AD61))</f>
        <v>-50866.666666666693</v>
      </c>
      <c r="AE63" s="3">
        <f t="shared" si="8"/>
        <v>1</v>
      </c>
    </row>
    <row r="64" spans="9:31" x14ac:dyDescent="0.45">
      <c r="I64" s="20">
        <f t="shared" si="10"/>
        <v>58</v>
      </c>
      <c r="J64" s="63">
        <f t="shared" si="11"/>
        <v>6471.0498271522865</v>
      </c>
      <c r="K64" s="79">
        <f t="shared" si="25"/>
        <v>28.582817541796924</v>
      </c>
      <c r="L64" s="63">
        <f t="shared" si="12"/>
        <v>-2175.578364378724</v>
      </c>
      <c r="M64" s="80">
        <f t="shared" si="0"/>
        <v>4324.0542803153603</v>
      </c>
      <c r="O64" s="20">
        <f t="shared" si="13"/>
        <v>58</v>
      </c>
      <c r="P64" s="54">
        <f t="shared" si="14"/>
        <v>30167.25</v>
      </c>
      <c r="Q64" s="63">
        <f t="shared" si="15"/>
        <v>5654.6938954071984</v>
      </c>
      <c r="R64" s="77">
        <f t="shared" si="2"/>
        <v>-2175.578364378724</v>
      </c>
      <c r="S64" s="63">
        <f>+S61</f>
        <v>-908.33333333333337</v>
      </c>
      <c r="T64" s="63">
        <f>-T76*0.5</f>
        <v>0</v>
      </c>
      <c r="U64" s="63">
        <f>U61</f>
        <v>-282.73469477035991</v>
      </c>
      <c r="V64" s="77">
        <f t="shared" si="20"/>
        <v>-9.7645833333333343</v>
      </c>
      <c r="W64" s="83">
        <f t="shared" si="4"/>
        <v>2278.2829195914478</v>
      </c>
      <c r="X64" s="85">
        <f>X61+W64</f>
        <v>99601.499747121052</v>
      </c>
      <c r="Z64" s="92">
        <f t="shared" si="19"/>
        <v>4687</v>
      </c>
      <c r="AA64" s="5">
        <f t="shared" si="5"/>
        <v>0</v>
      </c>
      <c r="AB64" s="92">
        <f t="shared" si="6"/>
        <v>4687</v>
      </c>
      <c r="AD64" s="133">
        <f>IF(AD61=0,0,IF(+S64+AD61&lt;-$S$68,0,+S64+AD61))</f>
        <v>-50866.666666666693</v>
      </c>
      <c r="AE64" s="3">
        <f t="shared" si="8"/>
        <v>1</v>
      </c>
    </row>
    <row r="65" spans="1:31" x14ac:dyDescent="0.45">
      <c r="I65" s="20">
        <f t="shared" si="10"/>
        <v>59</v>
      </c>
      <c r="J65" s="63">
        <f t="shared" si="11"/>
        <v>4324.0542803153603</v>
      </c>
      <c r="K65" s="79">
        <f t="shared" si="25"/>
        <v>19.09947502126866</v>
      </c>
      <c r="L65" s="63">
        <f t="shared" si="12"/>
        <v>-2175.578364378724</v>
      </c>
      <c r="M65" s="80">
        <f t="shared" si="0"/>
        <v>2167.5753909579048</v>
      </c>
      <c r="O65" s="20">
        <f t="shared" si="13"/>
        <v>59</v>
      </c>
      <c r="P65" s="54">
        <f t="shared" si="14"/>
        <v>30687.375</v>
      </c>
      <c r="Q65" s="63">
        <f t="shared" si="15"/>
        <v>5654.6938954071984</v>
      </c>
      <c r="R65" s="77">
        <f t="shared" si="2"/>
        <v>-2175.578364378724</v>
      </c>
      <c r="S65" s="63">
        <f>+S62</f>
        <v>-908.33333333333337</v>
      </c>
      <c r="T65" s="63">
        <f>-T77*0.5</f>
        <v>0</v>
      </c>
      <c r="U65" s="63">
        <f>U62</f>
        <v>-282.73469477035991</v>
      </c>
      <c r="V65" s="77">
        <f t="shared" si="20"/>
        <v>-6.0177083333333341</v>
      </c>
      <c r="W65" s="83">
        <f t="shared" si="4"/>
        <v>2282.0297945914476</v>
      </c>
      <c r="X65" s="85">
        <f>X62+W65</f>
        <v>101876.03579171249</v>
      </c>
      <c r="Z65" s="92">
        <f t="shared" si="19"/>
        <v>2888.5</v>
      </c>
      <c r="AA65" s="5">
        <f t="shared" si="5"/>
        <v>0</v>
      </c>
      <c r="AB65" s="92">
        <f t="shared" si="6"/>
        <v>2888.5</v>
      </c>
      <c r="AD65" s="133">
        <f>IF(AD62=0,0,IF(+S65+AD62&lt;-$S$68,0,+S65+AD62))</f>
        <v>-51775.000000000029</v>
      </c>
      <c r="AE65" s="3">
        <f t="shared" si="8"/>
        <v>1</v>
      </c>
    </row>
    <row r="66" spans="1:31" ht="14.65" thickBot="1" x14ac:dyDescent="0.5">
      <c r="I66" s="20">
        <f t="shared" si="10"/>
        <v>60</v>
      </c>
      <c r="J66" s="63">
        <f t="shared" si="11"/>
        <v>2167.5753909579048</v>
      </c>
      <c r="K66" s="79">
        <f t="shared" si="25"/>
        <v>9.5742442977144613</v>
      </c>
      <c r="L66" s="63">
        <f t="shared" si="12"/>
        <v>-2175.578364378724</v>
      </c>
      <c r="M66" s="80">
        <f t="shared" si="0"/>
        <v>1.5712708768951416</v>
      </c>
      <c r="O66" s="20">
        <f t="shared" si="13"/>
        <v>60</v>
      </c>
      <c r="P66" s="54">
        <f t="shared" si="14"/>
        <v>31207.5</v>
      </c>
      <c r="Q66" s="63">
        <f t="shared" si="15"/>
        <v>5654.6938954071984</v>
      </c>
      <c r="R66" s="77">
        <f t="shared" si="2"/>
        <v>-2175.578364378724</v>
      </c>
      <c r="S66" s="63">
        <f>+S62</f>
        <v>-908.33333333333337</v>
      </c>
      <c r="T66" s="63">
        <f>-T77*0.5</f>
        <v>0</v>
      </c>
      <c r="U66" s="63">
        <f>U62</f>
        <v>-282.73469477035991</v>
      </c>
      <c r="V66" s="77">
        <f t="shared" si="20"/>
        <v>-2.2708333333333335</v>
      </c>
      <c r="W66" s="83">
        <f t="shared" si="4"/>
        <v>2285.7766695914474</v>
      </c>
      <c r="X66" s="85">
        <f>X62+W66</f>
        <v>101879.78266671249</v>
      </c>
      <c r="Z66" s="92">
        <f t="shared" si="19"/>
        <v>1090</v>
      </c>
      <c r="AA66" s="5">
        <f t="shared" si="5"/>
        <v>0</v>
      </c>
      <c r="AB66" s="92">
        <f t="shared" si="6"/>
        <v>1090</v>
      </c>
      <c r="AD66" s="133">
        <f>IF(AD62=0,0,IF(+S66+AD62&lt;-$S$68,0,+S66+AD62))</f>
        <v>-51775.000000000029</v>
      </c>
      <c r="AE66" s="3">
        <f t="shared" si="8"/>
        <v>1</v>
      </c>
    </row>
    <row r="67" spans="1:31" ht="14.65" thickBot="1" x14ac:dyDescent="0.5">
      <c r="I67" s="21" t="s">
        <v>20</v>
      </c>
      <c r="J67" s="69">
        <f>C7*C11</f>
        <v>1144.5</v>
      </c>
      <c r="K67" s="69">
        <f>SUM(K7:K54)</f>
        <v>15351.841834389263</v>
      </c>
      <c r="L67" s="81"/>
      <c r="M67" s="82"/>
      <c r="O67" s="58"/>
      <c r="P67" s="59"/>
      <c r="Q67" s="69">
        <f t="shared" ref="Q67:V67" si="26">SUM(Q7:Q54)</f>
        <v>271425.30697954545</v>
      </c>
      <c r="R67" s="69">
        <f t="shared" si="26"/>
        <v>-104427.76149017882</v>
      </c>
      <c r="S67" s="87">
        <f t="shared" si="26"/>
        <v>-43600.000000000007</v>
      </c>
      <c r="T67" s="87">
        <f t="shared" si="26"/>
        <v>-21800</v>
      </c>
      <c r="U67" s="69">
        <f t="shared" si="26"/>
        <v>-13571.26534897726</v>
      </c>
      <c r="V67" s="69">
        <f t="shared" si="26"/>
        <v>-6493.675000000002</v>
      </c>
      <c r="W67" s="88"/>
      <c r="X67" s="82"/>
    </row>
    <row r="68" spans="1:31" x14ac:dyDescent="0.45">
      <c r="Q68" s="89">
        <f>+SUM(Q67:V67)</f>
        <v>81532.605140389365</v>
      </c>
      <c r="R68" s="89"/>
      <c r="S68" s="90">
        <f>D31</f>
        <v>54500</v>
      </c>
      <c r="T68" s="60">
        <f>D32</f>
        <v>21800</v>
      </c>
      <c r="U68" s="89"/>
      <c r="V68" s="89"/>
      <c r="W68" s="89"/>
      <c r="X68" s="89"/>
    </row>
    <row r="69" spans="1:31" ht="14.65" thickBot="1" x14ac:dyDescent="0.5">
      <c r="L69" s="129">
        <f>+PMT(C8/12,C12,(C7),,)</f>
        <v>-2175.578364378724</v>
      </c>
      <c r="Q69" s="89"/>
      <c r="R69" s="89"/>
      <c r="S69" s="91">
        <f>S67+S68</f>
        <v>10899.999999999993</v>
      </c>
      <c r="T69" s="66">
        <f>T67+T68</f>
        <v>0</v>
      </c>
      <c r="U69" s="89"/>
      <c r="V69" s="89"/>
      <c r="W69" s="89"/>
      <c r="X69" s="89"/>
    </row>
    <row r="70" spans="1:31" ht="14.65" thickBot="1" x14ac:dyDescent="0.5">
      <c r="I70" s="12"/>
      <c r="J70" s="316"/>
      <c r="K70" s="316"/>
      <c r="L70" s="316"/>
      <c r="M70" s="316"/>
      <c r="O70" s="12"/>
      <c r="P70" s="12"/>
      <c r="Q70" s="316"/>
      <c r="R70" s="316"/>
      <c r="S70" s="317"/>
      <c r="T70" s="318"/>
      <c r="U70" s="316"/>
      <c r="V70" s="316"/>
      <c r="W70" s="316"/>
      <c r="X70" s="316"/>
    </row>
    <row r="71" spans="1:31" ht="14.65" thickBot="1" x14ac:dyDescent="0.5">
      <c r="I71" s="12"/>
      <c r="J71" s="316"/>
      <c r="K71" s="316"/>
      <c r="L71" s="316"/>
      <c r="M71" s="316"/>
      <c r="O71" s="12"/>
      <c r="P71" s="12"/>
      <c r="Q71" s="316"/>
      <c r="R71" s="316"/>
      <c r="S71" s="317"/>
      <c r="T71" s="318"/>
      <c r="U71" s="316"/>
      <c r="V71" s="316"/>
      <c r="W71" s="316"/>
      <c r="X71" s="316"/>
    </row>
    <row r="72" spans="1:31" x14ac:dyDescent="0.45">
      <c r="Q72" s="89"/>
      <c r="R72" s="89"/>
      <c r="S72" s="90">
        <f>D31</f>
        <v>54500</v>
      </c>
      <c r="T72" s="60">
        <f>D32</f>
        <v>21800</v>
      </c>
      <c r="U72" s="89"/>
      <c r="V72" s="89"/>
      <c r="W72" s="89"/>
      <c r="X72" s="89"/>
    </row>
    <row r="73" spans="1:31" ht="14.65" thickBot="1" x14ac:dyDescent="0.5">
      <c r="L73" s="129"/>
      <c r="Q73" s="89"/>
      <c r="R73" s="89"/>
      <c r="S73" s="91">
        <f>S55+S72</f>
        <v>53591.666666666664</v>
      </c>
      <c r="T73" s="66">
        <f>T55+T72</f>
        <v>21800</v>
      </c>
      <c r="U73" s="89"/>
      <c r="V73" s="89"/>
      <c r="W73" s="89"/>
      <c r="X73" s="89"/>
    </row>
    <row r="74" spans="1:31" s="131" customFormat="1" ht="14.65" thickBot="1" x14ac:dyDescent="0.5"/>
    <row r="75" spans="1:31" ht="31.15" thickBot="1" x14ac:dyDescent="0.5">
      <c r="A75" s="679" t="str">
        <f>+A3</f>
        <v>Ore Truck 50t</v>
      </c>
      <c r="B75" s="680"/>
      <c r="C75" s="681"/>
      <c r="D75" s="682" t="s">
        <v>2</v>
      </c>
      <c r="E75" s="694"/>
      <c r="F75" s="694"/>
      <c r="G75" s="694"/>
      <c r="H75" s="683"/>
      <c r="I75" s="683"/>
      <c r="J75" s="683"/>
      <c r="K75" s="683"/>
      <c r="L75" s="683"/>
      <c r="M75" s="683"/>
      <c r="N75" s="683"/>
      <c r="O75" s="683"/>
      <c r="P75" s="683"/>
      <c r="Q75" s="683"/>
      <c r="R75" s="683"/>
      <c r="S75" s="683"/>
      <c r="T75" s="683"/>
      <c r="U75" s="683"/>
      <c r="V75" s="683"/>
      <c r="W75" s="683"/>
      <c r="X75" s="684"/>
    </row>
    <row r="76" spans="1:31" ht="28.9" thickBot="1" x14ac:dyDescent="0.5">
      <c r="C76" s="11"/>
      <c r="D76" s="11"/>
      <c r="E76" s="164" t="s">
        <v>77</v>
      </c>
      <c r="F76" s="164" t="s">
        <v>78</v>
      </c>
      <c r="G76" s="164" t="s">
        <v>79</v>
      </c>
      <c r="H76" s="11"/>
      <c r="I76" s="12"/>
      <c r="J76" s="11"/>
      <c r="K76" s="11"/>
      <c r="L76" s="11"/>
      <c r="M76" s="11"/>
      <c r="Q76" s="56">
        <v>416</v>
      </c>
      <c r="U76" s="57">
        <v>0.05</v>
      </c>
    </row>
    <row r="77" spans="1:31" ht="23.65" thickBot="1" x14ac:dyDescent="0.5">
      <c r="A77" s="685" t="s">
        <v>9</v>
      </c>
      <c r="B77" s="686"/>
      <c r="C77" s="687"/>
      <c r="D77" s="11"/>
      <c r="E77" s="165" t="e">
        <v>#REF!</v>
      </c>
      <c r="F77" s="165" t="e">
        <v>#REF!</v>
      </c>
      <c r="G77" s="165" t="e">
        <v>#REF!</v>
      </c>
      <c r="H77" s="11"/>
      <c r="I77" s="688" t="s">
        <v>34</v>
      </c>
      <c r="J77" s="689"/>
      <c r="K77" s="689"/>
      <c r="L77" s="689"/>
      <c r="M77" s="690"/>
      <c r="O77" s="688" t="s">
        <v>35</v>
      </c>
      <c r="P77" s="691"/>
      <c r="Q77" s="689"/>
      <c r="R77" s="689"/>
      <c r="S77" s="689"/>
      <c r="T77" s="689"/>
      <c r="U77" s="689"/>
      <c r="V77" s="689"/>
      <c r="W77" s="692"/>
      <c r="X77" s="693"/>
      <c r="AA77" s="145">
        <v>0</v>
      </c>
    </row>
    <row r="78" spans="1:31" ht="28.9" thickBot="1" x14ac:dyDescent="0.5">
      <c r="A78" s="29" t="s">
        <v>0</v>
      </c>
      <c r="B78" s="28" t="s">
        <v>1</v>
      </c>
      <c r="C78" s="50" t="s">
        <v>10</v>
      </c>
      <c r="D78" s="11"/>
      <c r="E78" s="11"/>
      <c r="F78" s="11"/>
      <c r="G78" s="11"/>
      <c r="H78" s="11"/>
      <c r="I78" s="16" t="s">
        <v>15</v>
      </c>
      <c r="J78" s="17" t="s">
        <v>16</v>
      </c>
      <c r="K78" s="17" t="s">
        <v>17</v>
      </c>
      <c r="L78" s="17" t="s">
        <v>18</v>
      </c>
      <c r="M78" s="18" t="s">
        <v>19</v>
      </c>
      <c r="O78" s="16" t="s">
        <v>15</v>
      </c>
      <c r="P78" s="52" t="s">
        <v>39</v>
      </c>
      <c r="Q78" s="17" t="s">
        <v>36</v>
      </c>
      <c r="R78" s="17" t="s">
        <v>37</v>
      </c>
      <c r="S78" s="17" t="s">
        <v>27</v>
      </c>
      <c r="T78" s="17" t="s">
        <v>38</v>
      </c>
      <c r="U78" s="17" t="s">
        <v>7</v>
      </c>
      <c r="V78" s="17" t="s">
        <v>41</v>
      </c>
      <c r="W78" s="18" t="s">
        <v>40</v>
      </c>
      <c r="X78" s="55" t="s">
        <v>42</v>
      </c>
      <c r="Z78" s="5" t="s">
        <v>71</v>
      </c>
      <c r="AA78" s="5" t="s">
        <v>46</v>
      </c>
      <c r="AB78" s="5" t="s">
        <v>47</v>
      </c>
    </row>
    <row r="79" spans="1:31" x14ac:dyDescent="0.45">
      <c r="A79" s="8">
        <v>1</v>
      </c>
      <c r="B79" s="9" t="s">
        <v>11</v>
      </c>
      <c r="C79" s="61" t="e">
        <v>#REF!</v>
      </c>
      <c r="D79" s="163"/>
      <c r="E79" s="8" t="s">
        <v>61</v>
      </c>
      <c r="F79" s="148" t="e">
        <v>#REF!</v>
      </c>
      <c r="G79" s="106"/>
      <c r="H79" s="11"/>
      <c r="I79" s="15">
        <v>1</v>
      </c>
      <c r="J79" s="77" t="e">
        <f>C79</f>
        <v>#REF!</v>
      </c>
      <c r="K79" s="77" t="e">
        <f>J79*$C$8*30.44/365.25</f>
        <v>#REF!</v>
      </c>
      <c r="L79" s="77" t="e">
        <f>L126</f>
        <v>#REF!</v>
      </c>
      <c r="M79" s="78" t="e">
        <f t="shared" ref="M79:M126" si="27">J79+K79+L79</f>
        <v>#REF!</v>
      </c>
      <c r="O79" s="15">
        <v>1</v>
      </c>
      <c r="P79" s="53">
        <f>Q76</f>
        <v>416</v>
      </c>
      <c r="Q79" s="77">
        <f>$F$42+($Q$4*$G$42)</f>
        <v>5654.6938954071984</v>
      </c>
      <c r="R79" s="77" t="e">
        <f>L79</f>
        <v>#REF!</v>
      </c>
      <c r="S79" s="77" t="e">
        <f>-S128/C84</f>
        <v>#REF!</v>
      </c>
      <c r="T79" s="77"/>
      <c r="U79" s="77">
        <f>-Q79*U76</f>
        <v>-282.73469477035991</v>
      </c>
      <c r="V79" s="77">
        <f>-(AB79*$C$9/12)</f>
        <v>-223.33645833333335</v>
      </c>
      <c r="W79" s="83" t="e">
        <f>SUM(Q79:V79)</f>
        <v>#REF!</v>
      </c>
      <c r="X79" s="84" t="e">
        <f>W79</f>
        <v>#REF!</v>
      </c>
      <c r="Z79" s="92">
        <f>+$D$27-(($D$27+$D$28)*O79/$B$22)</f>
        <v>107201.5</v>
      </c>
      <c r="AA79" s="5">
        <f>+Z79*$AA$5</f>
        <v>0</v>
      </c>
      <c r="AB79" s="92">
        <f>+Z79+AA79</f>
        <v>107201.5</v>
      </c>
    </row>
    <row r="80" spans="1:31" ht="28.5" x14ac:dyDescent="0.45">
      <c r="A80" s="4">
        <f>A79+1</f>
        <v>2</v>
      </c>
      <c r="B80" s="5" t="s">
        <v>3</v>
      </c>
      <c r="C80" s="51">
        <f t="shared" ref="C80:C86" si="28">+C8</f>
        <v>5.2999999999999999E-2</v>
      </c>
      <c r="D80" s="11"/>
      <c r="E80" s="107" t="s">
        <v>64</v>
      </c>
      <c r="F80" s="314" t="e">
        <v>#REF!</v>
      </c>
      <c r="G80" s="108"/>
      <c r="H80" s="11"/>
      <c r="I80" s="14">
        <f>I79+1</f>
        <v>2</v>
      </c>
      <c r="J80" s="63" t="e">
        <f>M79</f>
        <v>#REF!</v>
      </c>
      <c r="K80" s="63" t="e">
        <f t="shared" ref="K80:K126" si="29">J80*$C$8*30.44/365.25</f>
        <v>#REF!</v>
      </c>
      <c r="L80" s="63" t="e">
        <f>L79</f>
        <v>#REF!</v>
      </c>
      <c r="M80" s="65" t="e">
        <f t="shared" si="27"/>
        <v>#REF!</v>
      </c>
      <c r="O80" s="14">
        <f>O79+1</f>
        <v>2</v>
      </c>
      <c r="P80" s="54">
        <f>P79+$Q$4</f>
        <v>936.125</v>
      </c>
      <c r="Q80" s="63">
        <f>$F$42+($Q$4*$G$42)</f>
        <v>5654.6938954071984</v>
      </c>
      <c r="R80" s="63" t="e">
        <f>R79</f>
        <v>#REF!</v>
      </c>
      <c r="S80" s="63" t="e">
        <f>+S79</f>
        <v>#REF!</v>
      </c>
      <c r="T80" s="63"/>
      <c r="U80" s="63">
        <f>U79</f>
        <v>-282.73469477035991</v>
      </c>
      <c r="V80" s="77">
        <f t="shared" ref="V80:V86" si="30">-(AB80*$C$9/12)</f>
        <v>-219.58958333333337</v>
      </c>
      <c r="W80" s="83" t="e">
        <f t="shared" ref="W80:W126" si="31">SUM(Q80:V80)</f>
        <v>#REF!</v>
      </c>
      <c r="X80" s="85" t="e">
        <f>X79+W80</f>
        <v>#REF!</v>
      </c>
      <c r="Z80" s="92">
        <f>+$D$27-(($D$27+$D$28)*O80/$B$22)</f>
        <v>105403</v>
      </c>
      <c r="AA80" s="5">
        <f t="shared" ref="AA80:AA126" si="32">+Z80*$AA$5</f>
        <v>0</v>
      </c>
      <c r="AB80" s="92">
        <f t="shared" ref="AB80:AB126" si="33">+Z80+AA80</f>
        <v>105403</v>
      </c>
    </row>
    <row r="81" spans="1:28" x14ac:dyDescent="0.45">
      <c r="A81" s="4">
        <f t="shared" ref="A81:A86" si="34">A80+1</f>
        <v>3</v>
      </c>
      <c r="B81" s="5" t="s">
        <v>4</v>
      </c>
      <c r="C81" s="51">
        <f t="shared" si="28"/>
        <v>2.5000000000000001E-2</v>
      </c>
      <c r="D81" s="11"/>
      <c r="E81" s="109" t="s">
        <v>69</v>
      </c>
      <c r="F81" s="149">
        <f>+F9</f>
        <v>5450</v>
      </c>
      <c r="G81" s="110"/>
      <c r="H81" s="11"/>
      <c r="I81" s="14">
        <f t="shared" ref="I81:I126" si="35">I80+1</f>
        <v>3</v>
      </c>
      <c r="J81" s="63" t="e">
        <f t="shared" ref="J81:J95" si="36">M80</f>
        <v>#REF!</v>
      </c>
      <c r="K81" s="63" t="e">
        <f t="shared" si="29"/>
        <v>#REF!</v>
      </c>
      <c r="L81" s="63" t="e">
        <f t="shared" ref="L81:L113" si="37">L80</f>
        <v>#REF!</v>
      </c>
      <c r="M81" s="65" t="e">
        <f t="shared" si="27"/>
        <v>#REF!</v>
      </c>
      <c r="O81" s="14">
        <f t="shared" ref="O81:O126" si="38">O80+1</f>
        <v>3</v>
      </c>
      <c r="P81" s="54">
        <f t="shared" ref="P81:P126" si="39">P80+$Q$4</f>
        <v>1456.25</v>
      </c>
      <c r="Q81" s="63">
        <f t="shared" ref="Q81:Q126" si="40">$F$42+($Q$4*$G$42)</f>
        <v>5654.6938954071984</v>
      </c>
      <c r="R81" s="63" t="e">
        <f>R80</f>
        <v>#REF!</v>
      </c>
      <c r="S81" s="63" t="e">
        <f t="shared" ref="S81:S126" si="41">+S80</f>
        <v>#REF!</v>
      </c>
      <c r="T81" s="63"/>
      <c r="U81" s="63">
        <f t="shared" ref="U81:U126" si="42">U80</f>
        <v>-282.73469477035991</v>
      </c>
      <c r="V81" s="77">
        <f t="shared" si="30"/>
        <v>-215.84270833333335</v>
      </c>
      <c r="W81" s="83" t="e">
        <f t="shared" si="31"/>
        <v>#REF!</v>
      </c>
      <c r="X81" s="85" t="e">
        <f t="shared" ref="X81:X126" si="43">X80+W81</f>
        <v>#REF!</v>
      </c>
      <c r="Z81" s="92">
        <f t="shared" ref="Z81:Z126" si="44">+$D$27-(($D$27+$D$28)*O81/$B$22)</f>
        <v>103604.5</v>
      </c>
      <c r="AA81" s="5">
        <f t="shared" si="32"/>
        <v>0</v>
      </c>
      <c r="AB81" s="92">
        <f t="shared" si="33"/>
        <v>103604.5</v>
      </c>
    </row>
    <row r="82" spans="1:28" ht="14.65" thickBot="1" x14ac:dyDescent="0.5">
      <c r="A82" s="4">
        <f t="shared" si="34"/>
        <v>4</v>
      </c>
      <c r="B82" s="5" t="s">
        <v>5</v>
      </c>
      <c r="C82" s="51">
        <f t="shared" si="28"/>
        <v>0.05</v>
      </c>
      <c r="D82" s="11"/>
      <c r="E82" s="111" t="s">
        <v>52</v>
      </c>
      <c r="F82" s="315" t="e">
        <f>(SUM(F79:F81)*G82)*(1-F77)</f>
        <v>#REF!</v>
      </c>
      <c r="G82" s="128">
        <f>+G10</f>
        <v>0</v>
      </c>
      <c r="H82" s="11"/>
      <c r="I82" s="14">
        <f t="shared" si="35"/>
        <v>4</v>
      </c>
      <c r="J82" s="63" t="e">
        <f t="shared" si="36"/>
        <v>#REF!</v>
      </c>
      <c r="K82" s="63" t="e">
        <f t="shared" si="29"/>
        <v>#REF!</v>
      </c>
      <c r="L82" s="63" t="e">
        <f t="shared" si="37"/>
        <v>#REF!</v>
      </c>
      <c r="M82" s="65" t="e">
        <f t="shared" si="27"/>
        <v>#REF!</v>
      </c>
      <c r="O82" s="14">
        <f t="shared" si="38"/>
        <v>4</v>
      </c>
      <c r="P82" s="54">
        <f t="shared" si="39"/>
        <v>1976.375</v>
      </c>
      <c r="Q82" s="63">
        <f t="shared" si="40"/>
        <v>5654.6938954071984</v>
      </c>
      <c r="R82" s="63" t="e">
        <f t="shared" ref="R82:R126" si="45">R81</f>
        <v>#REF!</v>
      </c>
      <c r="S82" s="63" t="e">
        <f t="shared" si="41"/>
        <v>#REF!</v>
      </c>
      <c r="T82" s="63"/>
      <c r="U82" s="63">
        <f t="shared" si="42"/>
        <v>-282.73469477035991</v>
      </c>
      <c r="V82" s="77">
        <f t="shared" si="30"/>
        <v>-212.09583333333333</v>
      </c>
      <c r="W82" s="83" t="e">
        <f t="shared" si="31"/>
        <v>#REF!</v>
      </c>
      <c r="X82" s="85" t="e">
        <f t="shared" si="43"/>
        <v>#REF!</v>
      </c>
      <c r="Z82" s="92">
        <f t="shared" si="44"/>
        <v>101806</v>
      </c>
      <c r="AA82" s="5">
        <f t="shared" si="32"/>
        <v>0</v>
      </c>
      <c r="AB82" s="92">
        <f t="shared" si="33"/>
        <v>101806</v>
      </c>
    </row>
    <row r="83" spans="1:28" ht="14.65" thickBot="1" x14ac:dyDescent="0.5">
      <c r="A83" s="4">
        <f t="shared" si="34"/>
        <v>5</v>
      </c>
      <c r="B83" s="5" t="s">
        <v>12</v>
      </c>
      <c r="C83" s="51">
        <f t="shared" si="28"/>
        <v>0.01</v>
      </c>
      <c r="D83" s="11"/>
      <c r="E83" s="112" t="s">
        <v>28</v>
      </c>
      <c r="F83" s="313" t="e">
        <f>SUM(F79:F82)</f>
        <v>#REF!</v>
      </c>
      <c r="G83" s="113"/>
      <c r="H83" s="11"/>
      <c r="I83" s="14">
        <f t="shared" si="35"/>
        <v>5</v>
      </c>
      <c r="J83" s="63" t="e">
        <f t="shared" si="36"/>
        <v>#REF!</v>
      </c>
      <c r="K83" s="63" t="e">
        <f t="shared" si="29"/>
        <v>#REF!</v>
      </c>
      <c r="L83" s="63" t="e">
        <f t="shared" si="37"/>
        <v>#REF!</v>
      </c>
      <c r="M83" s="65" t="e">
        <f t="shared" si="27"/>
        <v>#REF!</v>
      </c>
      <c r="O83" s="14">
        <f t="shared" si="38"/>
        <v>5</v>
      </c>
      <c r="P83" s="54">
        <f t="shared" si="39"/>
        <v>2496.5</v>
      </c>
      <c r="Q83" s="63">
        <f t="shared" si="40"/>
        <v>5654.6938954071984</v>
      </c>
      <c r="R83" s="63" t="e">
        <f t="shared" si="45"/>
        <v>#REF!</v>
      </c>
      <c r="S83" s="63" t="e">
        <f t="shared" si="41"/>
        <v>#REF!</v>
      </c>
      <c r="T83" s="63"/>
      <c r="U83" s="63">
        <f t="shared" si="42"/>
        <v>-282.73469477035991</v>
      </c>
      <c r="V83" s="77">
        <f t="shared" si="30"/>
        <v>-208.34895833333334</v>
      </c>
      <c r="W83" s="83" t="e">
        <f t="shared" si="31"/>
        <v>#REF!</v>
      </c>
      <c r="X83" s="85" t="e">
        <f t="shared" si="43"/>
        <v>#REF!</v>
      </c>
      <c r="Z83" s="92">
        <f t="shared" si="44"/>
        <v>100007.5</v>
      </c>
      <c r="AA83" s="5">
        <f t="shared" si="32"/>
        <v>0</v>
      </c>
      <c r="AB83" s="92">
        <f t="shared" si="33"/>
        <v>100007.5</v>
      </c>
    </row>
    <row r="84" spans="1:28" x14ac:dyDescent="0.45">
      <c r="A84" s="4">
        <f t="shared" si="34"/>
        <v>6</v>
      </c>
      <c r="B84" s="5" t="s">
        <v>13</v>
      </c>
      <c r="C84" s="166">
        <f t="shared" si="28"/>
        <v>60</v>
      </c>
      <c r="D84" s="11"/>
      <c r="E84" s="11"/>
      <c r="F84" s="11"/>
      <c r="G84" s="11"/>
      <c r="H84" s="11"/>
      <c r="I84" s="14">
        <f t="shared" si="35"/>
        <v>6</v>
      </c>
      <c r="J84" s="63" t="e">
        <f t="shared" si="36"/>
        <v>#REF!</v>
      </c>
      <c r="K84" s="63" t="e">
        <f t="shared" si="29"/>
        <v>#REF!</v>
      </c>
      <c r="L84" s="63" t="e">
        <f t="shared" si="37"/>
        <v>#REF!</v>
      </c>
      <c r="M84" s="65" t="e">
        <f t="shared" si="27"/>
        <v>#REF!</v>
      </c>
      <c r="O84" s="14">
        <f t="shared" si="38"/>
        <v>6</v>
      </c>
      <c r="P84" s="54">
        <f t="shared" si="39"/>
        <v>3016.625</v>
      </c>
      <c r="Q84" s="63">
        <f t="shared" si="40"/>
        <v>5654.6938954071984</v>
      </c>
      <c r="R84" s="63" t="e">
        <f t="shared" si="45"/>
        <v>#REF!</v>
      </c>
      <c r="S84" s="63" t="e">
        <f t="shared" si="41"/>
        <v>#REF!</v>
      </c>
      <c r="T84" s="63"/>
      <c r="U84" s="63">
        <f t="shared" si="42"/>
        <v>-282.73469477035991</v>
      </c>
      <c r="V84" s="77">
        <f t="shared" si="30"/>
        <v>-204.60208333333333</v>
      </c>
      <c r="W84" s="83" t="e">
        <f t="shared" si="31"/>
        <v>#REF!</v>
      </c>
      <c r="X84" s="85" t="e">
        <f t="shared" si="43"/>
        <v>#REF!</v>
      </c>
      <c r="Z84" s="92">
        <f t="shared" si="44"/>
        <v>98209</v>
      </c>
      <c r="AA84" s="5">
        <f t="shared" si="32"/>
        <v>0</v>
      </c>
      <c r="AB84" s="92">
        <f t="shared" si="33"/>
        <v>98209</v>
      </c>
    </row>
    <row r="85" spans="1:28" x14ac:dyDescent="0.45">
      <c r="A85" s="4">
        <f t="shared" si="34"/>
        <v>7</v>
      </c>
      <c r="B85" s="5" t="s">
        <v>14</v>
      </c>
      <c r="C85" s="166">
        <f t="shared" si="28"/>
        <v>18000</v>
      </c>
      <c r="D85" s="11"/>
      <c r="E85" s="11"/>
      <c r="F85" s="11"/>
      <c r="G85" s="11"/>
      <c r="H85" s="11"/>
      <c r="I85" s="14">
        <f t="shared" si="35"/>
        <v>7</v>
      </c>
      <c r="J85" s="63" t="e">
        <f t="shared" si="36"/>
        <v>#REF!</v>
      </c>
      <c r="K85" s="63" t="e">
        <f t="shared" si="29"/>
        <v>#REF!</v>
      </c>
      <c r="L85" s="63" t="e">
        <f t="shared" si="37"/>
        <v>#REF!</v>
      </c>
      <c r="M85" s="65" t="e">
        <f t="shared" si="27"/>
        <v>#REF!</v>
      </c>
      <c r="O85" s="14">
        <f t="shared" si="38"/>
        <v>7</v>
      </c>
      <c r="P85" s="54">
        <f t="shared" si="39"/>
        <v>3536.75</v>
      </c>
      <c r="Q85" s="63">
        <f t="shared" si="40"/>
        <v>5654.6938954071984</v>
      </c>
      <c r="R85" s="63" t="e">
        <f t="shared" si="45"/>
        <v>#REF!</v>
      </c>
      <c r="S85" s="63" t="e">
        <f t="shared" si="41"/>
        <v>#REF!</v>
      </c>
      <c r="T85" s="63"/>
      <c r="U85" s="63">
        <f t="shared" si="42"/>
        <v>-282.73469477035991</v>
      </c>
      <c r="V85" s="77">
        <f t="shared" si="30"/>
        <v>-200.85520833333337</v>
      </c>
      <c r="W85" s="83" t="e">
        <f t="shared" si="31"/>
        <v>#REF!</v>
      </c>
      <c r="X85" s="85" t="e">
        <f t="shared" si="43"/>
        <v>#REF!</v>
      </c>
      <c r="Z85" s="92">
        <f t="shared" si="44"/>
        <v>96410.5</v>
      </c>
      <c r="AA85" s="5">
        <f t="shared" si="32"/>
        <v>0</v>
      </c>
      <c r="AB85" s="92">
        <f t="shared" si="33"/>
        <v>96410.5</v>
      </c>
    </row>
    <row r="86" spans="1:28" ht="14.65" thickBot="1" x14ac:dyDescent="0.5">
      <c r="A86" s="6">
        <f t="shared" si="34"/>
        <v>8</v>
      </c>
      <c r="B86" s="7" t="s">
        <v>33</v>
      </c>
      <c r="C86" s="51">
        <f t="shared" si="28"/>
        <v>0.9</v>
      </c>
      <c r="D86" s="11"/>
      <c r="E86" s="11"/>
      <c r="F86" s="11"/>
      <c r="G86" s="11"/>
      <c r="H86" s="11"/>
      <c r="I86" s="14">
        <f t="shared" si="35"/>
        <v>8</v>
      </c>
      <c r="J86" s="63" t="e">
        <f t="shared" si="36"/>
        <v>#REF!</v>
      </c>
      <c r="K86" s="63" t="e">
        <f t="shared" si="29"/>
        <v>#REF!</v>
      </c>
      <c r="L86" s="63" t="e">
        <f t="shared" si="37"/>
        <v>#REF!</v>
      </c>
      <c r="M86" s="65" t="e">
        <f t="shared" si="27"/>
        <v>#REF!</v>
      </c>
      <c r="O86" s="14">
        <f t="shared" si="38"/>
        <v>8</v>
      </c>
      <c r="P86" s="54">
        <f t="shared" si="39"/>
        <v>4056.875</v>
      </c>
      <c r="Q86" s="63">
        <f t="shared" si="40"/>
        <v>5654.6938954071984</v>
      </c>
      <c r="R86" s="63" t="e">
        <f t="shared" si="45"/>
        <v>#REF!</v>
      </c>
      <c r="S86" s="63" t="e">
        <f t="shared" si="41"/>
        <v>#REF!</v>
      </c>
      <c r="T86" s="63"/>
      <c r="U86" s="63">
        <f t="shared" si="42"/>
        <v>-282.73469477035991</v>
      </c>
      <c r="V86" s="77">
        <f t="shared" si="30"/>
        <v>-197.10833333333335</v>
      </c>
      <c r="W86" s="83" t="e">
        <f t="shared" si="31"/>
        <v>#REF!</v>
      </c>
      <c r="X86" s="85" t="e">
        <f t="shared" si="43"/>
        <v>#REF!</v>
      </c>
      <c r="Z86" s="92">
        <f t="shared" si="44"/>
        <v>94612</v>
      </c>
      <c r="AA86" s="5">
        <f t="shared" si="32"/>
        <v>0</v>
      </c>
      <c r="AB86" s="92">
        <f t="shared" si="33"/>
        <v>94612</v>
      </c>
    </row>
    <row r="87" spans="1:28" ht="14.65" thickBot="1" x14ac:dyDescent="0.5">
      <c r="C87" s="11"/>
      <c r="D87" s="11"/>
      <c r="E87" s="11"/>
      <c r="F87" s="11"/>
      <c r="G87" s="11"/>
      <c r="H87" s="11"/>
      <c r="I87" s="14">
        <f t="shared" si="35"/>
        <v>9</v>
      </c>
      <c r="J87" s="63" t="e">
        <f t="shared" si="36"/>
        <v>#REF!</v>
      </c>
      <c r="K87" s="63" t="e">
        <f t="shared" si="29"/>
        <v>#REF!</v>
      </c>
      <c r="L87" s="63" t="e">
        <f t="shared" si="37"/>
        <v>#REF!</v>
      </c>
      <c r="M87" s="65" t="e">
        <f t="shared" si="27"/>
        <v>#REF!</v>
      </c>
      <c r="O87" s="14">
        <f t="shared" si="38"/>
        <v>9</v>
      </c>
      <c r="P87" s="54">
        <f t="shared" si="39"/>
        <v>4577</v>
      </c>
      <c r="Q87" s="63">
        <f t="shared" si="40"/>
        <v>5654.6938954071984</v>
      </c>
      <c r="R87" s="63" t="e">
        <f t="shared" si="45"/>
        <v>#REF!</v>
      </c>
      <c r="S87" s="63" t="e">
        <f t="shared" si="41"/>
        <v>#REF!</v>
      </c>
      <c r="T87" s="63"/>
      <c r="U87" s="63">
        <f t="shared" si="42"/>
        <v>-282.73469477035991</v>
      </c>
      <c r="V87" s="77">
        <f>-(AB87*$C$9/12)</f>
        <v>-193.36145833333333</v>
      </c>
      <c r="W87" s="83" t="e">
        <f t="shared" si="31"/>
        <v>#REF!</v>
      </c>
      <c r="X87" s="85" t="e">
        <f t="shared" si="43"/>
        <v>#REF!</v>
      </c>
      <c r="Z87" s="92">
        <f t="shared" si="44"/>
        <v>92813.5</v>
      </c>
      <c r="AA87" s="5">
        <f t="shared" si="32"/>
        <v>0</v>
      </c>
      <c r="AB87" s="92">
        <f t="shared" si="33"/>
        <v>92813.5</v>
      </c>
    </row>
    <row r="88" spans="1:28" ht="16.149999999999999" thickBot="1" x14ac:dyDescent="0.5">
      <c r="A88" s="661" t="s">
        <v>43</v>
      </c>
      <c r="B88" s="662"/>
      <c r="C88" s="662"/>
      <c r="D88" s="662"/>
      <c r="E88" s="663"/>
      <c r="F88" s="1"/>
      <c r="G88" s="1"/>
      <c r="H88" s="117"/>
      <c r="I88" s="14">
        <f t="shared" si="35"/>
        <v>10</v>
      </c>
      <c r="J88" s="63" t="e">
        <f t="shared" si="36"/>
        <v>#REF!</v>
      </c>
      <c r="K88" s="63" t="e">
        <f t="shared" si="29"/>
        <v>#REF!</v>
      </c>
      <c r="L88" s="63" t="e">
        <f t="shared" si="37"/>
        <v>#REF!</v>
      </c>
      <c r="M88" s="65" t="e">
        <f t="shared" si="27"/>
        <v>#REF!</v>
      </c>
      <c r="O88" s="14">
        <f t="shared" si="38"/>
        <v>10</v>
      </c>
      <c r="P88" s="54">
        <f t="shared" si="39"/>
        <v>5097.125</v>
      </c>
      <c r="Q88" s="63">
        <f t="shared" si="40"/>
        <v>5654.6938954071984</v>
      </c>
      <c r="R88" s="63" t="e">
        <f t="shared" si="45"/>
        <v>#REF!</v>
      </c>
      <c r="S88" s="63" t="e">
        <f t="shared" si="41"/>
        <v>#REF!</v>
      </c>
      <c r="T88" s="63"/>
      <c r="U88" s="63">
        <f t="shared" si="42"/>
        <v>-282.73469477035991</v>
      </c>
      <c r="V88" s="77">
        <f t="shared" ref="V88:V126" si="46">-(AB88*$C$9/12)</f>
        <v>-189.61458333333334</v>
      </c>
      <c r="W88" s="83" t="e">
        <f t="shared" si="31"/>
        <v>#REF!</v>
      </c>
      <c r="X88" s="85" t="e">
        <f t="shared" si="43"/>
        <v>#REF!</v>
      </c>
      <c r="Z88" s="92">
        <f t="shared" si="44"/>
        <v>91015</v>
      </c>
      <c r="AA88" s="5">
        <f t="shared" si="32"/>
        <v>0</v>
      </c>
      <c r="AB88" s="92">
        <f t="shared" si="33"/>
        <v>91015</v>
      </c>
    </row>
    <row r="89" spans="1:28" ht="14.65" thickBot="1" x14ac:dyDescent="0.5">
      <c r="A89" s="97" t="s">
        <v>44</v>
      </c>
      <c r="B89" s="98" t="s">
        <v>48</v>
      </c>
      <c r="C89" s="98" t="s">
        <v>45</v>
      </c>
      <c r="D89" s="99" t="s">
        <v>46</v>
      </c>
      <c r="E89" s="55" t="s">
        <v>47</v>
      </c>
      <c r="F89" s="1"/>
      <c r="G89" s="1"/>
      <c r="H89" s="117"/>
      <c r="I89" s="14">
        <f t="shared" si="35"/>
        <v>11</v>
      </c>
      <c r="J89" s="63" t="e">
        <f t="shared" si="36"/>
        <v>#REF!</v>
      </c>
      <c r="K89" s="63" t="e">
        <f t="shared" si="29"/>
        <v>#REF!</v>
      </c>
      <c r="L89" s="63" t="e">
        <f t="shared" si="37"/>
        <v>#REF!</v>
      </c>
      <c r="M89" s="65" t="e">
        <f t="shared" si="27"/>
        <v>#REF!</v>
      </c>
      <c r="O89" s="14">
        <f t="shared" si="38"/>
        <v>11</v>
      </c>
      <c r="P89" s="54">
        <f t="shared" si="39"/>
        <v>5617.25</v>
      </c>
      <c r="Q89" s="63">
        <f t="shared" si="40"/>
        <v>5654.6938954071984</v>
      </c>
      <c r="R89" s="63" t="e">
        <f t="shared" si="45"/>
        <v>#REF!</v>
      </c>
      <c r="S89" s="63" t="e">
        <f t="shared" si="41"/>
        <v>#REF!</v>
      </c>
      <c r="T89" s="63"/>
      <c r="U89" s="63">
        <f t="shared" si="42"/>
        <v>-282.73469477035991</v>
      </c>
      <c r="V89" s="77">
        <f t="shared" si="46"/>
        <v>-185.86770833333333</v>
      </c>
      <c r="W89" s="83" t="e">
        <f t="shared" si="31"/>
        <v>#REF!</v>
      </c>
      <c r="X89" s="85" t="e">
        <f t="shared" si="43"/>
        <v>#REF!</v>
      </c>
      <c r="Z89" s="92">
        <f t="shared" si="44"/>
        <v>89216.5</v>
      </c>
      <c r="AA89" s="5">
        <f t="shared" si="32"/>
        <v>0</v>
      </c>
      <c r="AB89" s="92">
        <f t="shared" si="33"/>
        <v>89216.5</v>
      </c>
    </row>
    <row r="90" spans="1:28" x14ac:dyDescent="0.45">
      <c r="A90" s="94">
        <v>1</v>
      </c>
      <c r="B90" s="95">
        <v>12</v>
      </c>
      <c r="C90" s="96">
        <f>D$27-(D$27+D$28)*B90/60</f>
        <v>87418</v>
      </c>
      <c r="D90" s="100">
        <v>0.1</v>
      </c>
      <c r="E90" s="103">
        <f t="shared" ref="E90:E95" si="47">C90/(100%-D90)</f>
        <v>97131.111111111109</v>
      </c>
      <c r="F90" s="11"/>
      <c r="G90" s="11"/>
      <c r="H90" s="11"/>
      <c r="I90" s="14">
        <f t="shared" si="35"/>
        <v>12</v>
      </c>
      <c r="J90" s="63" t="e">
        <f t="shared" si="36"/>
        <v>#REF!</v>
      </c>
      <c r="K90" s="63" t="e">
        <f t="shared" si="29"/>
        <v>#REF!</v>
      </c>
      <c r="L90" s="63" t="e">
        <f t="shared" si="37"/>
        <v>#REF!</v>
      </c>
      <c r="M90" s="65" t="e">
        <f t="shared" si="27"/>
        <v>#REF!</v>
      </c>
      <c r="O90" s="14">
        <f t="shared" si="38"/>
        <v>12</v>
      </c>
      <c r="P90" s="54">
        <f t="shared" si="39"/>
        <v>6137.375</v>
      </c>
      <c r="Q90" s="63">
        <f t="shared" si="40"/>
        <v>5654.6938954071984</v>
      </c>
      <c r="R90" s="63" t="e">
        <f t="shared" si="45"/>
        <v>#REF!</v>
      </c>
      <c r="S90" s="63" t="e">
        <f t="shared" si="41"/>
        <v>#REF!</v>
      </c>
      <c r="T90" s="63"/>
      <c r="U90" s="63">
        <f t="shared" si="42"/>
        <v>-282.73469477035991</v>
      </c>
      <c r="V90" s="77">
        <f t="shared" si="46"/>
        <v>-182.12083333333337</v>
      </c>
      <c r="W90" s="83" t="e">
        <f t="shared" si="31"/>
        <v>#REF!</v>
      </c>
      <c r="X90" s="85" t="e">
        <f t="shared" si="43"/>
        <v>#REF!</v>
      </c>
      <c r="Z90" s="92">
        <f t="shared" si="44"/>
        <v>87418</v>
      </c>
      <c r="AA90" s="5">
        <f t="shared" si="32"/>
        <v>0</v>
      </c>
      <c r="AB90" s="92">
        <f t="shared" si="33"/>
        <v>87418</v>
      </c>
    </row>
    <row r="91" spans="1:28" x14ac:dyDescent="0.45">
      <c r="A91" s="4">
        <f>A90+1</f>
        <v>2</v>
      </c>
      <c r="B91" s="5">
        <f>B90+12</f>
        <v>24</v>
      </c>
      <c r="C91" s="92">
        <f>D$27-(D$27+D$28)*B91/60</f>
        <v>65836</v>
      </c>
      <c r="D91" s="101">
        <f>D90</f>
        <v>0.1</v>
      </c>
      <c r="E91" s="104">
        <f t="shared" si="47"/>
        <v>73151.111111111109</v>
      </c>
      <c r="F91" s="11"/>
      <c r="G91" s="11"/>
      <c r="H91" s="11"/>
      <c r="I91" s="14">
        <f t="shared" si="35"/>
        <v>13</v>
      </c>
      <c r="J91" s="63" t="e">
        <f t="shared" si="36"/>
        <v>#REF!</v>
      </c>
      <c r="K91" s="63" t="e">
        <f t="shared" si="29"/>
        <v>#REF!</v>
      </c>
      <c r="L91" s="63" t="e">
        <f t="shared" si="37"/>
        <v>#REF!</v>
      </c>
      <c r="M91" s="65" t="e">
        <f t="shared" si="27"/>
        <v>#REF!</v>
      </c>
      <c r="O91" s="14">
        <f t="shared" si="38"/>
        <v>13</v>
      </c>
      <c r="P91" s="54">
        <f t="shared" si="39"/>
        <v>6657.5</v>
      </c>
      <c r="Q91" s="63">
        <f t="shared" si="40"/>
        <v>5654.6938954071984</v>
      </c>
      <c r="R91" s="63" t="e">
        <f t="shared" si="45"/>
        <v>#REF!</v>
      </c>
      <c r="S91" s="63" t="e">
        <f t="shared" si="41"/>
        <v>#REF!</v>
      </c>
      <c r="T91" s="63"/>
      <c r="U91" s="63">
        <f t="shared" si="42"/>
        <v>-282.73469477035991</v>
      </c>
      <c r="V91" s="77">
        <f t="shared" si="46"/>
        <v>-178.37395833333335</v>
      </c>
      <c r="W91" s="83" t="e">
        <f t="shared" si="31"/>
        <v>#REF!</v>
      </c>
      <c r="X91" s="85" t="e">
        <f t="shared" si="43"/>
        <v>#REF!</v>
      </c>
      <c r="Z91" s="92">
        <f t="shared" si="44"/>
        <v>85619.5</v>
      </c>
      <c r="AA91" s="5">
        <f t="shared" si="32"/>
        <v>0</v>
      </c>
      <c r="AB91" s="92">
        <f t="shared" si="33"/>
        <v>85619.5</v>
      </c>
    </row>
    <row r="92" spans="1:28" x14ac:dyDescent="0.45">
      <c r="A92" s="4">
        <f>A91+1</f>
        <v>3</v>
      </c>
      <c r="B92" s="5">
        <f>B91+12</f>
        <v>36</v>
      </c>
      <c r="C92" s="92">
        <f>D$27-(D$27+D$28)*B92/60</f>
        <v>44254</v>
      </c>
      <c r="D92" s="101">
        <f>D91</f>
        <v>0.1</v>
      </c>
      <c r="E92" s="104">
        <f t="shared" si="47"/>
        <v>49171.111111111109</v>
      </c>
      <c r="F92" s="11"/>
      <c r="G92" s="11"/>
      <c r="H92" s="11"/>
      <c r="I92" s="14">
        <f t="shared" si="35"/>
        <v>14</v>
      </c>
      <c r="J92" s="63" t="e">
        <f t="shared" si="36"/>
        <v>#REF!</v>
      </c>
      <c r="K92" s="63" t="e">
        <f t="shared" si="29"/>
        <v>#REF!</v>
      </c>
      <c r="L92" s="63" t="e">
        <f t="shared" si="37"/>
        <v>#REF!</v>
      </c>
      <c r="M92" s="65" t="e">
        <f t="shared" si="27"/>
        <v>#REF!</v>
      </c>
      <c r="O92" s="14">
        <f t="shared" si="38"/>
        <v>14</v>
      </c>
      <c r="P92" s="54">
        <f t="shared" si="39"/>
        <v>7177.625</v>
      </c>
      <c r="Q92" s="63">
        <f t="shared" si="40"/>
        <v>5654.6938954071984</v>
      </c>
      <c r="R92" s="63" t="e">
        <f t="shared" si="45"/>
        <v>#REF!</v>
      </c>
      <c r="S92" s="63" t="e">
        <f t="shared" si="41"/>
        <v>#REF!</v>
      </c>
      <c r="T92" s="63"/>
      <c r="U92" s="63">
        <f t="shared" si="42"/>
        <v>-282.73469477035991</v>
      </c>
      <c r="V92" s="77">
        <f t="shared" si="46"/>
        <v>-174.62708333333333</v>
      </c>
      <c r="W92" s="83" t="e">
        <f t="shared" si="31"/>
        <v>#REF!</v>
      </c>
      <c r="X92" s="85" t="e">
        <f t="shared" si="43"/>
        <v>#REF!</v>
      </c>
      <c r="Z92" s="92">
        <f t="shared" si="44"/>
        <v>83821</v>
      </c>
      <c r="AA92" s="5">
        <f t="shared" si="32"/>
        <v>0</v>
      </c>
      <c r="AB92" s="92">
        <f t="shared" si="33"/>
        <v>83821</v>
      </c>
    </row>
    <row r="93" spans="1:28" x14ac:dyDescent="0.45">
      <c r="A93" s="4">
        <f>A92+1</f>
        <v>4</v>
      </c>
      <c r="B93" s="5">
        <f>B92+12</f>
        <v>48</v>
      </c>
      <c r="C93" s="92">
        <f>D$27-(D$27+D$28)*B93/60</f>
        <v>22672</v>
      </c>
      <c r="D93" s="101">
        <f>D92</f>
        <v>0.1</v>
      </c>
      <c r="E93" s="104">
        <f t="shared" si="47"/>
        <v>25191.111111111109</v>
      </c>
      <c r="F93" s="11"/>
      <c r="G93" s="11"/>
      <c r="H93" s="11"/>
      <c r="I93" s="14">
        <f t="shared" si="35"/>
        <v>15</v>
      </c>
      <c r="J93" s="63" t="e">
        <f t="shared" si="36"/>
        <v>#REF!</v>
      </c>
      <c r="K93" s="63" t="e">
        <f t="shared" si="29"/>
        <v>#REF!</v>
      </c>
      <c r="L93" s="63" t="e">
        <f t="shared" si="37"/>
        <v>#REF!</v>
      </c>
      <c r="M93" s="65" t="e">
        <f t="shared" si="27"/>
        <v>#REF!</v>
      </c>
      <c r="O93" s="14">
        <f t="shared" si="38"/>
        <v>15</v>
      </c>
      <c r="P93" s="54">
        <f t="shared" si="39"/>
        <v>7697.75</v>
      </c>
      <c r="Q93" s="63">
        <f t="shared" si="40"/>
        <v>5654.6938954071984</v>
      </c>
      <c r="R93" s="63" t="e">
        <f t="shared" si="45"/>
        <v>#REF!</v>
      </c>
      <c r="S93" s="63" t="e">
        <f t="shared" si="41"/>
        <v>#REF!</v>
      </c>
      <c r="T93" s="63"/>
      <c r="U93" s="63">
        <f t="shared" si="42"/>
        <v>-282.73469477035991</v>
      </c>
      <c r="V93" s="77">
        <f t="shared" si="46"/>
        <v>-170.88020833333334</v>
      </c>
      <c r="W93" s="83" t="e">
        <f t="shared" si="31"/>
        <v>#REF!</v>
      </c>
      <c r="X93" s="85" t="e">
        <f t="shared" si="43"/>
        <v>#REF!</v>
      </c>
      <c r="Z93" s="92">
        <f t="shared" si="44"/>
        <v>82022.5</v>
      </c>
      <c r="AA93" s="5">
        <f t="shared" si="32"/>
        <v>0</v>
      </c>
      <c r="AB93" s="92">
        <f t="shared" si="33"/>
        <v>82022.5</v>
      </c>
    </row>
    <row r="94" spans="1:28" x14ac:dyDescent="0.45">
      <c r="A94" s="4">
        <f>A93+1</f>
        <v>5</v>
      </c>
      <c r="B94" s="5">
        <f>B93+12</f>
        <v>60</v>
      </c>
      <c r="C94" s="92">
        <f>D$27-(D$27+D$28)*B94/60</f>
        <v>1090</v>
      </c>
      <c r="D94" s="101">
        <f>D93</f>
        <v>0.1</v>
      </c>
      <c r="E94" s="104">
        <f t="shared" si="47"/>
        <v>1211.1111111111111</v>
      </c>
      <c r="F94" s="11"/>
      <c r="G94" s="11"/>
      <c r="H94" s="11"/>
      <c r="I94" s="14">
        <f t="shared" si="35"/>
        <v>16</v>
      </c>
      <c r="J94" s="63" t="e">
        <f t="shared" si="36"/>
        <v>#REF!</v>
      </c>
      <c r="K94" s="63" t="e">
        <f t="shared" si="29"/>
        <v>#REF!</v>
      </c>
      <c r="L94" s="63" t="e">
        <f t="shared" si="37"/>
        <v>#REF!</v>
      </c>
      <c r="M94" s="65" t="e">
        <f t="shared" si="27"/>
        <v>#REF!</v>
      </c>
      <c r="O94" s="14">
        <f t="shared" si="38"/>
        <v>16</v>
      </c>
      <c r="P94" s="54">
        <f t="shared" si="39"/>
        <v>8217.875</v>
      </c>
      <c r="Q94" s="63">
        <f t="shared" si="40"/>
        <v>5654.6938954071984</v>
      </c>
      <c r="R94" s="63" t="e">
        <f t="shared" si="45"/>
        <v>#REF!</v>
      </c>
      <c r="S94" s="63" t="e">
        <f t="shared" si="41"/>
        <v>#REF!</v>
      </c>
      <c r="T94" s="63"/>
      <c r="U94" s="63">
        <f t="shared" si="42"/>
        <v>-282.73469477035991</v>
      </c>
      <c r="V94" s="77">
        <f t="shared" si="46"/>
        <v>-167.13333333333335</v>
      </c>
      <c r="W94" s="83" t="e">
        <f t="shared" si="31"/>
        <v>#REF!</v>
      </c>
      <c r="X94" s="85" t="e">
        <f t="shared" si="43"/>
        <v>#REF!</v>
      </c>
      <c r="Z94" s="92">
        <f t="shared" si="44"/>
        <v>80224</v>
      </c>
      <c r="AA94" s="5">
        <f t="shared" si="32"/>
        <v>0</v>
      </c>
      <c r="AB94" s="92">
        <f t="shared" si="33"/>
        <v>80224</v>
      </c>
    </row>
    <row r="95" spans="1:28" ht="14.65" thickBot="1" x14ac:dyDescent="0.5">
      <c r="A95" s="6">
        <f>A94+1</f>
        <v>6</v>
      </c>
      <c r="B95" s="7">
        <f>B94+12</f>
        <v>72</v>
      </c>
      <c r="C95" s="93">
        <v>1</v>
      </c>
      <c r="D95" s="102">
        <f>D94</f>
        <v>0.1</v>
      </c>
      <c r="E95" s="105">
        <f t="shared" si="47"/>
        <v>1.1111111111111112</v>
      </c>
      <c r="H95" s="11"/>
      <c r="I95" s="14">
        <f t="shared" si="35"/>
        <v>17</v>
      </c>
      <c r="J95" s="63" t="e">
        <f t="shared" si="36"/>
        <v>#REF!</v>
      </c>
      <c r="K95" s="63" t="e">
        <f t="shared" si="29"/>
        <v>#REF!</v>
      </c>
      <c r="L95" s="63" t="e">
        <f t="shared" si="37"/>
        <v>#REF!</v>
      </c>
      <c r="M95" s="65" t="e">
        <f t="shared" si="27"/>
        <v>#REF!</v>
      </c>
      <c r="O95" s="14">
        <f t="shared" si="38"/>
        <v>17</v>
      </c>
      <c r="P95" s="54">
        <f t="shared" si="39"/>
        <v>8738</v>
      </c>
      <c r="Q95" s="63">
        <f t="shared" si="40"/>
        <v>5654.6938954071984</v>
      </c>
      <c r="R95" s="63" t="e">
        <f t="shared" si="45"/>
        <v>#REF!</v>
      </c>
      <c r="S95" s="63" t="e">
        <f t="shared" si="41"/>
        <v>#REF!</v>
      </c>
      <c r="T95" s="63"/>
      <c r="U95" s="63">
        <f t="shared" si="42"/>
        <v>-282.73469477035991</v>
      </c>
      <c r="V95" s="77">
        <f t="shared" si="46"/>
        <v>-163.38645833333334</v>
      </c>
      <c r="W95" s="83" t="e">
        <f t="shared" si="31"/>
        <v>#REF!</v>
      </c>
      <c r="X95" s="85" t="e">
        <f t="shared" si="43"/>
        <v>#REF!</v>
      </c>
      <c r="Z95" s="92">
        <f t="shared" si="44"/>
        <v>78425.5</v>
      </c>
      <c r="AA95" s="5">
        <f t="shared" si="32"/>
        <v>0</v>
      </c>
      <c r="AB95" s="92">
        <f t="shared" si="33"/>
        <v>78425.5</v>
      </c>
    </row>
    <row r="96" spans="1:28" ht="14.65" thickBot="1" x14ac:dyDescent="0.5">
      <c r="H96" s="11"/>
      <c r="I96" s="14">
        <f>I95+1</f>
        <v>18</v>
      </c>
      <c r="J96" s="63" t="e">
        <f>M95</f>
        <v>#REF!</v>
      </c>
      <c r="K96" s="63" t="e">
        <f t="shared" si="29"/>
        <v>#REF!</v>
      </c>
      <c r="L96" s="63" t="e">
        <f>L95</f>
        <v>#REF!</v>
      </c>
      <c r="M96" s="65" t="e">
        <f t="shared" si="27"/>
        <v>#REF!</v>
      </c>
      <c r="O96" s="14">
        <f>O95+1</f>
        <v>18</v>
      </c>
      <c r="P96" s="54">
        <f t="shared" si="39"/>
        <v>9258.125</v>
      </c>
      <c r="Q96" s="63">
        <f t="shared" si="40"/>
        <v>5654.6938954071984</v>
      </c>
      <c r="R96" s="63" t="e">
        <f t="shared" si="45"/>
        <v>#REF!</v>
      </c>
      <c r="S96" s="63" t="e">
        <f t="shared" si="41"/>
        <v>#REF!</v>
      </c>
      <c r="T96" s="63"/>
      <c r="U96" s="63">
        <f t="shared" si="42"/>
        <v>-282.73469477035991</v>
      </c>
      <c r="V96" s="77">
        <f t="shared" si="46"/>
        <v>-159.63958333333335</v>
      </c>
      <c r="W96" s="83" t="e">
        <f t="shared" si="31"/>
        <v>#REF!</v>
      </c>
      <c r="X96" s="85" t="e">
        <f t="shared" si="43"/>
        <v>#REF!</v>
      </c>
      <c r="Z96" s="92">
        <f t="shared" si="44"/>
        <v>76627</v>
      </c>
      <c r="AA96" s="5">
        <f t="shared" si="32"/>
        <v>0</v>
      </c>
      <c r="AB96" s="92">
        <f t="shared" si="33"/>
        <v>76627</v>
      </c>
    </row>
    <row r="97" spans="1:28" ht="31.15" thickBot="1" x14ac:dyDescent="0.5">
      <c r="A97" s="664" t="s">
        <v>21</v>
      </c>
      <c r="B97" s="665"/>
      <c r="C97" s="665"/>
      <c r="D97" s="665"/>
      <c r="E97" s="665"/>
      <c r="F97" s="665"/>
      <c r="G97" s="666"/>
      <c r="H97" s="11"/>
      <c r="I97" s="14">
        <f t="shared" si="35"/>
        <v>19</v>
      </c>
      <c r="J97" s="63" t="e">
        <f t="shared" ref="J97:J126" si="48">M96</f>
        <v>#REF!</v>
      </c>
      <c r="K97" s="63" t="e">
        <f t="shared" si="29"/>
        <v>#REF!</v>
      </c>
      <c r="L97" s="63" t="e">
        <f t="shared" si="37"/>
        <v>#REF!</v>
      </c>
      <c r="M97" s="65" t="e">
        <f t="shared" si="27"/>
        <v>#REF!</v>
      </c>
      <c r="O97" s="14">
        <f t="shared" si="38"/>
        <v>19</v>
      </c>
      <c r="P97" s="54">
        <f t="shared" si="39"/>
        <v>9778.25</v>
      </c>
      <c r="Q97" s="63">
        <f t="shared" si="40"/>
        <v>5654.6938954071984</v>
      </c>
      <c r="R97" s="63" t="e">
        <f t="shared" si="45"/>
        <v>#REF!</v>
      </c>
      <c r="S97" s="63" t="e">
        <f t="shared" si="41"/>
        <v>#REF!</v>
      </c>
      <c r="T97" s="63"/>
      <c r="U97" s="63">
        <f t="shared" si="42"/>
        <v>-282.73469477035991</v>
      </c>
      <c r="V97" s="77">
        <f t="shared" si="46"/>
        <v>-155.89270833333333</v>
      </c>
      <c r="W97" s="83" t="e">
        <f t="shared" si="31"/>
        <v>#REF!</v>
      </c>
      <c r="X97" s="85" t="e">
        <f t="shared" si="43"/>
        <v>#REF!</v>
      </c>
      <c r="Z97" s="92">
        <f t="shared" si="44"/>
        <v>74828.5</v>
      </c>
      <c r="AA97" s="5">
        <f t="shared" si="32"/>
        <v>0</v>
      </c>
      <c r="AB97" s="92">
        <f t="shared" si="33"/>
        <v>74828.5</v>
      </c>
    </row>
    <row r="98" spans="1:28" ht="28.9" thickBot="1" x14ac:dyDescent="0.5">
      <c r="A98" s="26" t="s">
        <v>0</v>
      </c>
      <c r="B98" s="27" t="s">
        <v>1</v>
      </c>
      <c r="C98" s="43" t="s">
        <v>22</v>
      </c>
      <c r="D98" s="43" t="s">
        <v>10</v>
      </c>
      <c r="E98" s="43" t="s">
        <v>23</v>
      </c>
      <c r="F98" s="43" t="s">
        <v>24</v>
      </c>
      <c r="G98" s="44" t="s">
        <v>25</v>
      </c>
      <c r="H98" s="11"/>
      <c r="I98" s="14">
        <f t="shared" si="35"/>
        <v>20</v>
      </c>
      <c r="J98" s="63" t="e">
        <f t="shared" si="48"/>
        <v>#REF!</v>
      </c>
      <c r="K98" s="63" t="e">
        <f t="shared" si="29"/>
        <v>#REF!</v>
      </c>
      <c r="L98" s="63" t="e">
        <f t="shared" si="37"/>
        <v>#REF!</v>
      </c>
      <c r="M98" s="65" t="e">
        <f t="shared" si="27"/>
        <v>#REF!</v>
      </c>
      <c r="O98" s="14">
        <f t="shared" si="38"/>
        <v>20</v>
      </c>
      <c r="P98" s="54">
        <f t="shared" si="39"/>
        <v>10298.375</v>
      </c>
      <c r="Q98" s="63">
        <f t="shared" si="40"/>
        <v>5654.6938954071984</v>
      </c>
      <c r="R98" s="63" t="e">
        <f t="shared" si="45"/>
        <v>#REF!</v>
      </c>
      <c r="S98" s="63" t="e">
        <f t="shared" si="41"/>
        <v>#REF!</v>
      </c>
      <c r="T98" s="63"/>
      <c r="U98" s="63">
        <f t="shared" si="42"/>
        <v>-282.73469477035991</v>
      </c>
      <c r="V98" s="77">
        <f t="shared" si="46"/>
        <v>-152.14583333333334</v>
      </c>
      <c r="W98" s="83" t="e">
        <f t="shared" si="31"/>
        <v>#REF!</v>
      </c>
      <c r="X98" s="85" t="e">
        <f t="shared" si="43"/>
        <v>#REF!</v>
      </c>
      <c r="Z98" s="92">
        <f t="shared" si="44"/>
        <v>73030</v>
      </c>
      <c r="AA98" s="5">
        <f t="shared" si="32"/>
        <v>0</v>
      </c>
      <c r="AB98" s="92">
        <f t="shared" si="33"/>
        <v>73030</v>
      </c>
    </row>
    <row r="99" spans="1:28" x14ac:dyDescent="0.45">
      <c r="A99" s="8">
        <v>1</v>
      </c>
      <c r="B99" s="9" t="s">
        <v>16</v>
      </c>
      <c r="C99" s="48">
        <v>1</v>
      </c>
      <c r="D99" s="153" t="e">
        <f>+C79*C99</f>
        <v>#REF!</v>
      </c>
      <c r="E99" s="49">
        <v>0.5</v>
      </c>
      <c r="F99" s="62" t="e">
        <f>E99*D99</f>
        <v>#REF!</v>
      </c>
      <c r="G99" s="60" t="e">
        <f>D99-F99</f>
        <v>#REF!</v>
      </c>
      <c r="H99" s="11"/>
      <c r="I99" s="14">
        <f t="shared" si="35"/>
        <v>21</v>
      </c>
      <c r="J99" s="63" t="e">
        <f t="shared" si="48"/>
        <v>#REF!</v>
      </c>
      <c r="K99" s="63" t="e">
        <f t="shared" si="29"/>
        <v>#REF!</v>
      </c>
      <c r="L99" s="63" t="e">
        <f t="shared" si="37"/>
        <v>#REF!</v>
      </c>
      <c r="M99" s="65" t="e">
        <f t="shared" si="27"/>
        <v>#REF!</v>
      </c>
      <c r="O99" s="14">
        <f t="shared" si="38"/>
        <v>21</v>
      </c>
      <c r="P99" s="54">
        <f t="shared" si="39"/>
        <v>10818.5</v>
      </c>
      <c r="Q99" s="63">
        <f t="shared" si="40"/>
        <v>5654.6938954071984</v>
      </c>
      <c r="R99" s="63" t="e">
        <f t="shared" si="45"/>
        <v>#REF!</v>
      </c>
      <c r="S99" s="63" t="e">
        <f t="shared" si="41"/>
        <v>#REF!</v>
      </c>
      <c r="T99" s="63"/>
      <c r="U99" s="63">
        <f t="shared" si="42"/>
        <v>-282.73469477035991</v>
      </c>
      <c r="V99" s="77">
        <f t="shared" si="46"/>
        <v>-148.39895833333335</v>
      </c>
      <c r="W99" s="83" t="e">
        <f t="shared" si="31"/>
        <v>#REF!</v>
      </c>
      <c r="X99" s="85" t="e">
        <f t="shared" si="43"/>
        <v>#REF!</v>
      </c>
      <c r="Z99" s="92">
        <f t="shared" si="44"/>
        <v>71231.5</v>
      </c>
      <c r="AA99" s="5">
        <f t="shared" si="32"/>
        <v>0</v>
      </c>
      <c r="AB99" s="92">
        <f t="shared" si="33"/>
        <v>71231.5</v>
      </c>
    </row>
    <row r="100" spans="1:28" x14ac:dyDescent="0.45">
      <c r="A100" s="4">
        <f>A99+1</f>
        <v>2</v>
      </c>
      <c r="B100" s="5" t="s">
        <v>12</v>
      </c>
      <c r="C100" s="19">
        <f>C83</f>
        <v>0.01</v>
      </c>
      <c r="D100" s="154" t="e">
        <f>-C100*C79</f>
        <v>#REF!</v>
      </c>
      <c r="E100" s="23">
        <f>E99</f>
        <v>0.5</v>
      </c>
      <c r="F100" s="63" t="e">
        <f t="shared" ref="F100:F105" si="49">E100*D100</f>
        <v>#REF!</v>
      </c>
      <c r="G100" s="65" t="e">
        <f>D100-F100</f>
        <v>#REF!</v>
      </c>
      <c r="H100" s="11"/>
      <c r="I100" s="14">
        <f t="shared" si="35"/>
        <v>22</v>
      </c>
      <c r="J100" s="63" t="e">
        <f t="shared" si="48"/>
        <v>#REF!</v>
      </c>
      <c r="K100" s="63" t="e">
        <f t="shared" si="29"/>
        <v>#REF!</v>
      </c>
      <c r="L100" s="63" t="e">
        <f t="shared" si="37"/>
        <v>#REF!</v>
      </c>
      <c r="M100" s="65" t="e">
        <f t="shared" si="27"/>
        <v>#REF!</v>
      </c>
      <c r="O100" s="14">
        <f t="shared" si="38"/>
        <v>22</v>
      </c>
      <c r="P100" s="54">
        <f t="shared" si="39"/>
        <v>11338.625</v>
      </c>
      <c r="Q100" s="63">
        <f t="shared" si="40"/>
        <v>5654.6938954071984</v>
      </c>
      <c r="R100" s="63" t="e">
        <f t="shared" si="45"/>
        <v>#REF!</v>
      </c>
      <c r="S100" s="63" t="e">
        <f t="shared" si="41"/>
        <v>#REF!</v>
      </c>
      <c r="T100" s="63"/>
      <c r="U100" s="63">
        <f t="shared" si="42"/>
        <v>-282.73469477035991</v>
      </c>
      <c r="V100" s="77">
        <f t="shared" si="46"/>
        <v>-144.65208333333334</v>
      </c>
      <c r="W100" s="83" t="e">
        <f t="shared" si="31"/>
        <v>#REF!</v>
      </c>
      <c r="X100" s="85" t="e">
        <f t="shared" si="43"/>
        <v>#REF!</v>
      </c>
      <c r="Z100" s="92">
        <f t="shared" si="44"/>
        <v>69433</v>
      </c>
      <c r="AA100" s="5">
        <f t="shared" si="32"/>
        <v>0</v>
      </c>
      <c r="AB100" s="92">
        <f t="shared" si="33"/>
        <v>69433</v>
      </c>
    </row>
    <row r="101" spans="1:28" x14ac:dyDescent="0.45">
      <c r="A101" s="4">
        <f t="shared" ref="A101:A106" si="50">A100+1</f>
        <v>3</v>
      </c>
      <c r="B101" s="5" t="s">
        <v>17</v>
      </c>
      <c r="C101" s="24">
        <f>C80</f>
        <v>5.2999999999999999E-2</v>
      </c>
      <c r="D101" s="63" t="e">
        <f>K127</f>
        <v>#REF!</v>
      </c>
      <c r="E101" s="23">
        <v>1</v>
      </c>
      <c r="F101" s="63" t="e">
        <f t="shared" si="49"/>
        <v>#REF!</v>
      </c>
      <c r="G101" s="65" t="e">
        <f>D101-F101</f>
        <v>#REF!</v>
      </c>
      <c r="H101" s="11"/>
      <c r="I101" s="14">
        <f t="shared" si="35"/>
        <v>23</v>
      </c>
      <c r="J101" s="63" t="e">
        <f t="shared" si="48"/>
        <v>#REF!</v>
      </c>
      <c r="K101" s="63" t="e">
        <f t="shared" si="29"/>
        <v>#REF!</v>
      </c>
      <c r="L101" s="63" t="e">
        <f t="shared" si="37"/>
        <v>#REF!</v>
      </c>
      <c r="M101" s="65" t="e">
        <f t="shared" si="27"/>
        <v>#REF!</v>
      </c>
      <c r="O101" s="14">
        <f t="shared" si="38"/>
        <v>23</v>
      </c>
      <c r="P101" s="54">
        <f t="shared" si="39"/>
        <v>11858.75</v>
      </c>
      <c r="Q101" s="63">
        <f t="shared" si="40"/>
        <v>5654.6938954071984</v>
      </c>
      <c r="R101" s="63" t="e">
        <f t="shared" si="45"/>
        <v>#REF!</v>
      </c>
      <c r="S101" s="63" t="e">
        <f t="shared" si="41"/>
        <v>#REF!</v>
      </c>
      <c r="T101" s="63"/>
      <c r="U101" s="63">
        <f t="shared" si="42"/>
        <v>-282.73469477035991</v>
      </c>
      <c r="V101" s="77">
        <f t="shared" si="46"/>
        <v>-140.90520833333335</v>
      </c>
      <c r="W101" s="83" t="e">
        <f t="shared" si="31"/>
        <v>#REF!</v>
      </c>
      <c r="X101" s="85" t="e">
        <f t="shared" si="43"/>
        <v>#REF!</v>
      </c>
      <c r="Z101" s="92">
        <f t="shared" si="44"/>
        <v>67634.5</v>
      </c>
      <c r="AA101" s="5">
        <f t="shared" si="32"/>
        <v>0</v>
      </c>
      <c r="AB101" s="92">
        <f t="shared" si="33"/>
        <v>67634.5</v>
      </c>
    </row>
    <row r="102" spans="1:28" x14ac:dyDescent="0.45">
      <c r="A102" s="4">
        <f t="shared" si="50"/>
        <v>4</v>
      </c>
      <c r="B102" s="5" t="s">
        <v>6</v>
      </c>
      <c r="C102" s="23">
        <f>C81</f>
        <v>2.5000000000000001E-2</v>
      </c>
      <c r="D102" s="63">
        <f>-V127</f>
        <v>6493.675000000002</v>
      </c>
      <c r="E102" s="23">
        <v>1</v>
      </c>
      <c r="F102" s="63">
        <f t="shared" si="49"/>
        <v>6493.675000000002</v>
      </c>
      <c r="G102" s="65">
        <f>D102-F102</f>
        <v>0</v>
      </c>
      <c r="H102" s="11"/>
      <c r="I102" s="14">
        <f t="shared" si="35"/>
        <v>24</v>
      </c>
      <c r="J102" s="63" t="e">
        <f t="shared" si="48"/>
        <v>#REF!</v>
      </c>
      <c r="K102" s="63" t="e">
        <f t="shared" si="29"/>
        <v>#REF!</v>
      </c>
      <c r="L102" s="63" t="e">
        <f t="shared" si="37"/>
        <v>#REF!</v>
      </c>
      <c r="M102" s="65" t="e">
        <f t="shared" si="27"/>
        <v>#REF!</v>
      </c>
      <c r="O102" s="14">
        <f t="shared" si="38"/>
        <v>24</v>
      </c>
      <c r="P102" s="54">
        <f t="shared" si="39"/>
        <v>12378.875</v>
      </c>
      <c r="Q102" s="63">
        <f t="shared" si="40"/>
        <v>5654.6938954071984</v>
      </c>
      <c r="R102" s="63" t="e">
        <f t="shared" si="45"/>
        <v>#REF!</v>
      </c>
      <c r="S102" s="63" t="e">
        <f t="shared" si="41"/>
        <v>#REF!</v>
      </c>
      <c r="T102" s="63"/>
      <c r="U102" s="63">
        <f t="shared" si="42"/>
        <v>-282.73469477035991</v>
      </c>
      <c r="V102" s="77">
        <f t="shared" si="46"/>
        <v>-137.15833333333333</v>
      </c>
      <c r="W102" s="83" t="e">
        <f t="shared" si="31"/>
        <v>#REF!</v>
      </c>
      <c r="X102" s="85" t="e">
        <f t="shared" si="43"/>
        <v>#REF!</v>
      </c>
      <c r="Z102" s="92">
        <f t="shared" si="44"/>
        <v>65836</v>
      </c>
      <c r="AA102" s="5">
        <f t="shared" si="32"/>
        <v>0</v>
      </c>
      <c r="AB102" s="92">
        <f t="shared" si="33"/>
        <v>65836</v>
      </c>
    </row>
    <row r="103" spans="1:28" x14ac:dyDescent="0.45">
      <c r="A103" s="4">
        <f t="shared" si="50"/>
        <v>5</v>
      </c>
      <c r="B103" s="5" t="s">
        <v>27</v>
      </c>
      <c r="C103" s="19">
        <f>+C31</f>
        <v>0.5</v>
      </c>
      <c r="D103" s="174" t="e">
        <v>#REF!</v>
      </c>
      <c r="E103" s="23">
        <v>0</v>
      </c>
      <c r="F103" s="63" t="e">
        <f t="shared" si="49"/>
        <v>#REF!</v>
      </c>
      <c r="G103" s="65" t="e">
        <f>D103</f>
        <v>#REF!</v>
      </c>
      <c r="H103" s="11"/>
      <c r="I103" s="14">
        <f t="shared" si="35"/>
        <v>25</v>
      </c>
      <c r="J103" s="63" t="e">
        <f t="shared" si="48"/>
        <v>#REF!</v>
      </c>
      <c r="K103" s="63" t="e">
        <f t="shared" si="29"/>
        <v>#REF!</v>
      </c>
      <c r="L103" s="63" t="e">
        <f t="shared" si="37"/>
        <v>#REF!</v>
      </c>
      <c r="M103" s="65" t="e">
        <f t="shared" si="27"/>
        <v>#REF!</v>
      </c>
      <c r="O103" s="14">
        <f t="shared" si="38"/>
        <v>25</v>
      </c>
      <c r="P103" s="54">
        <f t="shared" si="39"/>
        <v>12899</v>
      </c>
      <c r="Q103" s="63">
        <f t="shared" si="40"/>
        <v>5654.6938954071984</v>
      </c>
      <c r="R103" s="63" t="e">
        <f t="shared" si="45"/>
        <v>#REF!</v>
      </c>
      <c r="S103" s="63" t="e">
        <f t="shared" si="41"/>
        <v>#REF!</v>
      </c>
      <c r="T103" s="63"/>
      <c r="U103" s="63">
        <f t="shared" si="42"/>
        <v>-282.73469477035991</v>
      </c>
      <c r="V103" s="77">
        <f t="shared" si="46"/>
        <v>-133.41145833333334</v>
      </c>
      <c r="W103" s="83" t="e">
        <f t="shared" si="31"/>
        <v>#REF!</v>
      </c>
      <c r="X103" s="85" t="e">
        <f t="shared" si="43"/>
        <v>#REF!</v>
      </c>
      <c r="Z103" s="92">
        <f t="shared" si="44"/>
        <v>64037.5</v>
      </c>
      <c r="AA103" s="5">
        <f t="shared" si="32"/>
        <v>0</v>
      </c>
      <c r="AB103" s="92">
        <f t="shared" si="33"/>
        <v>64037.5</v>
      </c>
    </row>
    <row r="104" spans="1:28" x14ac:dyDescent="0.45">
      <c r="A104" s="4">
        <f t="shared" si="50"/>
        <v>6</v>
      </c>
      <c r="B104" s="5" t="s">
        <v>26</v>
      </c>
      <c r="C104" s="19">
        <f>+C32</f>
        <v>0.2</v>
      </c>
      <c r="D104" s="174" t="e">
        <v>#REF!</v>
      </c>
      <c r="E104" s="23">
        <v>0</v>
      </c>
      <c r="F104" s="63" t="e">
        <f t="shared" si="49"/>
        <v>#REF!</v>
      </c>
      <c r="G104" s="65" t="e">
        <f>D104</f>
        <v>#REF!</v>
      </c>
      <c r="H104" s="11"/>
      <c r="I104" s="14">
        <f t="shared" si="35"/>
        <v>26</v>
      </c>
      <c r="J104" s="63" t="e">
        <f t="shared" si="48"/>
        <v>#REF!</v>
      </c>
      <c r="K104" s="63" t="e">
        <f t="shared" si="29"/>
        <v>#REF!</v>
      </c>
      <c r="L104" s="63" t="e">
        <f t="shared" si="37"/>
        <v>#REF!</v>
      </c>
      <c r="M104" s="65" t="e">
        <f t="shared" si="27"/>
        <v>#REF!</v>
      </c>
      <c r="O104" s="14">
        <f t="shared" si="38"/>
        <v>26</v>
      </c>
      <c r="P104" s="54">
        <f t="shared" si="39"/>
        <v>13419.125</v>
      </c>
      <c r="Q104" s="63">
        <f t="shared" si="40"/>
        <v>5654.6938954071984</v>
      </c>
      <c r="R104" s="63" t="e">
        <f t="shared" si="45"/>
        <v>#REF!</v>
      </c>
      <c r="S104" s="63" t="e">
        <f t="shared" si="41"/>
        <v>#REF!</v>
      </c>
      <c r="T104" s="63"/>
      <c r="U104" s="63">
        <f t="shared" si="42"/>
        <v>-282.73469477035991</v>
      </c>
      <c r="V104" s="77">
        <f t="shared" si="46"/>
        <v>-129.66458333333335</v>
      </c>
      <c r="W104" s="83" t="e">
        <f t="shared" si="31"/>
        <v>#REF!</v>
      </c>
      <c r="X104" s="85" t="e">
        <f t="shared" si="43"/>
        <v>#REF!</v>
      </c>
      <c r="Z104" s="92">
        <f t="shared" si="44"/>
        <v>62239</v>
      </c>
      <c r="AA104" s="5">
        <f t="shared" si="32"/>
        <v>0</v>
      </c>
      <c r="AB104" s="92">
        <f t="shared" si="33"/>
        <v>62239</v>
      </c>
    </row>
    <row r="105" spans="1:28" ht="14.65" thickBot="1" x14ac:dyDescent="0.5">
      <c r="A105" s="6">
        <f t="shared" si="50"/>
        <v>7</v>
      </c>
      <c r="B105" s="7" t="s">
        <v>32</v>
      </c>
      <c r="C105" s="19">
        <f>+C33</f>
        <v>0.03</v>
      </c>
      <c r="D105" s="174" t="e">
        <v>#REF!</v>
      </c>
      <c r="E105" s="25">
        <v>0</v>
      </c>
      <c r="F105" s="64" t="e">
        <f t="shared" si="49"/>
        <v>#REF!</v>
      </c>
      <c r="G105" s="66" t="e">
        <f>D105</f>
        <v>#REF!</v>
      </c>
      <c r="H105" s="11"/>
      <c r="I105" s="14">
        <f t="shared" si="35"/>
        <v>27</v>
      </c>
      <c r="J105" s="63" t="e">
        <f t="shared" si="48"/>
        <v>#REF!</v>
      </c>
      <c r="K105" s="63" t="e">
        <f t="shared" si="29"/>
        <v>#REF!</v>
      </c>
      <c r="L105" s="63" t="e">
        <f t="shared" si="37"/>
        <v>#REF!</v>
      </c>
      <c r="M105" s="65" t="e">
        <f t="shared" si="27"/>
        <v>#REF!</v>
      </c>
      <c r="O105" s="14">
        <f t="shared" si="38"/>
        <v>27</v>
      </c>
      <c r="P105" s="54">
        <f t="shared" si="39"/>
        <v>13939.25</v>
      </c>
      <c r="Q105" s="63">
        <f t="shared" si="40"/>
        <v>5654.6938954071984</v>
      </c>
      <c r="R105" s="63" t="e">
        <f t="shared" si="45"/>
        <v>#REF!</v>
      </c>
      <c r="S105" s="63" t="e">
        <f t="shared" si="41"/>
        <v>#REF!</v>
      </c>
      <c r="T105" s="63"/>
      <c r="U105" s="63">
        <f t="shared" si="42"/>
        <v>-282.73469477035991</v>
      </c>
      <c r="V105" s="77">
        <f t="shared" si="46"/>
        <v>-125.91770833333334</v>
      </c>
      <c r="W105" s="83" t="e">
        <f t="shared" si="31"/>
        <v>#REF!</v>
      </c>
      <c r="X105" s="85" t="e">
        <f t="shared" si="43"/>
        <v>#REF!</v>
      </c>
      <c r="Z105" s="92">
        <f t="shared" si="44"/>
        <v>60440.5</v>
      </c>
      <c r="AA105" s="5">
        <f t="shared" si="32"/>
        <v>0</v>
      </c>
      <c r="AB105" s="92">
        <f t="shared" si="33"/>
        <v>60440.5</v>
      </c>
    </row>
    <row r="106" spans="1:28" ht="14.65" thickBot="1" x14ac:dyDescent="0.5">
      <c r="A106" s="33">
        <f t="shared" si="50"/>
        <v>8</v>
      </c>
      <c r="B106" s="30" t="s">
        <v>8</v>
      </c>
      <c r="C106" s="45"/>
      <c r="D106" s="46"/>
      <c r="E106" s="47"/>
      <c r="F106" s="67" t="e">
        <f>SUM(F99:F105)</f>
        <v>#REF!</v>
      </c>
      <c r="G106" s="68" t="e">
        <f>SUM(G99:G105)</f>
        <v>#REF!</v>
      </c>
      <c r="H106" s="11"/>
      <c r="I106" s="14">
        <f t="shared" si="35"/>
        <v>28</v>
      </c>
      <c r="J106" s="63" t="e">
        <f t="shared" si="48"/>
        <v>#REF!</v>
      </c>
      <c r="K106" s="63" t="e">
        <f t="shared" si="29"/>
        <v>#REF!</v>
      </c>
      <c r="L106" s="63" t="e">
        <f t="shared" si="37"/>
        <v>#REF!</v>
      </c>
      <c r="M106" s="65" t="e">
        <f t="shared" si="27"/>
        <v>#REF!</v>
      </c>
      <c r="O106" s="14">
        <f t="shared" si="38"/>
        <v>28</v>
      </c>
      <c r="P106" s="54">
        <f t="shared" si="39"/>
        <v>14459.375</v>
      </c>
      <c r="Q106" s="63">
        <f t="shared" si="40"/>
        <v>5654.6938954071984</v>
      </c>
      <c r="R106" s="63" t="e">
        <f t="shared" si="45"/>
        <v>#REF!</v>
      </c>
      <c r="S106" s="63" t="e">
        <f t="shared" si="41"/>
        <v>#REF!</v>
      </c>
      <c r="T106" s="63"/>
      <c r="U106" s="63">
        <f t="shared" si="42"/>
        <v>-282.73469477035991</v>
      </c>
      <c r="V106" s="77">
        <f t="shared" si="46"/>
        <v>-122.17083333333335</v>
      </c>
      <c r="W106" s="83" t="e">
        <f t="shared" si="31"/>
        <v>#REF!</v>
      </c>
      <c r="X106" s="85" t="e">
        <f t="shared" si="43"/>
        <v>#REF!</v>
      </c>
      <c r="Z106" s="92">
        <f t="shared" si="44"/>
        <v>58642</v>
      </c>
      <c r="AA106" s="5">
        <f t="shared" si="32"/>
        <v>0</v>
      </c>
      <c r="AB106" s="92">
        <f t="shared" si="33"/>
        <v>58642</v>
      </c>
    </row>
    <row r="107" spans="1:28" ht="14.65" thickBot="1" x14ac:dyDescent="0.5">
      <c r="A107" s="31">
        <f>A106+1</f>
        <v>9</v>
      </c>
      <c r="B107" s="32" t="s">
        <v>7</v>
      </c>
      <c r="C107" s="42">
        <f>+C35</f>
        <v>0.05</v>
      </c>
      <c r="D107" s="22"/>
      <c r="E107" s="34"/>
      <c r="F107" s="69" t="e">
        <f>F108-F106</f>
        <v>#REF!</v>
      </c>
      <c r="G107" s="70" t="e">
        <f>G108-G106</f>
        <v>#REF!</v>
      </c>
      <c r="H107" s="11"/>
      <c r="I107" s="14">
        <f t="shared" si="35"/>
        <v>29</v>
      </c>
      <c r="J107" s="63" t="e">
        <f t="shared" si="48"/>
        <v>#REF!</v>
      </c>
      <c r="K107" s="63" t="e">
        <f t="shared" si="29"/>
        <v>#REF!</v>
      </c>
      <c r="L107" s="63" t="e">
        <f t="shared" si="37"/>
        <v>#REF!</v>
      </c>
      <c r="M107" s="65" t="e">
        <f t="shared" si="27"/>
        <v>#REF!</v>
      </c>
      <c r="O107" s="14">
        <f t="shared" si="38"/>
        <v>29</v>
      </c>
      <c r="P107" s="54">
        <f t="shared" si="39"/>
        <v>14979.5</v>
      </c>
      <c r="Q107" s="63">
        <f t="shared" si="40"/>
        <v>5654.6938954071984</v>
      </c>
      <c r="R107" s="63" t="e">
        <f t="shared" si="45"/>
        <v>#REF!</v>
      </c>
      <c r="S107" s="63" t="e">
        <f t="shared" si="41"/>
        <v>#REF!</v>
      </c>
      <c r="T107" s="63"/>
      <c r="U107" s="63">
        <f t="shared" si="42"/>
        <v>-282.73469477035991</v>
      </c>
      <c r="V107" s="77">
        <f t="shared" si="46"/>
        <v>-118.42395833333335</v>
      </c>
      <c r="W107" s="83" t="e">
        <f t="shared" si="31"/>
        <v>#REF!</v>
      </c>
      <c r="X107" s="85" t="e">
        <f t="shared" si="43"/>
        <v>#REF!</v>
      </c>
      <c r="Z107" s="92">
        <f t="shared" si="44"/>
        <v>56843.5</v>
      </c>
      <c r="AA107" s="5">
        <f t="shared" si="32"/>
        <v>0</v>
      </c>
      <c r="AB107" s="92">
        <f t="shared" si="33"/>
        <v>56843.5</v>
      </c>
    </row>
    <row r="108" spans="1:28" ht="14.65" thickBot="1" x14ac:dyDescent="0.5">
      <c r="A108" s="37">
        <f>A107+1</f>
        <v>10</v>
      </c>
      <c r="B108" s="38" t="s">
        <v>28</v>
      </c>
      <c r="C108" s="39"/>
      <c r="D108" s="40"/>
      <c r="E108" s="41"/>
      <c r="F108" s="71" t="e">
        <f>F106/(100%-C107)</f>
        <v>#REF!</v>
      </c>
      <c r="G108" s="72" t="e">
        <f>G106/(100%-C107)</f>
        <v>#REF!</v>
      </c>
      <c r="H108" s="11"/>
      <c r="I108" s="14">
        <f t="shared" si="35"/>
        <v>30</v>
      </c>
      <c r="J108" s="63" t="e">
        <f t="shared" si="48"/>
        <v>#REF!</v>
      </c>
      <c r="K108" s="63" t="e">
        <f t="shared" si="29"/>
        <v>#REF!</v>
      </c>
      <c r="L108" s="63" t="e">
        <f t="shared" si="37"/>
        <v>#REF!</v>
      </c>
      <c r="M108" s="65" t="e">
        <f t="shared" si="27"/>
        <v>#REF!</v>
      </c>
      <c r="O108" s="14">
        <f t="shared" si="38"/>
        <v>30</v>
      </c>
      <c r="P108" s="54">
        <f t="shared" si="39"/>
        <v>15499.625</v>
      </c>
      <c r="Q108" s="63">
        <f t="shared" si="40"/>
        <v>5654.6938954071984</v>
      </c>
      <c r="R108" s="63" t="e">
        <f t="shared" si="45"/>
        <v>#REF!</v>
      </c>
      <c r="S108" s="63" t="e">
        <f t="shared" si="41"/>
        <v>#REF!</v>
      </c>
      <c r="T108" s="63" t="e">
        <f>-T128*0.5</f>
        <v>#REF!</v>
      </c>
      <c r="U108" s="63">
        <f t="shared" si="42"/>
        <v>-282.73469477035991</v>
      </c>
      <c r="V108" s="77">
        <f t="shared" si="46"/>
        <v>-114.67708333333333</v>
      </c>
      <c r="W108" s="83" t="e">
        <f t="shared" si="31"/>
        <v>#REF!</v>
      </c>
      <c r="X108" s="85" t="e">
        <f t="shared" si="43"/>
        <v>#REF!</v>
      </c>
      <c r="Z108" s="92">
        <f t="shared" si="44"/>
        <v>55045</v>
      </c>
      <c r="AA108" s="5">
        <f t="shared" si="32"/>
        <v>0</v>
      </c>
      <c r="AB108" s="92">
        <f t="shared" si="33"/>
        <v>55045</v>
      </c>
    </row>
    <row r="109" spans="1:28" x14ac:dyDescent="0.45">
      <c r="C109" s="11"/>
      <c r="D109" s="11"/>
      <c r="E109" s="11"/>
      <c r="F109" s="11"/>
      <c r="G109" s="11"/>
      <c r="H109" s="11"/>
      <c r="I109" s="14">
        <f t="shared" si="35"/>
        <v>31</v>
      </c>
      <c r="J109" s="63" t="e">
        <f t="shared" si="48"/>
        <v>#REF!</v>
      </c>
      <c r="K109" s="63" t="e">
        <f t="shared" si="29"/>
        <v>#REF!</v>
      </c>
      <c r="L109" s="63" t="e">
        <f t="shared" si="37"/>
        <v>#REF!</v>
      </c>
      <c r="M109" s="65" t="e">
        <f t="shared" si="27"/>
        <v>#REF!</v>
      </c>
      <c r="O109" s="14">
        <f t="shared" si="38"/>
        <v>31</v>
      </c>
      <c r="P109" s="54">
        <f t="shared" si="39"/>
        <v>16019.75</v>
      </c>
      <c r="Q109" s="63">
        <f t="shared" si="40"/>
        <v>5654.6938954071984</v>
      </c>
      <c r="R109" s="63" t="e">
        <f t="shared" si="45"/>
        <v>#REF!</v>
      </c>
      <c r="S109" s="63" t="e">
        <f t="shared" si="41"/>
        <v>#REF!</v>
      </c>
      <c r="T109" s="63"/>
      <c r="U109" s="63">
        <f t="shared" si="42"/>
        <v>-282.73469477035991</v>
      </c>
      <c r="V109" s="77">
        <f t="shared" si="46"/>
        <v>-110.93020833333334</v>
      </c>
      <c r="W109" s="83" t="e">
        <f t="shared" si="31"/>
        <v>#REF!</v>
      </c>
      <c r="X109" s="85" t="e">
        <f t="shared" si="43"/>
        <v>#REF!</v>
      </c>
      <c r="Z109" s="92">
        <f t="shared" si="44"/>
        <v>53246.5</v>
      </c>
      <c r="AA109" s="5">
        <f t="shared" si="32"/>
        <v>0</v>
      </c>
      <c r="AB109" s="92">
        <f t="shared" si="33"/>
        <v>53246.5</v>
      </c>
    </row>
    <row r="110" spans="1:28" x14ac:dyDescent="0.45">
      <c r="C110" s="11"/>
      <c r="D110" s="11"/>
      <c r="E110" s="11"/>
      <c r="F110" s="11"/>
      <c r="G110" s="11"/>
      <c r="H110" s="11"/>
      <c r="I110" s="14">
        <f t="shared" si="35"/>
        <v>32</v>
      </c>
      <c r="J110" s="63" t="e">
        <f t="shared" si="48"/>
        <v>#REF!</v>
      </c>
      <c r="K110" s="63" t="e">
        <f t="shared" si="29"/>
        <v>#REF!</v>
      </c>
      <c r="L110" s="63" t="e">
        <f t="shared" si="37"/>
        <v>#REF!</v>
      </c>
      <c r="M110" s="65" t="e">
        <f t="shared" si="27"/>
        <v>#REF!</v>
      </c>
      <c r="O110" s="14">
        <f t="shared" si="38"/>
        <v>32</v>
      </c>
      <c r="P110" s="54">
        <f t="shared" si="39"/>
        <v>16539.875</v>
      </c>
      <c r="Q110" s="63">
        <f t="shared" si="40"/>
        <v>5654.6938954071984</v>
      </c>
      <c r="R110" s="63" t="e">
        <f t="shared" si="45"/>
        <v>#REF!</v>
      </c>
      <c r="S110" s="63" t="e">
        <f t="shared" si="41"/>
        <v>#REF!</v>
      </c>
      <c r="T110" s="63"/>
      <c r="U110" s="63">
        <f t="shared" si="42"/>
        <v>-282.73469477035991</v>
      </c>
      <c r="V110" s="77">
        <f t="shared" si="46"/>
        <v>-107.18333333333334</v>
      </c>
      <c r="W110" s="83" t="e">
        <f t="shared" si="31"/>
        <v>#REF!</v>
      </c>
      <c r="X110" s="85" t="e">
        <f t="shared" si="43"/>
        <v>#REF!</v>
      </c>
      <c r="Z110" s="92">
        <f t="shared" si="44"/>
        <v>51448</v>
      </c>
      <c r="AA110" s="5">
        <f t="shared" si="32"/>
        <v>0</v>
      </c>
      <c r="AB110" s="92">
        <f t="shared" si="33"/>
        <v>51448</v>
      </c>
    </row>
    <row r="111" spans="1:28" x14ac:dyDescent="0.45">
      <c r="C111" s="11"/>
      <c r="D111" s="11"/>
      <c r="E111" s="11"/>
      <c r="F111" s="11"/>
      <c r="G111" s="11"/>
      <c r="H111" s="11"/>
      <c r="I111" s="14">
        <f t="shared" si="35"/>
        <v>33</v>
      </c>
      <c r="J111" s="63" t="e">
        <f t="shared" si="48"/>
        <v>#REF!</v>
      </c>
      <c r="K111" s="63" t="e">
        <f t="shared" si="29"/>
        <v>#REF!</v>
      </c>
      <c r="L111" s="63" t="e">
        <f t="shared" si="37"/>
        <v>#REF!</v>
      </c>
      <c r="M111" s="65" t="e">
        <f t="shared" si="27"/>
        <v>#REF!</v>
      </c>
      <c r="O111" s="14">
        <f t="shared" si="38"/>
        <v>33</v>
      </c>
      <c r="P111" s="54">
        <f t="shared" si="39"/>
        <v>17060</v>
      </c>
      <c r="Q111" s="63">
        <f t="shared" si="40"/>
        <v>5654.6938954071984</v>
      </c>
      <c r="R111" s="63" t="e">
        <f t="shared" si="45"/>
        <v>#REF!</v>
      </c>
      <c r="S111" s="63" t="e">
        <f t="shared" si="41"/>
        <v>#REF!</v>
      </c>
      <c r="T111" s="63"/>
      <c r="U111" s="63">
        <f t="shared" si="42"/>
        <v>-282.73469477035991</v>
      </c>
      <c r="V111" s="77">
        <f t="shared" si="46"/>
        <v>-103.43645833333335</v>
      </c>
      <c r="W111" s="83" t="e">
        <f t="shared" si="31"/>
        <v>#REF!</v>
      </c>
      <c r="X111" s="85" t="e">
        <f t="shared" si="43"/>
        <v>#REF!</v>
      </c>
      <c r="Z111" s="92">
        <f t="shared" si="44"/>
        <v>49649.5</v>
      </c>
      <c r="AA111" s="5">
        <f t="shared" si="32"/>
        <v>0</v>
      </c>
      <c r="AB111" s="92">
        <f t="shared" si="33"/>
        <v>49649.5</v>
      </c>
    </row>
    <row r="112" spans="1:28" ht="14.65" thickBot="1" x14ac:dyDescent="0.5">
      <c r="C112" s="11"/>
      <c r="D112" s="11"/>
      <c r="E112" s="11"/>
      <c r="F112" s="11"/>
      <c r="G112" s="11"/>
      <c r="H112" s="11"/>
      <c r="I112" s="14">
        <f t="shared" si="35"/>
        <v>34</v>
      </c>
      <c r="J112" s="63" t="e">
        <f t="shared" si="48"/>
        <v>#REF!</v>
      </c>
      <c r="K112" s="63" t="e">
        <f t="shared" si="29"/>
        <v>#REF!</v>
      </c>
      <c r="L112" s="63" t="e">
        <f t="shared" si="37"/>
        <v>#REF!</v>
      </c>
      <c r="M112" s="65" t="e">
        <f t="shared" si="27"/>
        <v>#REF!</v>
      </c>
      <c r="O112" s="14">
        <f t="shared" si="38"/>
        <v>34</v>
      </c>
      <c r="P112" s="54">
        <f t="shared" si="39"/>
        <v>17580.125</v>
      </c>
      <c r="Q112" s="63">
        <f t="shared" si="40"/>
        <v>5654.6938954071984</v>
      </c>
      <c r="R112" s="63" t="e">
        <f t="shared" si="45"/>
        <v>#REF!</v>
      </c>
      <c r="S112" s="63" t="e">
        <f t="shared" si="41"/>
        <v>#REF!</v>
      </c>
      <c r="T112" s="63"/>
      <c r="U112" s="63">
        <f t="shared" si="42"/>
        <v>-282.73469477035991</v>
      </c>
      <c r="V112" s="77">
        <f t="shared" si="46"/>
        <v>-99.689583333333346</v>
      </c>
      <c r="W112" s="83" t="e">
        <f t="shared" si="31"/>
        <v>#REF!</v>
      </c>
      <c r="X112" s="85" t="e">
        <f t="shared" si="43"/>
        <v>#REF!</v>
      </c>
      <c r="Z112" s="92">
        <f t="shared" si="44"/>
        <v>47851</v>
      </c>
      <c r="AA112" s="5">
        <f t="shared" si="32"/>
        <v>0</v>
      </c>
      <c r="AB112" s="92">
        <f t="shared" si="33"/>
        <v>47851</v>
      </c>
    </row>
    <row r="113" spans="1:28" ht="31.15" thickBot="1" x14ac:dyDescent="0.5">
      <c r="A113" s="667" t="s">
        <v>29</v>
      </c>
      <c r="B113" s="668"/>
      <c r="C113" s="668"/>
      <c r="D113" s="668"/>
      <c r="E113" s="668"/>
      <c r="F113" s="668"/>
      <c r="G113" s="669"/>
      <c r="H113" s="11"/>
      <c r="I113" s="14">
        <f t="shared" si="35"/>
        <v>35</v>
      </c>
      <c r="J113" s="63" t="e">
        <f t="shared" si="48"/>
        <v>#REF!</v>
      </c>
      <c r="K113" s="63" t="e">
        <f t="shared" si="29"/>
        <v>#REF!</v>
      </c>
      <c r="L113" s="63" t="e">
        <f t="shared" si="37"/>
        <v>#REF!</v>
      </c>
      <c r="M113" s="65" t="e">
        <f t="shared" si="27"/>
        <v>#REF!</v>
      </c>
      <c r="O113" s="14">
        <f t="shared" si="38"/>
        <v>35</v>
      </c>
      <c r="P113" s="54">
        <f t="shared" si="39"/>
        <v>18100.25</v>
      </c>
      <c r="Q113" s="63">
        <f t="shared" si="40"/>
        <v>5654.6938954071984</v>
      </c>
      <c r="R113" s="63" t="e">
        <f t="shared" si="45"/>
        <v>#REF!</v>
      </c>
      <c r="S113" s="63" t="e">
        <f t="shared" si="41"/>
        <v>#REF!</v>
      </c>
      <c r="T113" s="63"/>
      <c r="U113" s="63">
        <f t="shared" si="42"/>
        <v>-282.73469477035991</v>
      </c>
      <c r="V113" s="77">
        <f t="shared" si="46"/>
        <v>-95.942708333333329</v>
      </c>
      <c r="W113" s="83" t="e">
        <f t="shared" si="31"/>
        <v>#REF!</v>
      </c>
      <c r="X113" s="85" t="e">
        <f t="shared" si="43"/>
        <v>#REF!</v>
      </c>
      <c r="Z113" s="92">
        <f t="shared" si="44"/>
        <v>46052.5</v>
      </c>
      <c r="AA113" s="5">
        <f t="shared" si="32"/>
        <v>0</v>
      </c>
      <c r="AB113" s="92">
        <f t="shared" si="33"/>
        <v>46052.5</v>
      </c>
    </row>
    <row r="114" spans="1:28" ht="18" x14ac:dyDescent="0.45">
      <c r="A114" s="35">
        <v>1</v>
      </c>
      <c r="B114" s="670" t="s">
        <v>30</v>
      </c>
      <c r="C114" s="671"/>
      <c r="D114" s="671"/>
      <c r="E114" s="672"/>
      <c r="F114" s="73" t="e">
        <f>F108/C84/C86</f>
        <v>#REF!</v>
      </c>
      <c r="G114" s="74" t="e">
        <f>G108/C85/C86</f>
        <v>#REF!</v>
      </c>
      <c r="H114" s="11"/>
      <c r="I114" s="20">
        <f t="shared" si="35"/>
        <v>36</v>
      </c>
      <c r="J114" s="79" t="e">
        <f t="shared" si="48"/>
        <v>#REF!</v>
      </c>
      <c r="K114" s="79" t="e">
        <f t="shared" si="29"/>
        <v>#REF!</v>
      </c>
      <c r="L114" s="79" t="e">
        <f>L113</f>
        <v>#REF!</v>
      </c>
      <c r="M114" s="80" t="e">
        <f t="shared" si="27"/>
        <v>#REF!</v>
      </c>
      <c r="O114" s="20">
        <f t="shared" si="38"/>
        <v>36</v>
      </c>
      <c r="P114" s="54">
        <f t="shared" si="39"/>
        <v>18620.375</v>
      </c>
      <c r="Q114" s="63">
        <f t="shared" si="40"/>
        <v>5654.6938954071984</v>
      </c>
      <c r="R114" s="63" t="e">
        <f t="shared" si="45"/>
        <v>#REF!</v>
      </c>
      <c r="S114" s="63" t="e">
        <f t="shared" si="41"/>
        <v>#REF!</v>
      </c>
      <c r="T114" s="63"/>
      <c r="U114" s="63">
        <f t="shared" si="42"/>
        <v>-282.73469477035991</v>
      </c>
      <c r="V114" s="77">
        <f t="shared" si="46"/>
        <v>-92.19583333333334</v>
      </c>
      <c r="W114" s="83" t="e">
        <f t="shared" si="31"/>
        <v>#REF!</v>
      </c>
      <c r="X114" s="85" t="e">
        <f t="shared" si="43"/>
        <v>#REF!</v>
      </c>
      <c r="Z114" s="92">
        <f t="shared" si="44"/>
        <v>44254</v>
      </c>
      <c r="AA114" s="5">
        <f t="shared" si="32"/>
        <v>0</v>
      </c>
      <c r="AB114" s="92">
        <f t="shared" si="33"/>
        <v>44254</v>
      </c>
    </row>
    <row r="115" spans="1:28" ht="18.399999999999999" thickBot="1" x14ac:dyDescent="0.5">
      <c r="A115" s="36">
        <f>A114+1</f>
        <v>2</v>
      </c>
      <c r="B115" s="673" t="s">
        <v>31</v>
      </c>
      <c r="C115" s="674"/>
      <c r="D115" s="674"/>
      <c r="E115" s="675"/>
      <c r="F115" s="75"/>
      <c r="G115" s="76" t="e">
        <f>(G108+F108)/C85/C86</f>
        <v>#REF!</v>
      </c>
      <c r="H115" s="11"/>
      <c r="I115" s="20">
        <f t="shared" si="35"/>
        <v>37</v>
      </c>
      <c r="J115" s="79" t="e">
        <f t="shared" si="48"/>
        <v>#REF!</v>
      </c>
      <c r="K115" s="79" t="e">
        <f t="shared" si="29"/>
        <v>#REF!</v>
      </c>
      <c r="L115" s="79" t="e">
        <f t="shared" ref="L115:L125" si="51">L114</f>
        <v>#REF!</v>
      </c>
      <c r="M115" s="80" t="e">
        <f t="shared" si="27"/>
        <v>#REF!</v>
      </c>
      <c r="O115" s="20">
        <f t="shared" si="38"/>
        <v>37</v>
      </c>
      <c r="P115" s="54">
        <f t="shared" si="39"/>
        <v>19140.5</v>
      </c>
      <c r="Q115" s="63">
        <f t="shared" si="40"/>
        <v>5654.6938954071984</v>
      </c>
      <c r="R115" s="63" t="e">
        <f t="shared" si="45"/>
        <v>#REF!</v>
      </c>
      <c r="S115" s="63" t="e">
        <f t="shared" si="41"/>
        <v>#REF!</v>
      </c>
      <c r="T115" s="63"/>
      <c r="U115" s="63">
        <f t="shared" si="42"/>
        <v>-282.73469477035991</v>
      </c>
      <c r="V115" s="77">
        <f t="shared" si="46"/>
        <v>-88.448958333333337</v>
      </c>
      <c r="W115" s="83" t="e">
        <f t="shared" si="31"/>
        <v>#REF!</v>
      </c>
      <c r="X115" s="85" t="e">
        <f t="shared" si="43"/>
        <v>#REF!</v>
      </c>
      <c r="Z115" s="92">
        <f t="shared" si="44"/>
        <v>42455.5</v>
      </c>
      <c r="AA115" s="5">
        <f t="shared" si="32"/>
        <v>0</v>
      </c>
      <c r="AB115" s="92">
        <f t="shared" si="33"/>
        <v>42455.5</v>
      </c>
    </row>
    <row r="116" spans="1:28" x14ac:dyDescent="0.45">
      <c r="I116" s="20">
        <f t="shared" si="35"/>
        <v>38</v>
      </c>
      <c r="J116" s="79" t="e">
        <f t="shared" si="48"/>
        <v>#REF!</v>
      </c>
      <c r="K116" s="79" t="e">
        <f t="shared" si="29"/>
        <v>#REF!</v>
      </c>
      <c r="L116" s="79" t="e">
        <f t="shared" si="51"/>
        <v>#REF!</v>
      </c>
      <c r="M116" s="80" t="e">
        <f t="shared" si="27"/>
        <v>#REF!</v>
      </c>
      <c r="O116" s="20">
        <f t="shared" si="38"/>
        <v>38</v>
      </c>
      <c r="P116" s="54">
        <f t="shared" si="39"/>
        <v>19660.625</v>
      </c>
      <c r="Q116" s="63">
        <f t="shared" si="40"/>
        <v>5654.6938954071984</v>
      </c>
      <c r="R116" s="63" t="e">
        <f t="shared" si="45"/>
        <v>#REF!</v>
      </c>
      <c r="S116" s="63" t="e">
        <f t="shared" si="41"/>
        <v>#REF!</v>
      </c>
      <c r="T116" s="63"/>
      <c r="U116" s="63">
        <f t="shared" si="42"/>
        <v>-282.73469477035991</v>
      </c>
      <c r="V116" s="77">
        <f t="shared" si="46"/>
        <v>-84.702083333333334</v>
      </c>
      <c r="W116" s="83" t="e">
        <f t="shared" si="31"/>
        <v>#REF!</v>
      </c>
      <c r="X116" s="85" t="e">
        <f t="shared" si="43"/>
        <v>#REF!</v>
      </c>
      <c r="Z116" s="92">
        <f t="shared" si="44"/>
        <v>40657</v>
      </c>
      <c r="AA116" s="5">
        <f t="shared" si="32"/>
        <v>0</v>
      </c>
      <c r="AB116" s="92">
        <f t="shared" si="33"/>
        <v>40657</v>
      </c>
    </row>
    <row r="117" spans="1:28" x14ac:dyDescent="0.45">
      <c r="I117" s="20">
        <f t="shared" si="35"/>
        <v>39</v>
      </c>
      <c r="J117" s="79" t="e">
        <f t="shared" si="48"/>
        <v>#REF!</v>
      </c>
      <c r="K117" s="79" t="e">
        <f t="shared" si="29"/>
        <v>#REF!</v>
      </c>
      <c r="L117" s="79" t="e">
        <f t="shared" si="51"/>
        <v>#REF!</v>
      </c>
      <c r="M117" s="80" t="e">
        <f t="shared" si="27"/>
        <v>#REF!</v>
      </c>
      <c r="O117" s="20">
        <f t="shared" si="38"/>
        <v>39</v>
      </c>
      <c r="P117" s="54">
        <f t="shared" si="39"/>
        <v>20180.75</v>
      </c>
      <c r="Q117" s="63">
        <f t="shared" si="40"/>
        <v>5654.6938954071984</v>
      </c>
      <c r="R117" s="63" t="e">
        <f t="shared" si="45"/>
        <v>#REF!</v>
      </c>
      <c r="S117" s="63" t="e">
        <f t="shared" si="41"/>
        <v>#REF!</v>
      </c>
      <c r="T117" s="63"/>
      <c r="U117" s="63">
        <f t="shared" si="42"/>
        <v>-282.73469477035991</v>
      </c>
      <c r="V117" s="77">
        <f t="shared" si="46"/>
        <v>-80.955208333333346</v>
      </c>
      <c r="W117" s="83" t="e">
        <f t="shared" si="31"/>
        <v>#REF!</v>
      </c>
      <c r="X117" s="85" t="e">
        <f t="shared" si="43"/>
        <v>#REF!</v>
      </c>
      <c r="Z117" s="92">
        <f t="shared" si="44"/>
        <v>38858.5</v>
      </c>
      <c r="AA117" s="5">
        <f t="shared" si="32"/>
        <v>0</v>
      </c>
      <c r="AB117" s="92">
        <f t="shared" si="33"/>
        <v>38858.5</v>
      </c>
    </row>
    <row r="118" spans="1:28" x14ac:dyDescent="0.45">
      <c r="I118" s="20">
        <f t="shared" si="35"/>
        <v>40</v>
      </c>
      <c r="J118" s="79" t="e">
        <f t="shared" si="48"/>
        <v>#REF!</v>
      </c>
      <c r="K118" s="79" t="e">
        <f t="shared" si="29"/>
        <v>#REF!</v>
      </c>
      <c r="L118" s="79" t="e">
        <f t="shared" si="51"/>
        <v>#REF!</v>
      </c>
      <c r="M118" s="80" t="e">
        <f t="shared" si="27"/>
        <v>#REF!</v>
      </c>
      <c r="O118" s="20">
        <f t="shared" si="38"/>
        <v>40</v>
      </c>
      <c r="P118" s="54">
        <f t="shared" si="39"/>
        <v>20700.875</v>
      </c>
      <c r="Q118" s="63">
        <f t="shared" si="40"/>
        <v>5654.6938954071984</v>
      </c>
      <c r="R118" s="63" t="e">
        <f t="shared" si="45"/>
        <v>#REF!</v>
      </c>
      <c r="S118" s="63" t="e">
        <f t="shared" si="41"/>
        <v>#REF!</v>
      </c>
      <c r="T118" s="63"/>
      <c r="U118" s="63">
        <f t="shared" si="42"/>
        <v>-282.73469477035991</v>
      </c>
      <c r="V118" s="77">
        <f t="shared" si="46"/>
        <v>-77.208333333333329</v>
      </c>
      <c r="W118" s="83" t="e">
        <f t="shared" si="31"/>
        <v>#REF!</v>
      </c>
      <c r="X118" s="85" t="e">
        <f t="shared" si="43"/>
        <v>#REF!</v>
      </c>
      <c r="Z118" s="92">
        <f t="shared" si="44"/>
        <v>37060</v>
      </c>
      <c r="AA118" s="5">
        <f t="shared" si="32"/>
        <v>0</v>
      </c>
      <c r="AB118" s="92">
        <f t="shared" si="33"/>
        <v>37060</v>
      </c>
    </row>
    <row r="119" spans="1:28" x14ac:dyDescent="0.45">
      <c r="I119" s="20">
        <f t="shared" si="35"/>
        <v>41</v>
      </c>
      <c r="J119" s="79" t="e">
        <f t="shared" si="48"/>
        <v>#REF!</v>
      </c>
      <c r="K119" s="79" t="e">
        <f t="shared" si="29"/>
        <v>#REF!</v>
      </c>
      <c r="L119" s="79" t="e">
        <f t="shared" si="51"/>
        <v>#REF!</v>
      </c>
      <c r="M119" s="80" t="e">
        <f t="shared" si="27"/>
        <v>#REF!</v>
      </c>
      <c r="O119" s="20">
        <f t="shared" si="38"/>
        <v>41</v>
      </c>
      <c r="P119" s="54">
        <f t="shared" si="39"/>
        <v>21221</v>
      </c>
      <c r="Q119" s="63">
        <f t="shared" si="40"/>
        <v>5654.6938954071984</v>
      </c>
      <c r="R119" s="63" t="e">
        <f t="shared" si="45"/>
        <v>#REF!</v>
      </c>
      <c r="S119" s="63" t="e">
        <f t="shared" si="41"/>
        <v>#REF!</v>
      </c>
      <c r="T119" s="63"/>
      <c r="U119" s="63">
        <f t="shared" si="42"/>
        <v>-282.73469477035991</v>
      </c>
      <c r="V119" s="77">
        <f t="shared" si="46"/>
        <v>-73.46145833333334</v>
      </c>
      <c r="W119" s="83" t="e">
        <f t="shared" si="31"/>
        <v>#REF!</v>
      </c>
      <c r="X119" s="85" t="e">
        <f t="shared" si="43"/>
        <v>#REF!</v>
      </c>
      <c r="Z119" s="92">
        <f t="shared" si="44"/>
        <v>35261.5</v>
      </c>
      <c r="AA119" s="5">
        <f t="shared" si="32"/>
        <v>0</v>
      </c>
      <c r="AB119" s="92">
        <f t="shared" si="33"/>
        <v>35261.5</v>
      </c>
    </row>
    <row r="120" spans="1:28" x14ac:dyDescent="0.45">
      <c r="I120" s="20">
        <f t="shared" si="35"/>
        <v>42</v>
      </c>
      <c r="J120" s="79" t="e">
        <f t="shared" si="48"/>
        <v>#REF!</v>
      </c>
      <c r="K120" s="79" t="e">
        <f t="shared" si="29"/>
        <v>#REF!</v>
      </c>
      <c r="L120" s="79" t="e">
        <f t="shared" si="51"/>
        <v>#REF!</v>
      </c>
      <c r="M120" s="80" t="e">
        <f t="shared" si="27"/>
        <v>#REF!</v>
      </c>
      <c r="O120" s="20">
        <f t="shared" si="38"/>
        <v>42</v>
      </c>
      <c r="P120" s="54">
        <f t="shared" si="39"/>
        <v>21741.125</v>
      </c>
      <c r="Q120" s="63">
        <f t="shared" si="40"/>
        <v>5654.6938954071984</v>
      </c>
      <c r="R120" s="63" t="e">
        <f t="shared" si="45"/>
        <v>#REF!</v>
      </c>
      <c r="S120" s="63" t="e">
        <f t="shared" si="41"/>
        <v>#REF!</v>
      </c>
      <c r="T120" s="63"/>
      <c r="U120" s="63">
        <f t="shared" si="42"/>
        <v>-282.73469477035991</v>
      </c>
      <c r="V120" s="77">
        <f t="shared" si="46"/>
        <v>-69.714583333333337</v>
      </c>
      <c r="W120" s="83" t="e">
        <f t="shared" si="31"/>
        <v>#REF!</v>
      </c>
      <c r="X120" s="85" t="e">
        <f t="shared" si="43"/>
        <v>#REF!</v>
      </c>
      <c r="Z120" s="92">
        <f t="shared" si="44"/>
        <v>33463</v>
      </c>
      <c r="AA120" s="5">
        <f t="shared" si="32"/>
        <v>0</v>
      </c>
      <c r="AB120" s="92">
        <f t="shared" si="33"/>
        <v>33463</v>
      </c>
    </row>
    <row r="121" spans="1:28" x14ac:dyDescent="0.45">
      <c r="I121" s="20">
        <f t="shared" si="35"/>
        <v>43</v>
      </c>
      <c r="J121" s="79" t="e">
        <f t="shared" si="48"/>
        <v>#REF!</v>
      </c>
      <c r="K121" s="79" t="e">
        <f t="shared" si="29"/>
        <v>#REF!</v>
      </c>
      <c r="L121" s="79" t="e">
        <f t="shared" si="51"/>
        <v>#REF!</v>
      </c>
      <c r="M121" s="80" t="e">
        <f t="shared" si="27"/>
        <v>#REF!</v>
      </c>
      <c r="O121" s="20">
        <f t="shared" si="38"/>
        <v>43</v>
      </c>
      <c r="P121" s="54">
        <f t="shared" si="39"/>
        <v>22261.25</v>
      </c>
      <c r="Q121" s="63">
        <f t="shared" si="40"/>
        <v>5654.6938954071984</v>
      </c>
      <c r="R121" s="63" t="e">
        <f t="shared" si="45"/>
        <v>#REF!</v>
      </c>
      <c r="S121" s="63" t="e">
        <f t="shared" si="41"/>
        <v>#REF!</v>
      </c>
      <c r="T121" s="63"/>
      <c r="U121" s="63">
        <f t="shared" si="42"/>
        <v>-282.73469477035991</v>
      </c>
      <c r="V121" s="77">
        <f t="shared" si="46"/>
        <v>-65.967708333333334</v>
      </c>
      <c r="W121" s="83" t="e">
        <f t="shared" si="31"/>
        <v>#REF!</v>
      </c>
      <c r="X121" s="85" t="e">
        <f t="shared" si="43"/>
        <v>#REF!</v>
      </c>
      <c r="Z121" s="92">
        <f t="shared" si="44"/>
        <v>31664.5</v>
      </c>
      <c r="AA121" s="5">
        <f t="shared" si="32"/>
        <v>0</v>
      </c>
      <c r="AB121" s="92">
        <f t="shared" si="33"/>
        <v>31664.5</v>
      </c>
    </row>
    <row r="122" spans="1:28" x14ac:dyDescent="0.45">
      <c r="I122" s="20">
        <f t="shared" si="35"/>
        <v>44</v>
      </c>
      <c r="J122" s="79" t="e">
        <f t="shared" si="48"/>
        <v>#REF!</v>
      </c>
      <c r="K122" s="79" t="e">
        <f t="shared" si="29"/>
        <v>#REF!</v>
      </c>
      <c r="L122" s="79" t="e">
        <f t="shared" si="51"/>
        <v>#REF!</v>
      </c>
      <c r="M122" s="80" t="e">
        <f t="shared" si="27"/>
        <v>#REF!</v>
      </c>
      <c r="O122" s="20">
        <f t="shared" si="38"/>
        <v>44</v>
      </c>
      <c r="P122" s="54">
        <f t="shared" si="39"/>
        <v>22781.375</v>
      </c>
      <c r="Q122" s="63">
        <f t="shared" si="40"/>
        <v>5654.6938954071984</v>
      </c>
      <c r="R122" s="63" t="e">
        <f t="shared" si="45"/>
        <v>#REF!</v>
      </c>
      <c r="S122" s="63" t="e">
        <f t="shared" si="41"/>
        <v>#REF!</v>
      </c>
      <c r="T122" s="63"/>
      <c r="U122" s="63">
        <f t="shared" si="42"/>
        <v>-282.73469477035991</v>
      </c>
      <c r="V122" s="77">
        <f t="shared" si="46"/>
        <v>-62.220833333333339</v>
      </c>
      <c r="W122" s="83" t="e">
        <f t="shared" si="31"/>
        <v>#REF!</v>
      </c>
      <c r="X122" s="85" t="e">
        <f t="shared" si="43"/>
        <v>#REF!</v>
      </c>
      <c r="Z122" s="92">
        <f t="shared" si="44"/>
        <v>29866</v>
      </c>
      <c r="AA122" s="5">
        <f t="shared" si="32"/>
        <v>0</v>
      </c>
      <c r="AB122" s="92">
        <f t="shared" si="33"/>
        <v>29866</v>
      </c>
    </row>
    <row r="123" spans="1:28" x14ac:dyDescent="0.45">
      <c r="I123" s="20">
        <f t="shared" si="35"/>
        <v>45</v>
      </c>
      <c r="J123" s="79" t="e">
        <f t="shared" si="48"/>
        <v>#REF!</v>
      </c>
      <c r="K123" s="79" t="e">
        <f t="shared" si="29"/>
        <v>#REF!</v>
      </c>
      <c r="L123" s="79" t="e">
        <f t="shared" si="51"/>
        <v>#REF!</v>
      </c>
      <c r="M123" s="80" t="e">
        <f t="shared" si="27"/>
        <v>#REF!</v>
      </c>
      <c r="O123" s="20">
        <f t="shared" si="38"/>
        <v>45</v>
      </c>
      <c r="P123" s="54">
        <f t="shared" si="39"/>
        <v>23301.5</v>
      </c>
      <c r="Q123" s="63">
        <f t="shared" si="40"/>
        <v>5654.6938954071984</v>
      </c>
      <c r="R123" s="63" t="e">
        <f t="shared" si="45"/>
        <v>#REF!</v>
      </c>
      <c r="S123" s="63" t="e">
        <f t="shared" si="41"/>
        <v>#REF!</v>
      </c>
      <c r="T123" s="63"/>
      <c r="U123" s="63">
        <f t="shared" si="42"/>
        <v>-282.73469477035991</v>
      </c>
      <c r="V123" s="77">
        <f t="shared" si="46"/>
        <v>-58.473958333333336</v>
      </c>
      <c r="W123" s="83" t="e">
        <f t="shared" si="31"/>
        <v>#REF!</v>
      </c>
      <c r="X123" s="85" t="e">
        <f t="shared" si="43"/>
        <v>#REF!</v>
      </c>
      <c r="Z123" s="92">
        <f t="shared" si="44"/>
        <v>28067.5</v>
      </c>
      <c r="AA123" s="5">
        <f t="shared" si="32"/>
        <v>0</v>
      </c>
      <c r="AB123" s="92">
        <f t="shared" si="33"/>
        <v>28067.5</v>
      </c>
    </row>
    <row r="124" spans="1:28" x14ac:dyDescent="0.45">
      <c r="I124" s="20">
        <f t="shared" si="35"/>
        <v>46</v>
      </c>
      <c r="J124" s="79" t="e">
        <f t="shared" si="48"/>
        <v>#REF!</v>
      </c>
      <c r="K124" s="79" t="e">
        <f t="shared" si="29"/>
        <v>#REF!</v>
      </c>
      <c r="L124" s="79" t="e">
        <f t="shared" si="51"/>
        <v>#REF!</v>
      </c>
      <c r="M124" s="80" t="e">
        <f t="shared" si="27"/>
        <v>#REF!</v>
      </c>
      <c r="O124" s="20">
        <f t="shared" si="38"/>
        <v>46</v>
      </c>
      <c r="P124" s="54">
        <f t="shared" si="39"/>
        <v>23821.625</v>
      </c>
      <c r="Q124" s="63">
        <f t="shared" si="40"/>
        <v>5654.6938954071984</v>
      </c>
      <c r="R124" s="63" t="e">
        <f t="shared" si="45"/>
        <v>#REF!</v>
      </c>
      <c r="S124" s="63" t="e">
        <f t="shared" si="41"/>
        <v>#REF!</v>
      </c>
      <c r="T124" s="63"/>
      <c r="U124" s="63">
        <f t="shared" si="42"/>
        <v>-282.73469477035991</v>
      </c>
      <c r="V124" s="77">
        <f t="shared" si="46"/>
        <v>-54.727083333333333</v>
      </c>
      <c r="W124" s="83" t="e">
        <f t="shared" si="31"/>
        <v>#REF!</v>
      </c>
      <c r="X124" s="85" t="e">
        <f t="shared" si="43"/>
        <v>#REF!</v>
      </c>
      <c r="Z124" s="92">
        <f t="shared" si="44"/>
        <v>26269</v>
      </c>
      <c r="AA124" s="5">
        <f t="shared" si="32"/>
        <v>0</v>
      </c>
      <c r="AB124" s="92">
        <f t="shared" si="33"/>
        <v>26269</v>
      </c>
    </row>
    <row r="125" spans="1:28" x14ac:dyDescent="0.45">
      <c r="I125" s="20">
        <f t="shared" si="35"/>
        <v>47</v>
      </c>
      <c r="J125" s="79" t="e">
        <f t="shared" si="48"/>
        <v>#REF!</v>
      </c>
      <c r="K125" s="79" t="e">
        <f t="shared" si="29"/>
        <v>#REF!</v>
      </c>
      <c r="L125" s="79" t="e">
        <f t="shared" si="51"/>
        <v>#REF!</v>
      </c>
      <c r="M125" s="80" t="e">
        <f t="shared" si="27"/>
        <v>#REF!</v>
      </c>
      <c r="O125" s="20">
        <f t="shared" si="38"/>
        <v>47</v>
      </c>
      <c r="P125" s="54">
        <f t="shared" si="39"/>
        <v>24341.75</v>
      </c>
      <c r="Q125" s="63">
        <f t="shared" si="40"/>
        <v>5654.6938954071984</v>
      </c>
      <c r="R125" s="63" t="e">
        <f t="shared" si="45"/>
        <v>#REF!</v>
      </c>
      <c r="S125" s="63" t="e">
        <f t="shared" si="41"/>
        <v>#REF!</v>
      </c>
      <c r="T125" s="63"/>
      <c r="U125" s="63">
        <f t="shared" si="42"/>
        <v>-282.73469477035991</v>
      </c>
      <c r="V125" s="77">
        <f t="shared" si="46"/>
        <v>-50.980208333333337</v>
      </c>
      <c r="W125" s="83" t="e">
        <f t="shared" si="31"/>
        <v>#REF!</v>
      </c>
      <c r="X125" s="85" t="e">
        <f t="shared" si="43"/>
        <v>#REF!</v>
      </c>
      <c r="Z125" s="92">
        <f t="shared" si="44"/>
        <v>24470.5</v>
      </c>
      <c r="AA125" s="5">
        <f t="shared" si="32"/>
        <v>0</v>
      </c>
      <c r="AB125" s="92">
        <f t="shared" si="33"/>
        <v>24470.5</v>
      </c>
    </row>
    <row r="126" spans="1:28" ht="14.65" thickBot="1" x14ac:dyDescent="0.5">
      <c r="I126" s="20">
        <f t="shared" si="35"/>
        <v>48</v>
      </c>
      <c r="J126" s="79" t="e">
        <f t="shared" si="48"/>
        <v>#REF!</v>
      </c>
      <c r="K126" s="79" t="e">
        <f t="shared" si="29"/>
        <v>#REF!</v>
      </c>
      <c r="L126" s="79" t="e">
        <f>+L129</f>
        <v>#REF!</v>
      </c>
      <c r="M126" s="80" t="e">
        <f t="shared" si="27"/>
        <v>#REF!</v>
      </c>
      <c r="O126" s="20">
        <f t="shared" si="38"/>
        <v>48</v>
      </c>
      <c r="P126" s="54">
        <f t="shared" si="39"/>
        <v>24861.875</v>
      </c>
      <c r="Q126" s="63">
        <f t="shared" si="40"/>
        <v>5654.6938954071984</v>
      </c>
      <c r="R126" s="63" t="e">
        <f t="shared" si="45"/>
        <v>#REF!</v>
      </c>
      <c r="S126" s="63" t="e">
        <f t="shared" si="41"/>
        <v>#REF!</v>
      </c>
      <c r="T126" s="63" t="e">
        <f>-T128*0.5</f>
        <v>#REF!</v>
      </c>
      <c r="U126" s="63">
        <f t="shared" si="42"/>
        <v>-282.73469477035991</v>
      </c>
      <c r="V126" s="77">
        <f t="shared" si="46"/>
        <v>-47.233333333333341</v>
      </c>
      <c r="W126" s="83" t="e">
        <f t="shared" si="31"/>
        <v>#REF!</v>
      </c>
      <c r="X126" s="86" t="e">
        <f t="shared" si="43"/>
        <v>#REF!</v>
      </c>
      <c r="Z126" s="92">
        <f t="shared" si="44"/>
        <v>22672</v>
      </c>
      <c r="AA126" s="5">
        <f t="shared" si="32"/>
        <v>0</v>
      </c>
      <c r="AB126" s="92">
        <f t="shared" si="33"/>
        <v>22672</v>
      </c>
    </row>
    <row r="127" spans="1:28" ht="14.65" thickBot="1" x14ac:dyDescent="0.5">
      <c r="I127" s="21" t="s">
        <v>20</v>
      </c>
      <c r="J127" s="69" t="e">
        <f>C79*C83</f>
        <v>#REF!</v>
      </c>
      <c r="K127" s="69" t="e">
        <f>SUM(K79:K126)</f>
        <v>#REF!</v>
      </c>
      <c r="L127" s="81"/>
      <c r="M127" s="82"/>
      <c r="O127" s="58"/>
      <c r="P127" s="59"/>
      <c r="Q127" s="81"/>
      <c r="R127" s="69" t="e">
        <f>SUM(R79:R126)</f>
        <v>#REF!</v>
      </c>
      <c r="S127" s="87" t="e">
        <f>SUM(S79:S126)</f>
        <v>#REF!</v>
      </c>
      <c r="T127" s="87" t="e">
        <f>SUM(T79:T126)</f>
        <v>#REF!</v>
      </c>
      <c r="U127" s="69">
        <f>SUM(U79:U126)</f>
        <v>-13571.26534897726</v>
      </c>
      <c r="V127" s="69">
        <f>SUM(V79:V126)</f>
        <v>-6493.675000000002</v>
      </c>
      <c r="W127" s="88"/>
      <c r="X127" s="82"/>
    </row>
    <row r="128" spans="1:28" x14ac:dyDescent="0.45">
      <c r="Q128" s="89"/>
      <c r="R128" s="89"/>
      <c r="S128" s="90" t="e">
        <f>D103</f>
        <v>#REF!</v>
      </c>
      <c r="T128" s="60" t="e">
        <f>D104</f>
        <v>#REF!</v>
      </c>
      <c r="U128" s="89"/>
      <c r="V128" s="89"/>
      <c r="W128" s="89"/>
      <c r="X128" s="89"/>
    </row>
    <row r="129" spans="12:24" ht="14.65" thickBot="1" x14ac:dyDescent="0.5">
      <c r="L129" s="129" t="e">
        <f>+PMT(C80/12,C84,(C79),,)</f>
        <v>#REF!</v>
      </c>
      <c r="Q129" s="89"/>
      <c r="R129" s="89"/>
      <c r="S129" s="91" t="e">
        <f>S127+S128</f>
        <v>#REF!</v>
      </c>
      <c r="T129" s="66" t="e">
        <f>T127+T128</f>
        <v>#REF!</v>
      </c>
      <c r="U129" s="89"/>
      <c r="V129" s="89"/>
      <c r="W129" s="89"/>
      <c r="X129" s="89"/>
    </row>
  </sheetData>
  <mergeCells count="21">
    <mergeCell ref="B114:E114"/>
    <mergeCell ref="B115:E115"/>
    <mergeCell ref="A77:C77"/>
    <mergeCell ref="I77:M77"/>
    <mergeCell ref="O77:X77"/>
    <mergeCell ref="A88:E88"/>
    <mergeCell ref="A97:G97"/>
    <mergeCell ref="A113:G113"/>
    <mergeCell ref="A75:C75"/>
    <mergeCell ref="D75:X75"/>
    <mergeCell ref="A1:X1"/>
    <mergeCell ref="A3:C3"/>
    <mergeCell ref="D3:X3"/>
    <mergeCell ref="A5:C5"/>
    <mergeCell ref="I5:M5"/>
    <mergeCell ref="O5:X5"/>
    <mergeCell ref="A16:E16"/>
    <mergeCell ref="A25:G25"/>
    <mergeCell ref="A41:G41"/>
    <mergeCell ref="B42:E42"/>
    <mergeCell ref="B43:E43"/>
  </mergeCells>
  <printOptions horizontalCentered="1"/>
  <pageMargins left="0.70866141732283505" right="0.70866141732283505" top="0.74803149606299202" bottom="0.74803149606299202" header="0.31496062992126" footer="0.31496062992126"/>
  <headerFooter>
    <oddHeader>&amp;R&amp;A</oddHeader>
    <oddFooter>&amp;L&amp;D&amp;C&amp;P&amp;R&amp;A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C30F0-8B76-4CA9-9D10-BA17FC217148}">
  <sheetPr>
    <tabColor theme="9" tint="-0.249977111117893"/>
    <pageSetUpPr fitToPage="1"/>
  </sheetPr>
  <dimension ref="A1:AE129"/>
  <sheetViews>
    <sheetView topLeftCell="A5" zoomScale="85" zoomScaleNormal="85" workbookViewId="0">
      <selection activeCell="F10" sqref="F10"/>
    </sheetView>
  </sheetViews>
  <sheetFormatPr defaultColWidth="9.1328125" defaultRowHeight="14.25" x14ac:dyDescent="0.45"/>
  <cols>
    <col min="1" max="1" width="6.265625" style="3" customWidth="1"/>
    <col min="2" max="2" width="18.265625" style="3" bestFit="1" customWidth="1"/>
    <col min="3" max="4" width="15" style="3" bestFit="1" customWidth="1"/>
    <col min="5" max="5" width="14" style="3" bestFit="1" customWidth="1"/>
    <col min="6" max="6" width="17.3984375" style="3" bestFit="1" customWidth="1"/>
    <col min="7" max="7" width="15.1328125" style="3" bestFit="1" customWidth="1"/>
    <col min="8" max="8" width="9.1328125" style="3"/>
    <col min="9" max="9" width="7.3984375" style="3" bestFit="1" customWidth="1"/>
    <col min="10" max="10" width="15" style="3" bestFit="1" customWidth="1"/>
    <col min="11" max="11" width="14" style="3" bestFit="1" customWidth="1"/>
    <col min="12" max="12" width="13.1328125" style="3" bestFit="1" customWidth="1"/>
    <col min="13" max="13" width="15" style="3" bestFit="1" customWidth="1"/>
    <col min="14" max="16" width="9.1328125" style="3"/>
    <col min="17" max="19" width="15.86328125" style="3" bestFit="1" customWidth="1"/>
    <col min="20" max="21" width="14.73046875" style="3" customWidth="1"/>
    <col min="22" max="22" width="13.265625" style="3" bestFit="1" customWidth="1"/>
    <col min="23" max="23" width="14.86328125" style="3" bestFit="1" customWidth="1"/>
    <col min="24" max="24" width="15.1328125" style="3" bestFit="1" customWidth="1"/>
    <col min="25" max="25" width="9.1328125" style="3"/>
    <col min="26" max="26" width="12.73046875" style="3" bestFit="1" customWidth="1"/>
    <col min="27" max="27" width="9.1328125" style="3"/>
    <col min="28" max="29" width="16.265625" style="3" customWidth="1"/>
    <col min="30" max="30" width="16.3984375" style="3" customWidth="1"/>
    <col min="31" max="16384" width="9.1328125" style="3"/>
  </cols>
  <sheetData>
    <row r="1" spans="1:31" ht="62.25" customHeight="1" thickBot="1" x14ac:dyDescent="0.5">
      <c r="A1" s="676">
        <f>+ASSUMPTIONS!B1</f>
        <v>0</v>
      </c>
      <c r="B1" s="677"/>
      <c r="C1" s="677"/>
      <c r="D1" s="677"/>
      <c r="E1" s="677"/>
      <c r="F1" s="677"/>
      <c r="G1" s="677"/>
      <c r="H1" s="677"/>
      <c r="I1" s="677"/>
      <c r="J1" s="677"/>
      <c r="K1" s="677"/>
      <c r="L1" s="677"/>
      <c r="M1" s="677"/>
      <c r="N1" s="677"/>
      <c r="O1" s="677"/>
      <c r="P1" s="677"/>
      <c r="Q1" s="677"/>
      <c r="R1" s="677"/>
      <c r="S1" s="677"/>
      <c r="T1" s="677"/>
      <c r="U1" s="677"/>
      <c r="V1" s="677"/>
      <c r="W1" s="677"/>
      <c r="X1" s="678"/>
    </row>
    <row r="2" spans="1:31" ht="16.149999999999999" thickBot="1" x14ac:dyDescent="0.5">
      <c r="A2" s="308"/>
      <c r="B2" s="308"/>
      <c r="C2" s="309"/>
      <c r="D2" s="309"/>
      <c r="E2" s="309"/>
      <c r="F2" s="309"/>
      <c r="G2" s="309"/>
      <c r="H2" s="309"/>
      <c r="I2" s="310"/>
      <c r="J2" s="309"/>
      <c r="K2" s="309"/>
      <c r="L2" s="309"/>
      <c r="M2" s="309"/>
    </row>
    <row r="3" spans="1:31" ht="32.25" customHeight="1" thickBot="1" x14ac:dyDescent="0.5">
      <c r="A3" s="679" t="str">
        <f>'Summary Equip'!B9</f>
        <v>Ore Truck 50t</v>
      </c>
      <c r="B3" s="680"/>
      <c r="C3" s="681"/>
      <c r="D3" s="682" t="s">
        <v>2</v>
      </c>
      <c r="E3" s="683"/>
      <c r="F3" s="683"/>
      <c r="G3" s="683"/>
      <c r="H3" s="683"/>
      <c r="I3" s="683"/>
      <c r="J3" s="683"/>
      <c r="K3" s="683"/>
      <c r="L3" s="683"/>
      <c r="M3" s="683"/>
      <c r="N3" s="683"/>
      <c r="O3" s="683"/>
      <c r="P3" s="683"/>
      <c r="Q3" s="683"/>
      <c r="R3" s="683"/>
      <c r="S3" s="683"/>
      <c r="T3" s="683"/>
      <c r="U3" s="683"/>
      <c r="V3" s="683"/>
      <c r="W3" s="683"/>
      <c r="X3" s="684"/>
    </row>
    <row r="4" spans="1:31" ht="14.65" thickBot="1" x14ac:dyDescent="0.5">
      <c r="C4" s="11"/>
      <c r="D4" s="11"/>
      <c r="E4" s="11"/>
      <c r="F4" s="11"/>
      <c r="G4" s="11"/>
      <c r="H4" s="11"/>
      <c r="I4" s="12"/>
      <c r="J4" s="11"/>
      <c r="K4" s="11"/>
      <c r="L4" s="11"/>
      <c r="M4" s="11"/>
      <c r="Q4" s="368">
        <f>+'Summary Equip'!AC7</f>
        <v>520.125</v>
      </c>
      <c r="U4" s="57">
        <v>0.05</v>
      </c>
    </row>
    <row r="5" spans="1:31" ht="23.25" customHeight="1" thickBot="1" x14ac:dyDescent="0.5">
      <c r="A5" s="685" t="s">
        <v>9</v>
      </c>
      <c r="B5" s="686"/>
      <c r="C5" s="687"/>
      <c r="D5" s="11"/>
      <c r="E5" s="11"/>
      <c r="F5" s="11"/>
      <c r="G5" s="11"/>
      <c r="H5" s="11"/>
      <c r="I5" s="688" t="s">
        <v>34</v>
      </c>
      <c r="J5" s="689"/>
      <c r="K5" s="689"/>
      <c r="L5" s="689"/>
      <c r="M5" s="690"/>
      <c r="O5" s="688" t="s">
        <v>35</v>
      </c>
      <c r="P5" s="691"/>
      <c r="Q5" s="689"/>
      <c r="R5" s="689"/>
      <c r="S5" s="689"/>
      <c r="T5" s="689"/>
      <c r="U5" s="689"/>
      <c r="V5" s="689"/>
      <c r="W5" s="692"/>
      <c r="X5" s="693"/>
      <c r="AA5" s="145">
        <v>0</v>
      </c>
    </row>
    <row r="6" spans="1:31" ht="28.9" thickBot="1" x14ac:dyDescent="0.5">
      <c r="A6" s="29" t="s">
        <v>0</v>
      </c>
      <c r="B6" s="28" t="s">
        <v>1</v>
      </c>
      <c r="C6" s="50" t="s">
        <v>10</v>
      </c>
      <c r="D6" s="11"/>
      <c r="E6" s="11"/>
      <c r="F6" s="11"/>
      <c r="G6" s="11"/>
      <c r="H6" s="11"/>
      <c r="I6" s="16" t="s">
        <v>15</v>
      </c>
      <c r="J6" s="17" t="s">
        <v>70</v>
      </c>
      <c r="K6" s="17" t="s">
        <v>17</v>
      </c>
      <c r="L6" s="17" t="s">
        <v>18</v>
      </c>
      <c r="M6" s="18" t="s">
        <v>19</v>
      </c>
      <c r="O6" s="16" t="s">
        <v>15</v>
      </c>
      <c r="P6" s="52" t="s">
        <v>39</v>
      </c>
      <c r="Q6" s="17" t="s">
        <v>36</v>
      </c>
      <c r="R6" s="17" t="s">
        <v>37</v>
      </c>
      <c r="S6" s="17" t="s">
        <v>27</v>
      </c>
      <c r="T6" s="17" t="s">
        <v>38</v>
      </c>
      <c r="U6" s="17" t="s">
        <v>7</v>
      </c>
      <c r="V6" s="17" t="s">
        <v>41</v>
      </c>
      <c r="W6" s="18" t="s">
        <v>40</v>
      </c>
      <c r="X6" s="55" t="s">
        <v>42</v>
      </c>
      <c r="Z6" s="5" t="s">
        <v>71</v>
      </c>
      <c r="AA6" s="5" t="s">
        <v>46</v>
      </c>
      <c r="AB6" s="5" t="s">
        <v>47</v>
      </c>
    </row>
    <row r="7" spans="1:31" x14ac:dyDescent="0.45">
      <c r="A7" s="8">
        <v>1</v>
      </c>
      <c r="B7" s="9" t="s">
        <v>11</v>
      </c>
      <c r="C7" s="152">
        <f>+F11*(1+'Summary Equip'!$N$3)</f>
        <v>299250</v>
      </c>
      <c r="D7" s="11"/>
      <c r="E7" s="8" t="s">
        <v>61</v>
      </c>
      <c r="F7" s="150">
        <f>'Summary Equip'!J11</f>
        <v>285000</v>
      </c>
      <c r="G7" s="106"/>
      <c r="H7" s="383">
        <v>1</v>
      </c>
      <c r="I7" s="15">
        <v>1</v>
      </c>
      <c r="J7" s="77">
        <f>C7</f>
        <v>299250</v>
      </c>
      <c r="K7" s="77">
        <f>J7*$C$8*30.44/365.25</f>
        <v>1321.7960574948665</v>
      </c>
      <c r="L7" s="77">
        <f>+L69</f>
        <v>-5688.438842641619</v>
      </c>
      <c r="M7" s="78">
        <f t="shared" ref="M7:M66" si="0">J7+K7+L7</f>
        <v>294883.35721485328</v>
      </c>
      <c r="O7" s="15">
        <v>1</v>
      </c>
      <c r="P7" s="53">
        <f>Q4</f>
        <v>520.125</v>
      </c>
      <c r="Q7" s="77">
        <f>$F$42+($Q$4*$G$42)</f>
        <v>18518.146309092215</v>
      </c>
      <c r="R7" s="77">
        <f>+L7</f>
        <v>-5688.438842641619</v>
      </c>
      <c r="S7" s="77">
        <f>+IF(R7=0,,-S68/C12)</f>
        <v>-2375</v>
      </c>
      <c r="T7" s="77"/>
      <c r="U7" s="77">
        <f>-Q7*U4</f>
        <v>-925.90731545461085</v>
      </c>
      <c r="V7" s="77">
        <f>-(AB7*$C$9/12)</f>
        <v>-583.953125</v>
      </c>
      <c r="W7" s="83">
        <f>SUM(Q7:V7)</f>
        <v>8944.8470259959849</v>
      </c>
      <c r="X7" s="84">
        <f>W7</f>
        <v>8944.8470259959849</v>
      </c>
      <c r="Z7" s="92">
        <f>+$D$27-(($D$27+$D$28)*O7/$B$22)</f>
        <v>280297.5</v>
      </c>
      <c r="AA7" s="5">
        <f>+Z7*$AA$5</f>
        <v>0</v>
      </c>
      <c r="AB7" s="92">
        <f>+Z7+AA7</f>
        <v>280297.5</v>
      </c>
      <c r="AC7" s="132"/>
      <c r="AD7" s="132">
        <f>+S7</f>
        <v>-2375</v>
      </c>
      <c r="AE7" s="3">
        <f>+IF(AD7=0,0,1)</f>
        <v>1</v>
      </c>
    </row>
    <row r="8" spans="1:31" ht="28.5" x14ac:dyDescent="0.45">
      <c r="A8" s="4">
        <f>A7+1</f>
        <v>2</v>
      </c>
      <c r="B8" s="5" t="s">
        <v>3</v>
      </c>
      <c r="C8" s="156">
        <f>+'Summary Equip'!R9</f>
        <v>5.2999999999999999E-2</v>
      </c>
      <c r="D8" s="11"/>
      <c r="E8" s="107" t="s">
        <v>64</v>
      </c>
      <c r="F8" s="311">
        <f>+'Summary Equip'!D9</f>
        <v>0</v>
      </c>
      <c r="G8" s="108"/>
      <c r="H8" s="383">
        <f>+'Summary Equip'!C7</f>
        <v>1</v>
      </c>
      <c r="I8" s="14">
        <f>I7+1</f>
        <v>2</v>
      </c>
      <c r="J8" s="63">
        <f>+IF(M7&lt;0,,M7)</f>
        <v>294883.35721485328</v>
      </c>
      <c r="K8" s="63">
        <f t="shared" ref="K8:K54" si="1">J8*$C$8*30.44/365.25</f>
        <v>1302.5084677942973</v>
      </c>
      <c r="L8" s="63">
        <f>IF(M7&lt;0,,L7)</f>
        <v>-5688.438842641619</v>
      </c>
      <c r="M8" s="65">
        <f t="shared" si="0"/>
        <v>290497.42684000597</v>
      </c>
      <c r="O8" s="14">
        <f>O7+1</f>
        <v>2</v>
      </c>
      <c r="P8" s="54">
        <f>P7+$Q$4</f>
        <v>1040.25</v>
      </c>
      <c r="Q8" s="63">
        <f>$F$42+($Q$4*$G$42)</f>
        <v>18518.146309092215</v>
      </c>
      <c r="R8" s="77">
        <f t="shared" ref="R8:R66" si="2">+L8</f>
        <v>-5688.438842641619</v>
      </c>
      <c r="S8" s="63">
        <f>+IF(R8=0,,S7)</f>
        <v>-2375</v>
      </c>
      <c r="T8" s="63"/>
      <c r="U8" s="63">
        <f>U7</f>
        <v>-925.90731545461085</v>
      </c>
      <c r="V8" s="77">
        <f t="shared" ref="V8:V14" si="3">-(AB8*$C$9/12)</f>
        <v>-574.15625</v>
      </c>
      <c r="W8" s="83">
        <f t="shared" ref="W8:W66" si="4">SUM(Q8:V8)</f>
        <v>8954.6439009959849</v>
      </c>
      <c r="X8" s="85">
        <f>X7+W8</f>
        <v>17899.49092699197</v>
      </c>
      <c r="Z8" s="92">
        <f>+$D$27-(($D$27+$D$28)*O8/$B$22)</f>
        <v>275595</v>
      </c>
      <c r="AA8" s="5">
        <f t="shared" ref="AA8:AA66" si="5">+Z8*$AA$5</f>
        <v>0</v>
      </c>
      <c r="AB8" s="92">
        <f t="shared" ref="AB8:AB66" si="6">+Z8+AA8</f>
        <v>275595</v>
      </c>
      <c r="AD8" s="133">
        <f t="shared" ref="AD8:AD53" si="7">IF(AD7=0,0,IF(+S8+AD7&lt;-$S$72,0,+S8+AD7))</f>
        <v>-4750</v>
      </c>
      <c r="AE8" s="3">
        <f t="shared" ref="AE8:AE66" si="8">+IF(AD8=0,0,1)</f>
        <v>1</v>
      </c>
    </row>
    <row r="9" spans="1:31" x14ac:dyDescent="0.45">
      <c r="A9" s="4">
        <f t="shared" ref="A9:A14" si="9">A8+1</f>
        <v>3</v>
      </c>
      <c r="B9" s="5" t="s">
        <v>4</v>
      </c>
      <c r="C9" s="157">
        <f>+'Summary Equip'!S9</f>
        <v>2.5000000000000001E-2</v>
      </c>
      <c r="D9" s="11"/>
      <c r="E9" s="338" t="s">
        <v>69</v>
      </c>
      <c r="F9" s="339">
        <f>+'Summary Equip'!F11</f>
        <v>14250</v>
      </c>
      <c r="G9" s="110"/>
      <c r="H9" s="383">
        <f>+'Summary Equip'!E7</f>
        <v>1</v>
      </c>
      <c r="I9" s="14">
        <f t="shared" ref="I9:I66" si="10">I8+1</f>
        <v>3</v>
      </c>
      <c r="J9" s="63">
        <f t="shared" ref="J9:J66" si="11">+IF(M8&lt;0,,M8)</f>
        <v>290497.42684000597</v>
      </c>
      <c r="K9" s="63">
        <f t="shared" si="1"/>
        <v>1283.1356842423504</v>
      </c>
      <c r="L9" s="63">
        <f t="shared" ref="L9:L66" si="12">IF(M8&lt;0,,L8)</f>
        <v>-5688.438842641619</v>
      </c>
      <c r="M9" s="65">
        <f t="shared" si="0"/>
        <v>286092.12368160672</v>
      </c>
      <c r="O9" s="14">
        <f t="shared" ref="O9:O66" si="13">O8+1</f>
        <v>3</v>
      </c>
      <c r="P9" s="54">
        <f t="shared" ref="P9:P66" si="14">P8+$Q$4</f>
        <v>1560.375</v>
      </c>
      <c r="Q9" s="63">
        <f t="shared" ref="Q9:Q66" si="15">$F$42+($Q$4*$G$42)</f>
        <v>18518.146309092215</v>
      </c>
      <c r="R9" s="77">
        <f t="shared" si="2"/>
        <v>-5688.438842641619</v>
      </c>
      <c r="S9" s="63">
        <f t="shared" ref="S9:S62" si="16">+S8</f>
        <v>-2375</v>
      </c>
      <c r="T9" s="63"/>
      <c r="U9" s="63">
        <f t="shared" ref="U9:U62" si="17">U8</f>
        <v>-925.90731545461085</v>
      </c>
      <c r="V9" s="77">
        <f t="shared" si="3"/>
        <v>-564.359375</v>
      </c>
      <c r="W9" s="83">
        <f t="shared" si="4"/>
        <v>8964.4407759959849</v>
      </c>
      <c r="X9" s="85">
        <f t="shared" ref="X9:X62" si="18">X8+W9</f>
        <v>26863.931702987953</v>
      </c>
      <c r="Z9" s="92">
        <f t="shared" ref="Z9:Z66" si="19">+$D$27-(($D$27+$D$28)*O9/$B$22)</f>
        <v>270892.5</v>
      </c>
      <c r="AA9" s="5">
        <f t="shared" si="5"/>
        <v>0</v>
      </c>
      <c r="AB9" s="92">
        <f t="shared" si="6"/>
        <v>270892.5</v>
      </c>
      <c r="AD9" s="133">
        <f t="shared" si="7"/>
        <v>-7125</v>
      </c>
      <c r="AE9" s="3">
        <f t="shared" si="8"/>
        <v>1</v>
      </c>
    </row>
    <row r="10" spans="1:31" ht="14.65" thickBot="1" x14ac:dyDescent="0.5">
      <c r="A10" s="4">
        <f t="shared" si="9"/>
        <v>4</v>
      </c>
      <c r="B10" s="5" t="s">
        <v>5</v>
      </c>
      <c r="C10" s="158">
        <f>+'Summary Equip'!T9</f>
        <v>0.05</v>
      </c>
      <c r="D10" s="11"/>
      <c r="E10" s="111" t="s">
        <v>52</v>
      </c>
      <c r="F10" s="312">
        <f>SUM(F7:F8)*G10</f>
        <v>0</v>
      </c>
      <c r="G10" s="151">
        <f>+'Summary Equip'!H9</f>
        <v>0</v>
      </c>
      <c r="H10" s="383">
        <f>+'Summary Equip'!G7</f>
        <v>0</v>
      </c>
      <c r="I10" s="14">
        <f t="shared" si="10"/>
        <v>4</v>
      </c>
      <c r="J10" s="63">
        <f t="shared" si="11"/>
        <v>286092.12368160672</v>
      </c>
      <c r="K10" s="63">
        <f t="shared" si="1"/>
        <v>1263.6773305352765</v>
      </c>
      <c r="L10" s="63">
        <f t="shared" si="12"/>
        <v>-5688.438842641619</v>
      </c>
      <c r="M10" s="65">
        <f t="shared" si="0"/>
        <v>281667.36216950038</v>
      </c>
      <c r="O10" s="14">
        <f t="shared" si="13"/>
        <v>4</v>
      </c>
      <c r="P10" s="54">
        <f t="shared" si="14"/>
        <v>2080.5</v>
      </c>
      <c r="Q10" s="63">
        <f t="shared" si="15"/>
        <v>18518.146309092215</v>
      </c>
      <c r="R10" s="77">
        <f t="shared" si="2"/>
        <v>-5688.438842641619</v>
      </c>
      <c r="S10" s="63">
        <f t="shared" si="16"/>
        <v>-2375</v>
      </c>
      <c r="T10" s="63"/>
      <c r="U10" s="63">
        <f t="shared" si="17"/>
        <v>-925.90731545461085</v>
      </c>
      <c r="V10" s="77">
        <f t="shared" si="3"/>
        <v>-554.5625</v>
      </c>
      <c r="W10" s="83">
        <f t="shared" si="4"/>
        <v>8974.2376509959849</v>
      </c>
      <c r="X10" s="85">
        <f t="shared" si="18"/>
        <v>35838.16935398394</v>
      </c>
      <c r="Z10" s="92">
        <f t="shared" si="19"/>
        <v>266190</v>
      </c>
      <c r="AA10" s="5">
        <f t="shared" si="5"/>
        <v>0</v>
      </c>
      <c r="AB10" s="92">
        <f t="shared" si="6"/>
        <v>266190</v>
      </c>
      <c r="AD10" s="133">
        <f t="shared" si="7"/>
        <v>-9500</v>
      </c>
      <c r="AE10" s="3">
        <f t="shared" si="8"/>
        <v>1</v>
      </c>
    </row>
    <row r="11" spans="1:31" ht="14.65" thickBot="1" x14ac:dyDescent="0.5">
      <c r="A11" s="4">
        <f t="shared" si="9"/>
        <v>5</v>
      </c>
      <c r="B11" s="5" t="s">
        <v>12</v>
      </c>
      <c r="C11" s="159">
        <f>+'Summary Equip'!U9</f>
        <v>0.01</v>
      </c>
      <c r="D11" s="11"/>
      <c r="E11" s="112" t="s">
        <v>28</v>
      </c>
      <c r="F11" s="313">
        <f>SUMPRODUCT(F7:F10,H7:H10)</f>
        <v>299250</v>
      </c>
      <c r="G11" s="113"/>
      <c r="H11" s="11"/>
      <c r="I11" s="14">
        <f t="shared" si="10"/>
        <v>5</v>
      </c>
      <c r="J11" s="63">
        <f t="shared" si="11"/>
        <v>281667.36216950038</v>
      </c>
      <c r="K11" s="63">
        <f t="shared" si="1"/>
        <v>1244.1330287071823</v>
      </c>
      <c r="L11" s="63">
        <f t="shared" si="12"/>
        <v>-5688.438842641619</v>
      </c>
      <c r="M11" s="65">
        <f t="shared" si="0"/>
        <v>277223.05635556596</v>
      </c>
      <c r="O11" s="14">
        <f t="shared" si="13"/>
        <v>5</v>
      </c>
      <c r="P11" s="54">
        <f t="shared" si="14"/>
        <v>2600.625</v>
      </c>
      <c r="Q11" s="63">
        <f t="shared" si="15"/>
        <v>18518.146309092215</v>
      </c>
      <c r="R11" s="77">
        <f t="shared" si="2"/>
        <v>-5688.438842641619</v>
      </c>
      <c r="S11" s="63">
        <f t="shared" si="16"/>
        <v>-2375</v>
      </c>
      <c r="T11" s="63"/>
      <c r="U11" s="63">
        <f t="shared" si="17"/>
        <v>-925.90731545461085</v>
      </c>
      <c r="V11" s="77">
        <f t="shared" si="3"/>
        <v>-544.765625</v>
      </c>
      <c r="W11" s="83">
        <f t="shared" si="4"/>
        <v>8984.0345259959849</v>
      </c>
      <c r="X11" s="85">
        <f t="shared" si="18"/>
        <v>44822.203879979927</v>
      </c>
      <c r="Z11" s="92">
        <f t="shared" si="19"/>
        <v>261487.5</v>
      </c>
      <c r="AA11" s="5">
        <f t="shared" si="5"/>
        <v>0</v>
      </c>
      <c r="AB11" s="92">
        <f t="shared" si="6"/>
        <v>261487.5</v>
      </c>
      <c r="AD11" s="133">
        <f t="shared" si="7"/>
        <v>-11875</v>
      </c>
      <c r="AE11" s="3">
        <f t="shared" si="8"/>
        <v>1</v>
      </c>
    </row>
    <row r="12" spans="1:31" x14ac:dyDescent="0.45">
      <c r="A12" s="4">
        <f t="shared" si="9"/>
        <v>6</v>
      </c>
      <c r="B12" s="5" t="s">
        <v>13</v>
      </c>
      <c r="C12" s="160">
        <f>+'Summary Equip'!V9</f>
        <v>60</v>
      </c>
      <c r="D12" s="11"/>
      <c r="E12" s="11"/>
      <c r="F12" s="11"/>
      <c r="G12" s="11"/>
      <c r="H12" s="11"/>
      <c r="I12" s="14">
        <f t="shared" si="10"/>
        <v>6</v>
      </c>
      <c r="J12" s="63">
        <f t="shared" si="11"/>
        <v>277223.05635556596</v>
      </c>
      <c r="K12" s="63">
        <f t="shared" si="1"/>
        <v>1224.5023991226878</v>
      </c>
      <c r="L12" s="63">
        <f t="shared" si="12"/>
        <v>-5688.438842641619</v>
      </c>
      <c r="M12" s="65">
        <f t="shared" si="0"/>
        <v>272759.11991204706</v>
      </c>
      <c r="O12" s="14">
        <f t="shared" si="13"/>
        <v>6</v>
      </c>
      <c r="P12" s="54">
        <f t="shared" si="14"/>
        <v>3120.75</v>
      </c>
      <c r="Q12" s="63">
        <f t="shared" si="15"/>
        <v>18518.146309092215</v>
      </c>
      <c r="R12" s="77">
        <f t="shared" si="2"/>
        <v>-5688.438842641619</v>
      </c>
      <c r="S12" s="63">
        <f t="shared" si="16"/>
        <v>-2375</v>
      </c>
      <c r="T12" s="63"/>
      <c r="U12" s="63">
        <f t="shared" si="17"/>
        <v>-925.90731545461085</v>
      </c>
      <c r="V12" s="77">
        <f t="shared" si="3"/>
        <v>-534.96875</v>
      </c>
      <c r="W12" s="83">
        <f t="shared" si="4"/>
        <v>8993.8314009959849</v>
      </c>
      <c r="X12" s="85">
        <f t="shared" si="18"/>
        <v>53816.035280975913</v>
      </c>
      <c r="Z12" s="92">
        <f t="shared" si="19"/>
        <v>256785</v>
      </c>
      <c r="AA12" s="5">
        <f t="shared" si="5"/>
        <v>0</v>
      </c>
      <c r="AB12" s="92">
        <f t="shared" si="6"/>
        <v>256785</v>
      </c>
      <c r="AD12" s="133">
        <f t="shared" si="7"/>
        <v>-14250</v>
      </c>
      <c r="AE12" s="3">
        <f t="shared" si="8"/>
        <v>1</v>
      </c>
    </row>
    <row r="13" spans="1:31" x14ac:dyDescent="0.45">
      <c r="A13" s="4">
        <f t="shared" si="9"/>
        <v>7</v>
      </c>
      <c r="B13" s="5" t="s">
        <v>14</v>
      </c>
      <c r="C13" s="161">
        <f>'Summary Equip'!W11</f>
        <v>12000</v>
      </c>
      <c r="D13" s="176">
        <f>+C13*C14</f>
        <v>10800</v>
      </c>
      <c r="E13" s="11"/>
      <c r="F13" s="11"/>
      <c r="G13" s="11"/>
      <c r="H13" s="11"/>
      <c r="I13" s="14">
        <f t="shared" si="10"/>
        <v>7</v>
      </c>
      <c r="J13" s="63">
        <f t="shared" si="11"/>
        <v>272759.11991204706</v>
      </c>
      <c r="K13" s="63">
        <f t="shared" si="1"/>
        <v>1204.7850604695518</v>
      </c>
      <c r="L13" s="63">
        <f t="shared" si="12"/>
        <v>-5688.438842641619</v>
      </c>
      <c r="M13" s="65">
        <f t="shared" si="0"/>
        <v>268275.46612987499</v>
      </c>
      <c r="O13" s="14">
        <f t="shared" si="13"/>
        <v>7</v>
      </c>
      <c r="P13" s="54">
        <f t="shared" si="14"/>
        <v>3640.875</v>
      </c>
      <c r="Q13" s="63">
        <f t="shared" si="15"/>
        <v>18518.146309092215</v>
      </c>
      <c r="R13" s="77">
        <f t="shared" si="2"/>
        <v>-5688.438842641619</v>
      </c>
      <c r="S13" s="63">
        <f t="shared" si="16"/>
        <v>-2375</v>
      </c>
      <c r="T13" s="63"/>
      <c r="U13" s="63">
        <f t="shared" si="17"/>
        <v>-925.90731545461085</v>
      </c>
      <c r="V13" s="77">
        <f t="shared" si="3"/>
        <v>-525.171875</v>
      </c>
      <c r="W13" s="83">
        <f t="shared" si="4"/>
        <v>9003.6282759959849</v>
      </c>
      <c r="X13" s="85">
        <f t="shared" si="18"/>
        <v>62819.6635569719</v>
      </c>
      <c r="Z13" s="92">
        <f t="shared" si="19"/>
        <v>252082.5</v>
      </c>
      <c r="AA13" s="5">
        <f t="shared" si="5"/>
        <v>0</v>
      </c>
      <c r="AB13" s="92">
        <f t="shared" si="6"/>
        <v>252082.5</v>
      </c>
      <c r="AD13" s="133">
        <f t="shared" si="7"/>
        <v>-16625</v>
      </c>
      <c r="AE13" s="3">
        <f t="shared" si="8"/>
        <v>1</v>
      </c>
    </row>
    <row r="14" spans="1:31" ht="14.65" thickBot="1" x14ac:dyDescent="0.5">
      <c r="A14" s="6">
        <f t="shared" si="9"/>
        <v>8</v>
      </c>
      <c r="B14" s="7" t="s">
        <v>33</v>
      </c>
      <c r="C14" s="162">
        <f>+'Summary Equip'!X9</f>
        <v>0.9</v>
      </c>
      <c r="D14" s="176">
        <f>+D13/C12</f>
        <v>180</v>
      </c>
      <c r="E14" s="11"/>
      <c r="F14" s="11"/>
      <c r="G14" s="11"/>
      <c r="H14" s="11"/>
      <c r="I14" s="14">
        <f t="shared" si="10"/>
        <v>8</v>
      </c>
      <c r="J14" s="63">
        <f t="shared" si="11"/>
        <v>268275.46612987499</v>
      </c>
      <c r="K14" s="63">
        <f t="shared" si="1"/>
        <v>1184.9806297512662</v>
      </c>
      <c r="L14" s="63">
        <f t="shared" si="12"/>
        <v>-5688.438842641619</v>
      </c>
      <c r="M14" s="65">
        <f t="shared" si="0"/>
        <v>263772.00791698467</v>
      </c>
      <c r="O14" s="14">
        <f t="shared" si="13"/>
        <v>8</v>
      </c>
      <c r="P14" s="54">
        <f t="shared" si="14"/>
        <v>4161</v>
      </c>
      <c r="Q14" s="63">
        <f t="shared" si="15"/>
        <v>18518.146309092215</v>
      </c>
      <c r="R14" s="77">
        <f t="shared" si="2"/>
        <v>-5688.438842641619</v>
      </c>
      <c r="S14" s="63">
        <f t="shared" si="16"/>
        <v>-2375</v>
      </c>
      <c r="T14" s="63"/>
      <c r="U14" s="63">
        <f t="shared" si="17"/>
        <v>-925.90731545461085</v>
      </c>
      <c r="V14" s="77">
        <f t="shared" si="3"/>
        <v>-515.375</v>
      </c>
      <c r="W14" s="83">
        <f t="shared" si="4"/>
        <v>9013.4251509959849</v>
      </c>
      <c r="X14" s="85">
        <f t="shared" si="18"/>
        <v>71833.08870796788</v>
      </c>
      <c r="Z14" s="92">
        <f t="shared" si="19"/>
        <v>247380</v>
      </c>
      <c r="AA14" s="5">
        <f t="shared" si="5"/>
        <v>0</v>
      </c>
      <c r="AB14" s="92">
        <f t="shared" si="6"/>
        <v>247380</v>
      </c>
      <c r="AD14" s="133">
        <f t="shared" si="7"/>
        <v>-19000</v>
      </c>
      <c r="AE14" s="3">
        <f t="shared" si="8"/>
        <v>1</v>
      </c>
    </row>
    <row r="15" spans="1:31" ht="14.65" thickBot="1" x14ac:dyDescent="0.5">
      <c r="C15" s="11"/>
      <c r="D15" s="11"/>
      <c r="E15" s="11"/>
      <c r="F15" s="11"/>
      <c r="G15" s="11"/>
      <c r="H15" s="11"/>
      <c r="I15" s="14">
        <f t="shared" si="10"/>
        <v>9</v>
      </c>
      <c r="J15" s="63">
        <f t="shared" si="11"/>
        <v>263772.00791698467</v>
      </c>
      <c r="K15" s="63">
        <f t="shared" si="1"/>
        <v>1165.0887222796159</v>
      </c>
      <c r="L15" s="63">
        <f t="shared" si="12"/>
        <v>-5688.438842641619</v>
      </c>
      <c r="M15" s="65">
        <f t="shared" si="0"/>
        <v>259248.65779662269</v>
      </c>
      <c r="O15" s="14">
        <f t="shared" si="13"/>
        <v>9</v>
      </c>
      <c r="P15" s="54">
        <f t="shared" si="14"/>
        <v>4681.125</v>
      </c>
      <c r="Q15" s="63">
        <f t="shared" si="15"/>
        <v>18518.146309092215</v>
      </c>
      <c r="R15" s="77">
        <f t="shared" si="2"/>
        <v>-5688.438842641619</v>
      </c>
      <c r="S15" s="63">
        <f t="shared" si="16"/>
        <v>-2375</v>
      </c>
      <c r="T15" s="63"/>
      <c r="U15" s="63">
        <f t="shared" si="17"/>
        <v>-925.90731545461085</v>
      </c>
      <c r="V15" s="77">
        <f>-(AB15*$C$9/12)</f>
        <v>-505.578125</v>
      </c>
      <c r="W15" s="83">
        <f t="shared" si="4"/>
        <v>9023.2220259959849</v>
      </c>
      <c r="X15" s="85">
        <f t="shared" si="18"/>
        <v>80856.310733963866</v>
      </c>
      <c r="Z15" s="92">
        <f t="shared" si="19"/>
        <v>242677.5</v>
      </c>
      <c r="AA15" s="5">
        <f t="shared" si="5"/>
        <v>0</v>
      </c>
      <c r="AB15" s="92">
        <f t="shared" si="6"/>
        <v>242677.5</v>
      </c>
      <c r="AD15" s="133">
        <f t="shared" si="7"/>
        <v>-21375</v>
      </c>
      <c r="AE15" s="3">
        <f t="shared" si="8"/>
        <v>1</v>
      </c>
    </row>
    <row r="16" spans="1:31" ht="16.149999999999999" thickBot="1" x14ac:dyDescent="0.5">
      <c r="A16" s="661" t="s">
        <v>43</v>
      </c>
      <c r="B16" s="662"/>
      <c r="C16" s="662"/>
      <c r="D16" s="662"/>
      <c r="E16" s="663"/>
      <c r="F16" s="1"/>
      <c r="G16" s="1"/>
      <c r="H16" s="117"/>
      <c r="I16" s="14">
        <f t="shared" si="10"/>
        <v>10</v>
      </c>
      <c r="J16" s="63">
        <f t="shared" si="11"/>
        <v>259248.65779662269</v>
      </c>
      <c r="K16" s="63">
        <f t="shared" si="1"/>
        <v>1145.1089516672068</v>
      </c>
      <c r="L16" s="63">
        <f t="shared" si="12"/>
        <v>-5688.438842641619</v>
      </c>
      <c r="M16" s="65">
        <f t="shared" si="0"/>
        <v>254705.32790564827</v>
      </c>
      <c r="O16" s="14">
        <f t="shared" si="13"/>
        <v>10</v>
      </c>
      <c r="P16" s="54">
        <f t="shared" si="14"/>
        <v>5201.25</v>
      </c>
      <c r="Q16" s="63">
        <f t="shared" si="15"/>
        <v>18518.146309092215</v>
      </c>
      <c r="R16" s="77">
        <f t="shared" si="2"/>
        <v>-5688.438842641619</v>
      </c>
      <c r="S16" s="63">
        <f t="shared" si="16"/>
        <v>-2375</v>
      </c>
      <c r="T16" s="63"/>
      <c r="U16" s="63">
        <f t="shared" si="17"/>
        <v>-925.90731545461085</v>
      </c>
      <c r="V16" s="77">
        <f t="shared" ref="V16:V66" si="20">-(AB16*$C$9/12)</f>
        <v>-495.78125</v>
      </c>
      <c r="W16" s="83">
        <f t="shared" si="4"/>
        <v>9033.0189009959849</v>
      </c>
      <c r="X16" s="85">
        <f t="shared" si="18"/>
        <v>89889.329634959853</v>
      </c>
      <c r="Z16" s="92">
        <f t="shared" si="19"/>
        <v>237975</v>
      </c>
      <c r="AA16" s="5">
        <f t="shared" si="5"/>
        <v>0</v>
      </c>
      <c r="AB16" s="92">
        <f t="shared" si="6"/>
        <v>237975</v>
      </c>
      <c r="AD16" s="133">
        <f t="shared" si="7"/>
        <v>-23750</v>
      </c>
      <c r="AE16" s="3">
        <f t="shared" si="8"/>
        <v>1</v>
      </c>
    </row>
    <row r="17" spans="1:31" ht="14.65" thickBot="1" x14ac:dyDescent="0.5">
      <c r="A17" s="97" t="s">
        <v>44</v>
      </c>
      <c r="B17" s="98" t="s">
        <v>48</v>
      </c>
      <c r="C17" s="98" t="s">
        <v>45</v>
      </c>
      <c r="D17" s="99" t="s">
        <v>46</v>
      </c>
      <c r="E17" s="55" t="s">
        <v>47</v>
      </c>
      <c r="F17" s="1"/>
      <c r="G17" s="1"/>
      <c r="H17" s="117"/>
      <c r="I17" s="14">
        <f t="shared" si="10"/>
        <v>11</v>
      </c>
      <c r="J17" s="63">
        <f t="shared" si="11"/>
        <v>254705.32790564827</v>
      </c>
      <c r="K17" s="63">
        <f t="shared" si="1"/>
        <v>1125.0409298199604</v>
      </c>
      <c r="L17" s="63">
        <f t="shared" si="12"/>
        <v>-5688.438842641619</v>
      </c>
      <c r="M17" s="65">
        <f t="shared" si="0"/>
        <v>250141.9299928266</v>
      </c>
      <c r="O17" s="14">
        <f t="shared" si="13"/>
        <v>11</v>
      </c>
      <c r="P17" s="54">
        <f t="shared" si="14"/>
        <v>5721.375</v>
      </c>
      <c r="Q17" s="63">
        <f t="shared" si="15"/>
        <v>18518.146309092215</v>
      </c>
      <c r="R17" s="77">
        <f t="shared" si="2"/>
        <v>-5688.438842641619</v>
      </c>
      <c r="S17" s="63">
        <f t="shared" si="16"/>
        <v>-2375</v>
      </c>
      <c r="T17" s="63"/>
      <c r="U17" s="63">
        <f t="shared" si="17"/>
        <v>-925.90731545461085</v>
      </c>
      <c r="V17" s="77">
        <f t="shared" si="20"/>
        <v>-485.984375</v>
      </c>
      <c r="W17" s="83">
        <f t="shared" si="4"/>
        <v>9042.8157759959849</v>
      </c>
      <c r="X17" s="85">
        <f t="shared" si="18"/>
        <v>98932.14541095584</v>
      </c>
      <c r="Z17" s="92">
        <f t="shared" si="19"/>
        <v>233272.5</v>
      </c>
      <c r="AA17" s="5">
        <f t="shared" si="5"/>
        <v>0</v>
      </c>
      <c r="AB17" s="92">
        <f t="shared" si="6"/>
        <v>233272.5</v>
      </c>
      <c r="AD17" s="133">
        <f t="shared" si="7"/>
        <v>-26125</v>
      </c>
      <c r="AE17" s="3">
        <f t="shared" si="8"/>
        <v>1</v>
      </c>
    </row>
    <row r="18" spans="1:31" x14ac:dyDescent="0.45">
      <c r="A18" s="94">
        <v>1</v>
      </c>
      <c r="B18" s="95">
        <v>12</v>
      </c>
      <c r="C18" s="96">
        <f>D$27-(D$27+D$28)*B18/60</f>
        <v>228570</v>
      </c>
      <c r="D18" s="100">
        <v>0.1</v>
      </c>
      <c r="E18" s="103">
        <f t="shared" ref="E18:E23" si="21">C18/(100%-D18)</f>
        <v>253966.66666666666</v>
      </c>
      <c r="F18" s="11"/>
      <c r="G18" s="11"/>
      <c r="H18" s="11"/>
      <c r="I18" s="14">
        <f t="shared" si="10"/>
        <v>12</v>
      </c>
      <c r="J18" s="63">
        <f t="shared" si="11"/>
        <v>250141.9299928266</v>
      </c>
      <c r="K18" s="63">
        <f t="shared" si="1"/>
        <v>1104.8842669295743</v>
      </c>
      <c r="L18" s="63">
        <f t="shared" si="12"/>
        <v>-5688.438842641619</v>
      </c>
      <c r="M18" s="65">
        <f t="shared" si="0"/>
        <v>245558.37541711456</v>
      </c>
      <c r="O18" s="14">
        <f t="shared" si="13"/>
        <v>12</v>
      </c>
      <c r="P18" s="54">
        <f t="shared" si="14"/>
        <v>6241.5</v>
      </c>
      <c r="Q18" s="63">
        <f t="shared" si="15"/>
        <v>18518.146309092215</v>
      </c>
      <c r="R18" s="77">
        <f t="shared" si="2"/>
        <v>-5688.438842641619</v>
      </c>
      <c r="S18" s="63">
        <f t="shared" si="16"/>
        <v>-2375</v>
      </c>
      <c r="T18" s="63"/>
      <c r="U18" s="63">
        <f t="shared" si="17"/>
        <v>-925.90731545461085</v>
      </c>
      <c r="V18" s="77">
        <f t="shared" si="20"/>
        <v>-476.1875</v>
      </c>
      <c r="W18" s="83">
        <f t="shared" si="4"/>
        <v>9052.6126509959849</v>
      </c>
      <c r="X18" s="85">
        <f t="shared" si="18"/>
        <v>107984.75806195183</v>
      </c>
      <c r="Z18" s="92">
        <f t="shared" si="19"/>
        <v>228570</v>
      </c>
      <c r="AA18" s="5">
        <f t="shared" si="5"/>
        <v>0</v>
      </c>
      <c r="AB18" s="92">
        <f t="shared" si="6"/>
        <v>228570</v>
      </c>
      <c r="AD18" s="133">
        <f t="shared" si="7"/>
        <v>-28500</v>
      </c>
      <c r="AE18" s="3">
        <f t="shared" si="8"/>
        <v>1</v>
      </c>
    </row>
    <row r="19" spans="1:31" x14ac:dyDescent="0.45">
      <c r="A19" s="4">
        <f>A18+1</f>
        <v>2</v>
      </c>
      <c r="B19" s="5">
        <f>B18+12</f>
        <v>24</v>
      </c>
      <c r="C19" s="92">
        <f>D$27-(D$27+D$28)*B19/60</f>
        <v>172140</v>
      </c>
      <c r="D19" s="101">
        <f>D18</f>
        <v>0.1</v>
      </c>
      <c r="E19" s="104">
        <f t="shared" si="21"/>
        <v>191266.66666666666</v>
      </c>
      <c r="F19" s="11"/>
      <c r="G19" s="11"/>
      <c r="H19" s="11"/>
      <c r="I19" s="14">
        <f t="shared" si="10"/>
        <v>13</v>
      </c>
      <c r="J19" s="63">
        <f t="shared" si="11"/>
        <v>245558.37541711456</v>
      </c>
      <c r="K19" s="63">
        <f t="shared" si="1"/>
        <v>1084.638571465953</v>
      </c>
      <c r="L19" s="63">
        <f t="shared" si="12"/>
        <v>-5688.438842641619</v>
      </c>
      <c r="M19" s="65">
        <f t="shared" si="0"/>
        <v>240954.57514593887</v>
      </c>
      <c r="O19" s="14">
        <f t="shared" si="13"/>
        <v>13</v>
      </c>
      <c r="P19" s="54">
        <f t="shared" si="14"/>
        <v>6761.625</v>
      </c>
      <c r="Q19" s="63">
        <f t="shared" si="15"/>
        <v>18518.146309092215</v>
      </c>
      <c r="R19" s="77">
        <f t="shared" si="2"/>
        <v>-5688.438842641619</v>
      </c>
      <c r="S19" s="63">
        <f t="shared" si="16"/>
        <v>-2375</v>
      </c>
      <c r="T19" s="63"/>
      <c r="U19" s="63">
        <f t="shared" si="17"/>
        <v>-925.90731545461085</v>
      </c>
      <c r="V19" s="77">
        <f t="shared" si="20"/>
        <v>-466.390625</v>
      </c>
      <c r="W19" s="83">
        <f t="shared" si="4"/>
        <v>9062.4095259959849</v>
      </c>
      <c r="X19" s="85">
        <f t="shared" si="18"/>
        <v>117047.16758794781</v>
      </c>
      <c r="Z19" s="92">
        <f t="shared" si="19"/>
        <v>223867.5</v>
      </c>
      <c r="AA19" s="5">
        <f t="shared" si="5"/>
        <v>0</v>
      </c>
      <c r="AB19" s="92">
        <f t="shared" si="6"/>
        <v>223867.5</v>
      </c>
      <c r="AD19" s="133">
        <f t="shared" si="7"/>
        <v>-30875</v>
      </c>
      <c r="AE19" s="3">
        <f t="shared" si="8"/>
        <v>1</v>
      </c>
    </row>
    <row r="20" spans="1:31" x14ac:dyDescent="0.45">
      <c r="A20" s="4">
        <f>A19+1</f>
        <v>3</v>
      </c>
      <c r="B20" s="5">
        <f>B19+12</f>
        <v>36</v>
      </c>
      <c r="C20" s="92">
        <f>D$27-(D$27+D$28)*B20/60</f>
        <v>115710</v>
      </c>
      <c r="D20" s="101">
        <f>D19</f>
        <v>0.1</v>
      </c>
      <c r="E20" s="104">
        <f t="shared" si="21"/>
        <v>128566.66666666666</v>
      </c>
      <c r="F20" s="11"/>
      <c r="G20" s="11"/>
      <c r="H20" s="11"/>
      <c r="I20" s="14">
        <f t="shared" si="10"/>
        <v>14</v>
      </c>
      <c r="J20" s="63">
        <f t="shared" si="11"/>
        <v>240954.57514593887</v>
      </c>
      <c r="K20" s="63">
        <f t="shared" si="1"/>
        <v>1064.303450169599</v>
      </c>
      <c r="L20" s="63">
        <f t="shared" si="12"/>
        <v>-5688.438842641619</v>
      </c>
      <c r="M20" s="65">
        <f t="shared" si="0"/>
        <v>236330.43975346684</v>
      </c>
      <c r="O20" s="14">
        <f t="shared" si="13"/>
        <v>14</v>
      </c>
      <c r="P20" s="54">
        <f t="shared" si="14"/>
        <v>7281.75</v>
      </c>
      <c r="Q20" s="63">
        <f t="shared" si="15"/>
        <v>18518.146309092215</v>
      </c>
      <c r="R20" s="77">
        <f t="shared" si="2"/>
        <v>-5688.438842641619</v>
      </c>
      <c r="S20" s="63">
        <f t="shared" si="16"/>
        <v>-2375</v>
      </c>
      <c r="T20" s="63"/>
      <c r="U20" s="63">
        <f t="shared" si="17"/>
        <v>-925.90731545461085</v>
      </c>
      <c r="V20" s="77">
        <f t="shared" si="20"/>
        <v>-456.59375</v>
      </c>
      <c r="W20" s="83">
        <f t="shared" si="4"/>
        <v>9072.2064009959849</v>
      </c>
      <c r="X20" s="85">
        <f t="shared" si="18"/>
        <v>126119.3739889438</v>
      </c>
      <c r="Z20" s="92">
        <f t="shared" si="19"/>
        <v>219165</v>
      </c>
      <c r="AA20" s="5">
        <f t="shared" si="5"/>
        <v>0</v>
      </c>
      <c r="AB20" s="92">
        <f t="shared" si="6"/>
        <v>219165</v>
      </c>
      <c r="AD20" s="133">
        <f t="shared" si="7"/>
        <v>-33250</v>
      </c>
      <c r="AE20" s="3">
        <f t="shared" si="8"/>
        <v>1</v>
      </c>
    </row>
    <row r="21" spans="1:31" x14ac:dyDescent="0.45">
      <c r="A21" s="4">
        <f>A20+1</f>
        <v>4</v>
      </c>
      <c r="B21" s="5">
        <f>B20+12</f>
        <v>48</v>
      </c>
      <c r="C21" s="92">
        <f>D$27-(D$27+D$28)*B21/60</f>
        <v>59280</v>
      </c>
      <c r="D21" s="101">
        <f>D20</f>
        <v>0.1</v>
      </c>
      <c r="E21" s="104">
        <f t="shared" si="21"/>
        <v>65866.666666666672</v>
      </c>
      <c r="F21" s="11"/>
      <c r="G21" s="11"/>
      <c r="H21" s="11"/>
      <c r="I21" s="14">
        <f t="shared" si="10"/>
        <v>15</v>
      </c>
      <c r="J21" s="63">
        <f t="shared" si="11"/>
        <v>236330.43975346684</v>
      </c>
      <c r="K21" s="63">
        <f t="shared" si="1"/>
        <v>1043.8785080439784</v>
      </c>
      <c r="L21" s="63">
        <f t="shared" si="12"/>
        <v>-5688.438842641619</v>
      </c>
      <c r="M21" s="65">
        <f t="shared" si="0"/>
        <v>231685.87941886918</v>
      </c>
      <c r="O21" s="14">
        <f t="shared" si="13"/>
        <v>15</v>
      </c>
      <c r="P21" s="54">
        <f t="shared" si="14"/>
        <v>7801.875</v>
      </c>
      <c r="Q21" s="63">
        <f t="shared" si="15"/>
        <v>18518.146309092215</v>
      </c>
      <c r="R21" s="77">
        <f t="shared" si="2"/>
        <v>-5688.438842641619</v>
      </c>
      <c r="S21" s="63">
        <f t="shared" si="16"/>
        <v>-2375</v>
      </c>
      <c r="T21" s="63"/>
      <c r="U21" s="63">
        <f t="shared" si="17"/>
        <v>-925.90731545461085</v>
      </c>
      <c r="V21" s="77">
        <f t="shared" si="20"/>
        <v>-446.796875</v>
      </c>
      <c r="W21" s="83">
        <f t="shared" si="4"/>
        <v>9082.0032759959849</v>
      </c>
      <c r="X21" s="85">
        <f t="shared" si="18"/>
        <v>135201.37726493977</v>
      </c>
      <c r="Z21" s="92">
        <f t="shared" si="19"/>
        <v>214462.5</v>
      </c>
      <c r="AA21" s="5">
        <f t="shared" si="5"/>
        <v>0</v>
      </c>
      <c r="AB21" s="92">
        <f t="shared" si="6"/>
        <v>214462.5</v>
      </c>
      <c r="AD21" s="133">
        <f t="shared" si="7"/>
        <v>-35625</v>
      </c>
      <c r="AE21" s="3">
        <f t="shared" si="8"/>
        <v>1</v>
      </c>
    </row>
    <row r="22" spans="1:31" x14ac:dyDescent="0.45">
      <c r="A22" s="4">
        <f>A21+1</f>
        <v>5</v>
      </c>
      <c r="B22" s="5">
        <f>B21+12</f>
        <v>60</v>
      </c>
      <c r="C22" s="92">
        <f>D$27-(D$27+D$28)*B22/60</f>
        <v>2850</v>
      </c>
      <c r="D22" s="101">
        <f>D21</f>
        <v>0.1</v>
      </c>
      <c r="E22" s="104">
        <f t="shared" si="21"/>
        <v>3166.6666666666665</v>
      </c>
      <c r="F22" s="11"/>
      <c r="G22" s="11"/>
      <c r="H22" s="11"/>
      <c r="I22" s="14">
        <f t="shared" si="10"/>
        <v>16</v>
      </c>
      <c r="J22" s="63">
        <f t="shared" si="11"/>
        <v>231685.87941886918</v>
      </c>
      <c r="K22" s="63">
        <f t="shared" si="1"/>
        <v>1023.3633483478441</v>
      </c>
      <c r="L22" s="63">
        <f t="shared" si="12"/>
        <v>-5688.438842641619</v>
      </c>
      <c r="M22" s="65">
        <f t="shared" si="0"/>
        <v>227020.80392457539</v>
      </c>
      <c r="O22" s="14">
        <f t="shared" si="13"/>
        <v>16</v>
      </c>
      <c r="P22" s="54">
        <f t="shared" si="14"/>
        <v>8322</v>
      </c>
      <c r="Q22" s="63">
        <f t="shared" si="15"/>
        <v>18518.146309092215</v>
      </c>
      <c r="R22" s="77">
        <f t="shared" si="2"/>
        <v>-5688.438842641619</v>
      </c>
      <c r="S22" s="63">
        <f t="shared" si="16"/>
        <v>-2375</v>
      </c>
      <c r="T22" s="63"/>
      <c r="U22" s="63">
        <f t="shared" si="17"/>
        <v>-925.90731545461085</v>
      </c>
      <c r="V22" s="77">
        <f t="shared" si="20"/>
        <v>-437</v>
      </c>
      <c r="W22" s="83">
        <f t="shared" si="4"/>
        <v>9091.8001509959849</v>
      </c>
      <c r="X22" s="85">
        <f t="shared" si="18"/>
        <v>144293.17741593576</v>
      </c>
      <c r="Z22" s="92">
        <f t="shared" si="19"/>
        <v>209760</v>
      </c>
      <c r="AA22" s="5">
        <f t="shared" si="5"/>
        <v>0</v>
      </c>
      <c r="AB22" s="92">
        <f t="shared" si="6"/>
        <v>209760</v>
      </c>
      <c r="AD22" s="133">
        <f t="shared" si="7"/>
        <v>-38000</v>
      </c>
      <c r="AE22" s="3">
        <f t="shared" si="8"/>
        <v>1</v>
      </c>
    </row>
    <row r="23" spans="1:31" ht="14.65" thickBot="1" x14ac:dyDescent="0.5">
      <c r="A23" s="6">
        <f>A22+1</f>
        <v>6</v>
      </c>
      <c r="B23" s="7">
        <f>B22+12</f>
        <v>72</v>
      </c>
      <c r="C23" s="93">
        <v>1</v>
      </c>
      <c r="D23" s="102">
        <f>D22</f>
        <v>0.1</v>
      </c>
      <c r="E23" s="105">
        <f t="shared" si="21"/>
        <v>1.1111111111111112</v>
      </c>
      <c r="H23" s="11"/>
      <c r="I23" s="14">
        <f t="shared" si="10"/>
        <v>17</v>
      </c>
      <c r="J23" s="63">
        <f t="shared" si="11"/>
        <v>227020.80392457539</v>
      </c>
      <c r="K23" s="63">
        <f t="shared" si="1"/>
        <v>1002.7575725875316</v>
      </c>
      <c r="L23" s="63">
        <f t="shared" si="12"/>
        <v>-5688.438842641619</v>
      </c>
      <c r="M23" s="65">
        <f t="shared" si="0"/>
        <v>222335.12265452128</v>
      </c>
      <c r="O23" s="14">
        <f t="shared" si="13"/>
        <v>17</v>
      </c>
      <c r="P23" s="54">
        <f t="shared" si="14"/>
        <v>8842.125</v>
      </c>
      <c r="Q23" s="63">
        <f t="shared" si="15"/>
        <v>18518.146309092215</v>
      </c>
      <c r="R23" s="77">
        <f t="shared" si="2"/>
        <v>-5688.438842641619</v>
      </c>
      <c r="S23" s="63">
        <f t="shared" si="16"/>
        <v>-2375</v>
      </c>
      <c r="T23" s="63"/>
      <c r="U23" s="63">
        <f t="shared" si="17"/>
        <v>-925.90731545461085</v>
      </c>
      <c r="V23" s="77">
        <f t="shared" si="20"/>
        <v>-427.203125</v>
      </c>
      <c r="W23" s="83">
        <f t="shared" si="4"/>
        <v>9101.5970259959849</v>
      </c>
      <c r="X23" s="85">
        <f t="shared" si="18"/>
        <v>153394.77444193175</v>
      </c>
      <c r="Z23" s="92">
        <f t="shared" si="19"/>
        <v>205057.5</v>
      </c>
      <c r="AA23" s="5">
        <f t="shared" si="5"/>
        <v>0</v>
      </c>
      <c r="AB23" s="92">
        <f t="shared" si="6"/>
        <v>205057.5</v>
      </c>
      <c r="AD23" s="133">
        <f t="shared" si="7"/>
        <v>-40375</v>
      </c>
      <c r="AE23" s="3">
        <f t="shared" si="8"/>
        <v>1</v>
      </c>
    </row>
    <row r="24" spans="1:31" ht="14.65" thickBot="1" x14ac:dyDescent="0.5">
      <c r="H24" s="11"/>
      <c r="I24" s="14">
        <f>I23+1</f>
        <v>18</v>
      </c>
      <c r="J24" s="63">
        <f t="shared" si="11"/>
        <v>222335.12265452128</v>
      </c>
      <c r="K24" s="63">
        <f t="shared" si="1"/>
        <v>982.06078050921917</v>
      </c>
      <c r="L24" s="63">
        <f t="shared" si="12"/>
        <v>-5688.438842641619</v>
      </c>
      <c r="M24" s="65">
        <f t="shared" si="0"/>
        <v>217628.74459238889</v>
      </c>
      <c r="O24" s="14">
        <f>O23+1</f>
        <v>18</v>
      </c>
      <c r="P24" s="54">
        <f t="shared" si="14"/>
        <v>9362.25</v>
      </c>
      <c r="Q24" s="63">
        <f t="shared" si="15"/>
        <v>18518.146309092215</v>
      </c>
      <c r="R24" s="77">
        <f t="shared" si="2"/>
        <v>-5688.438842641619</v>
      </c>
      <c r="S24" s="63">
        <f t="shared" si="16"/>
        <v>-2375</v>
      </c>
      <c r="T24" s="63"/>
      <c r="U24" s="63">
        <f t="shared" si="17"/>
        <v>-925.90731545461085</v>
      </c>
      <c r="V24" s="77">
        <f t="shared" si="20"/>
        <v>-417.40625</v>
      </c>
      <c r="W24" s="83">
        <f t="shared" si="4"/>
        <v>9111.3939009959849</v>
      </c>
      <c r="X24" s="85">
        <f t="shared" si="18"/>
        <v>162506.16834292773</v>
      </c>
      <c r="Z24" s="92">
        <f t="shared" si="19"/>
        <v>200355</v>
      </c>
      <c r="AA24" s="5">
        <f t="shared" si="5"/>
        <v>0</v>
      </c>
      <c r="AB24" s="92">
        <f t="shared" si="6"/>
        <v>200355</v>
      </c>
      <c r="AD24" s="133">
        <f t="shared" si="7"/>
        <v>-42750</v>
      </c>
      <c r="AE24" s="3">
        <f t="shared" si="8"/>
        <v>1</v>
      </c>
    </row>
    <row r="25" spans="1:31" ht="32.25" customHeight="1" thickBot="1" x14ac:dyDescent="0.5">
      <c r="A25" s="664" t="s">
        <v>21</v>
      </c>
      <c r="B25" s="665"/>
      <c r="C25" s="665"/>
      <c r="D25" s="665"/>
      <c r="E25" s="665"/>
      <c r="F25" s="665"/>
      <c r="G25" s="666"/>
      <c r="H25" s="11"/>
      <c r="I25" s="14">
        <f t="shared" si="10"/>
        <v>19</v>
      </c>
      <c r="J25" s="63">
        <f t="shared" si="11"/>
        <v>217628.74459238889</v>
      </c>
      <c r="K25" s="63">
        <f t="shared" si="1"/>
        <v>961.2725700911509</v>
      </c>
      <c r="L25" s="63">
        <f t="shared" si="12"/>
        <v>-5688.438842641619</v>
      </c>
      <c r="M25" s="65">
        <f t="shared" si="0"/>
        <v>212901.57831983842</v>
      </c>
      <c r="O25" s="14">
        <f t="shared" si="13"/>
        <v>19</v>
      </c>
      <c r="P25" s="54">
        <f t="shared" si="14"/>
        <v>9882.375</v>
      </c>
      <c r="Q25" s="63">
        <f t="shared" si="15"/>
        <v>18518.146309092215</v>
      </c>
      <c r="R25" s="77">
        <f t="shared" si="2"/>
        <v>-5688.438842641619</v>
      </c>
      <c r="S25" s="63">
        <f t="shared" si="16"/>
        <v>-2375</v>
      </c>
      <c r="T25" s="63"/>
      <c r="U25" s="63">
        <f t="shared" si="17"/>
        <v>-925.90731545461085</v>
      </c>
      <c r="V25" s="77">
        <f t="shared" si="20"/>
        <v>-407.609375</v>
      </c>
      <c r="W25" s="83">
        <f t="shared" si="4"/>
        <v>9121.1907759959849</v>
      </c>
      <c r="X25" s="85">
        <f t="shared" si="18"/>
        <v>171627.35911892372</v>
      </c>
      <c r="Z25" s="92">
        <f t="shared" si="19"/>
        <v>195652.5</v>
      </c>
      <c r="AA25" s="5">
        <f t="shared" si="5"/>
        <v>0</v>
      </c>
      <c r="AB25" s="92">
        <f t="shared" si="6"/>
        <v>195652.5</v>
      </c>
      <c r="AD25" s="133">
        <f t="shared" si="7"/>
        <v>-45125</v>
      </c>
      <c r="AE25" s="3">
        <f t="shared" si="8"/>
        <v>1</v>
      </c>
    </row>
    <row r="26" spans="1:31" ht="28.9" thickBot="1" x14ac:dyDescent="0.5">
      <c r="A26" s="26" t="s">
        <v>0</v>
      </c>
      <c r="B26" s="27" t="s">
        <v>1</v>
      </c>
      <c r="C26" s="43" t="s">
        <v>22</v>
      </c>
      <c r="D26" s="43" t="s">
        <v>10</v>
      </c>
      <c r="E26" s="43" t="s">
        <v>23</v>
      </c>
      <c r="F26" s="43" t="s">
        <v>24</v>
      </c>
      <c r="G26" s="44" t="s">
        <v>25</v>
      </c>
      <c r="H26" s="11"/>
      <c r="I26" s="14">
        <f t="shared" si="10"/>
        <v>20</v>
      </c>
      <c r="J26" s="63">
        <f t="shared" si="11"/>
        <v>212901.57831983842</v>
      </c>
      <c r="K26" s="63">
        <f t="shared" si="1"/>
        <v>940.39253753582955</v>
      </c>
      <c r="L26" s="63">
        <f t="shared" si="12"/>
        <v>-5688.438842641619</v>
      </c>
      <c r="M26" s="65">
        <f t="shared" si="0"/>
        <v>208153.53201473263</v>
      </c>
      <c r="O26" s="14">
        <f t="shared" si="13"/>
        <v>20</v>
      </c>
      <c r="P26" s="54">
        <f t="shared" si="14"/>
        <v>10402.5</v>
      </c>
      <c r="Q26" s="63">
        <f t="shared" si="15"/>
        <v>18518.146309092215</v>
      </c>
      <c r="R26" s="77">
        <f t="shared" si="2"/>
        <v>-5688.438842641619</v>
      </c>
      <c r="S26" s="63">
        <f t="shared" si="16"/>
        <v>-2375</v>
      </c>
      <c r="T26" s="63"/>
      <c r="U26" s="63">
        <f t="shared" si="17"/>
        <v>-925.90731545461085</v>
      </c>
      <c r="V26" s="77">
        <f t="shared" si="20"/>
        <v>-397.8125</v>
      </c>
      <c r="W26" s="83">
        <f t="shared" si="4"/>
        <v>9130.9876509959849</v>
      </c>
      <c r="X26" s="85">
        <f t="shared" si="18"/>
        <v>180758.34676991971</v>
      </c>
      <c r="Z26" s="92">
        <f t="shared" si="19"/>
        <v>190950</v>
      </c>
      <c r="AA26" s="5">
        <f t="shared" si="5"/>
        <v>0</v>
      </c>
      <c r="AB26" s="92">
        <f t="shared" si="6"/>
        <v>190950</v>
      </c>
      <c r="AD26" s="133">
        <f t="shared" si="7"/>
        <v>-47500</v>
      </c>
      <c r="AE26" s="3">
        <f t="shared" si="8"/>
        <v>1</v>
      </c>
    </row>
    <row r="27" spans="1:31" x14ac:dyDescent="0.45">
      <c r="A27" s="8">
        <v>1</v>
      </c>
      <c r="B27" s="9" t="s">
        <v>16</v>
      </c>
      <c r="C27" s="48">
        <v>1</v>
      </c>
      <c r="D27" s="153">
        <f>+F7</f>
        <v>285000</v>
      </c>
      <c r="E27" s="342">
        <f>+'Summary Equip'!AE9</f>
        <v>0.8</v>
      </c>
      <c r="F27" s="62">
        <f>E27*D27</f>
        <v>228000</v>
      </c>
      <c r="G27" s="60">
        <f>D27-F27</f>
        <v>57000</v>
      </c>
      <c r="H27" s="11"/>
      <c r="I27" s="14">
        <f t="shared" si="10"/>
        <v>21</v>
      </c>
      <c r="J27" s="63">
        <f t="shared" si="11"/>
        <v>208153.53201473263</v>
      </c>
      <c r="K27" s="63">
        <f t="shared" si="1"/>
        <v>919.42027726217225</v>
      </c>
      <c r="L27" s="63">
        <f t="shared" si="12"/>
        <v>-5688.438842641619</v>
      </c>
      <c r="M27" s="65">
        <f t="shared" si="0"/>
        <v>203384.51344935317</v>
      </c>
      <c r="O27" s="14">
        <f t="shared" si="13"/>
        <v>21</v>
      </c>
      <c r="P27" s="54">
        <f t="shared" si="14"/>
        <v>10922.625</v>
      </c>
      <c r="Q27" s="63">
        <f t="shared" si="15"/>
        <v>18518.146309092215</v>
      </c>
      <c r="R27" s="77">
        <f t="shared" si="2"/>
        <v>-5688.438842641619</v>
      </c>
      <c r="S27" s="63">
        <f t="shared" si="16"/>
        <v>-2375</v>
      </c>
      <c r="T27" s="63"/>
      <c r="U27" s="63">
        <f t="shared" si="17"/>
        <v>-925.90731545461085</v>
      </c>
      <c r="V27" s="77">
        <f t="shared" si="20"/>
        <v>-388.015625</v>
      </c>
      <c r="W27" s="83">
        <f t="shared" si="4"/>
        <v>9140.7845259959849</v>
      </c>
      <c r="X27" s="85">
        <f t="shared" si="18"/>
        <v>189899.13129591569</v>
      </c>
      <c r="Z27" s="92">
        <f t="shared" si="19"/>
        <v>186247.5</v>
      </c>
      <c r="AA27" s="5">
        <f t="shared" si="5"/>
        <v>0</v>
      </c>
      <c r="AB27" s="92">
        <f t="shared" si="6"/>
        <v>186247.5</v>
      </c>
      <c r="AD27" s="133">
        <f t="shared" si="7"/>
        <v>-49875</v>
      </c>
      <c r="AE27" s="3">
        <f t="shared" si="8"/>
        <v>1</v>
      </c>
    </row>
    <row r="28" spans="1:31" x14ac:dyDescent="0.45">
      <c r="A28" s="4">
        <f>A27+1</f>
        <v>2</v>
      </c>
      <c r="B28" s="5" t="s">
        <v>12</v>
      </c>
      <c r="C28" s="19">
        <f>C11</f>
        <v>0.01</v>
      </c>
      <c r="D28" s="300">
        <f>-C28*D27</f>
        <v>-2850</v>
      </c>
      <c r="E28" s="23">
        <f>E27</f>
        <v>0.8</v>
      </c>
      <c r="F28" s="63">
        <f t="shared" ref="F28:F33" si="22">E28*D28</f>
        <v>-2280</v>
      </c>
      <c r="G28" s="65">
        <f>D28-F28</f>
        <v>-570</v>
      </c>
      <c r="H28" s="11"/>
      <c r="I28" s="14">
        <f t="shared" si="10"/>
        <v>22</v>
      </c>
      <c r="J28" s="63">
        <f t="shared" si="11"/>
        <v>203384.51344935317</v>
      </c>
      <c r="K28" s="63">
        <f t="shared" si="1"/>
        <v>898.35538189763315</v>
      </c>
      <c r="L28" s="63">
        <f t="shared" si="12"/>
        <v>-5688.438842641619</v>
      </c>
      <c r="M28" s="65">
        <f t="shared" si="0"/>
        <v>198594.42998860916</v>
      </c>
      <c r="O28" s="14">
        <f t="shared" si="13"/>
        <v>22</v>
      </c>
      <c r="P28" s="54">
        <f t="shared" si="14"/>
        <v>11442.75</v>
      </c>
      <c r="Q28" s="63">
        <f t="shared" si="15"/>
        <v>18518.146309092215</v>
      </c>
      <c r="R28" s="77">
        <f t="shared" si="2"/>
        <v>-5688.438842641619</v>
      </c>
      <c r="S28" s="63">
        <f t="shared" si="16"/>
        <v>-2375</v>
      </c>
      <c r="T28" s="63"/>
      <c r="U28" s="63">
        <f t="shared" si="17"/>
        <v>-925.90731545461085</v>
      </c>
      <c r="V28" s="77">
        <f t="shared" si="20"/>
        <v>-378.21875</v>
      </c>
      <c r="W28" s="83">
        <f t="shared" si="4"/>
        <v>9150.5814009959849</v>
      </c>
      <c r="X28" s="85">
        <f t="shared" si="18"/>
        <v>199049.71269691168</v>
      </c>
      <c r="Z28" s="92">
        <f t="shared" si="19"/>
        <v>181545</v>
      </c>
      <c r="AA28" s="5">
        <f t="shared" si="5"/>
        <v>0</v>
      </c>
      <c r="AB28" s="92">
        <f t="shared" si="6"/>
        <v>181545</v>
      </c>
      <c r="AD28" s="133">
        <f t="shared" si="7"/>
        <v>-52250</v>
      </c>
      <c r="AE28" s="3">
        <f t="shared" si="8"/>
        <v>1</v>
      </c>
    </row>
    <row r="29" spans="1:31" x14ac:dyDescent="0.45">
      <c r="A29" s="4">
        <f t="shared" ref="A29:A34" si="23">A28+1</f>
        <v>3</v>
      </c>
      <c r="B29" s="5" t="s">
        <v>17</v>
      </c>
      <c r="C29" s="24">
        <f>C8</f>
        <v>5.2999999999999999E-2</v>
      </c>
      <c r="D29" s="63">
        <f>K67</f>
        <v>40140.136906430678</v>
      </c>
      <c r="E29" s="23">
        <v>1</v>
      </c>
      <c r="F29" s="63">
        <f t="shared" si="22"/>
        <v>40140.136906430678</v>
      </c>
      <c r="G29" s="65">
        <f>D29-F29</f>
        <v>0</v>
      </c>
      <c r="H29" s="11"/>
      <c r="I29" s="14">
        <f t="shared" si="10"/>
        <v>23</v>
      </c>
      <c r="J29" s="63">
        <f t="shared" si="11"/>
        <v>198594.42998860916</v>
      </c>
      <c r="K29" s="63">
        <f t="shared" si="1"/>
        <v>877.19744227028866</v>
      </c>
      <c r="L29" s="63">
        <f t="shared" si="12"/>
        <v>-5688.438842641619</v>
      </c>
      <c r="M29" s="65">
        <f t="shared" si="0"/>
        <v>193783.18858823783</v>
      </c>
      <c r="O29" s="14">
        <f t="shared" si="13"/>
        <v>23</v>
      </c>
      <c r="P29" s="54">
        <f t="shared" si="14"/>
        <v>11962.875</v>
      </c>
      <c r="Q29" s="63">
        <f t="shared" si="15"/>
        <v>18518.146309092215</v>
      </c>
      <c r="R29" s="77">
        <f t="shared" si="2"/>
        <v>-5688.438842641619</v>
      </c>
      <c r="S29" s="63">
        <f t="shared" si="16"/>
        <v>-2375</v>
      </c>
      <c r="T29" s="63"/>
      <c r="U29" s="63">
        <f t="shared" si="17"/>
        <v>-925.90731545461085</v>
      </c>
      <c r="V29" s="77">
        <f t="shared" si="20"/>
        <v>-368.421875</v>
      </c>
      <c r="W29" s="83">
        <f t="shared" si="4"/>
        <v>9160.3782759959849</v>
      </c>
      <c r="X29" s="85">
        <f t="shared" si="18"/>
        <v>208210.09097290767</v>
      </c>
      <c r="Z29" s="92">
        <f t="shared" si="19"/>
        <v>176842.5</v>
      </c>
      <c r="AA29" s="5">
        <f t="shared" si="5"/>
        <v>0</v>
      </c>
      <c r="AB29" s="92">
        <f t="shared" si="6"/>
        <v>176842.5</v>
      </c>
      <c r="AD29" s="133">
        <f t="shared" si="7"/>
        <v>-54625</v>
      </c>
      <c r="AE29" s="3">
        <f t="shared" si="8"/>
        <v>1</v>
      </c>
    </row>
    <row r="30" spans="1:31" x14ac:dyDescent="0.45">
      <c r="A30" s="4">
        <f t="shared" si="23"/>
        <v>4</v>
      </c>
      <c r="B30" s="5" t="s">
        <v>6</v>
      </c>
      <c r="C30" s="23">
        <f>C9</f>
        <v>2.5000000000000001E-2</v>
      </c>
      <c r="D30" s="63">
        <f>-V67</f>
        <v>16978.875</v>
      </c>
      <c r="E30" s="23">
        <v>1</v>
      </c>
      <c r="F30" s="63">
        <f t="shared" si="22"/>
        <v>16978.875</v>
      </c>
      <c r="G30" s="65">
        <f>D30-F30</f>
        <v>0</v>
      </c>
      <c r="H30" s="11"/>
      <c r="I30" s="14">
        <f t="shared" si="10"/>
        <v>24</v>
      </c>
      <c r="J30" s="63">
        <f t="shared" si="11"/>
        <v>193783.18858823783</v>
      </c>
      <c r="K30" s="63">
        <f t="shared" si="1"/>
        <v>855.94604740089198</v>
      </c>
      <c r="L30" s="63">
        <f t="shared" si="12"/>
        <v>-5688.438842641619</v>
      </c>
      <c r="M30" s="65">
        <f t="shared" si="0"/>
        <v>188950.69579299708</v>
      </c>
      <c r="O30" s="14">
        <f t="shared" si="13"/>
        <v>24</v>
      </c>
      <c r="P30" s="54">
        <f t="shared" si="14"/>
        <v>12483</v>
      </c>
      <c r="Q30" s="63">
        <f t="shared" si="15"/>
        <v>18518.146309092215</v>
      </c>
      <c r="R30" s="77">
        <f t="shared" si="2"/>
        <v>-5688.438842641619</v>
      </c>
      <c r="S30" s="63">
        <f t="shared" si="16"/>
        <v>-2375</v>
      </c>
      <c r="T30" s="63"/>
      <c r="U30" s="63">
        <f t="shared" si="17"/>
        <v>-925.90731545461085</v>
      </c>
      <c r="V30" s="77">
        <f t="shared" si="20"/>
        <v>-358.625</v>
      </c>
      <c r="W30" s="83">
        <f t="shared" si="4"/>
        <v>9170.1751509959849</v>
      </c>
      <c r="X30" s="85">
        <f t="shared" si="18"/>
        <v>217380.26612390365</v>
      </c>
      <c r="Z30" s="92">
        <f t="shared" si="19"/>
        <v>172140</v>
      </c>
      <c r="AA30" s="5">
        <f t="shared" si="5"/>
        <v>0</v>
      </c>
      <c r="AB30" s="92">
        <f t="shared" si="6"/>
        <v>172140</v>
      </c>
      <c r="AD30" s="133">
        <f t="shared" si="7"/>
        <v>-57000</v>
      </c>
      <c r="AE30" s="3">
        <f t="shared" si="8"/>
        <v>1</v>
      </c>
    </row>
    <row r="31" spans="1:31" x14ac:dyDescent="0.45">
      <c r="A31" s="4">
        <f t="shared" si="23"/>
        <v>5</v>
      </c>
      <c r="B31" s="5" t="s">
        <v>27</v>
      </c>
      <c r="C31" s="334">
        <f>+'Summary Equip'!AH9</f>
        <v>0.5</v>
      </c>
      <c r="D31" s="63">
        <f>D27*C31</f>
        <v>142500</v>
      </c>
      <c r="E31" s="334">
        <f>+ASSUMPTIONS!B43</f>
        <v>0.1</v>
      </c>
      <c r="F31" s="63">
        <f t="shared" si="22"/>
        <v>14250</v>
      </c>
      <c r="G31" s="65">
        <f>D31</f>
        <v>142500</v>
      </c>
      <c r="H31" s="11"/>
      <c r="I31" s="14">
        <f t="shared" si="10"/>
        <v>25</v>
      </c>
      <c r="J31" s="63">
        <f t="shared" si="11"/>
        <v>188950.69579299708</v>
      </c>
      <c r="K31" s="63">
        <f t="shared" si="1"/>
        <v>834.60078449488856</v>
      </c>
      <c r="L31" s="63">
        <f t="shared" si="12"/>
        <v>-5688.438842641619</v>
      </c>
      <c r="M31" s="65">
        <f t="shared" si="0"/>
        <v>184096.85773485035</v>
      </c>
      <c r="O31" s="14">
        <f t="shared" si="13"/>
        <v>25</v>
      </c>
      <c r="P31" s="54">
        <f t="shared" si="14"/>
        <v>13003.125</v>
      </c>
      <c r="Q31" s="63">
        <f t="shared" si="15"/>
        <v>18518.146309092215</v>
      </c>
      <c r="R31" s="77">
        <f t="shared" si="2"/>
        <v>-5688.438842641619</v>
      </c>
      <c r="S31" s="63">
        <f t="shared" si="16"/>
        <v>-2375</v>
      </c>
      <c r="T31" s="63"/>
      <c r="U31" s="63">
        <f t="shared" si="17"/>
        <v>-925.90731545461085</v>
      </c>
      <c r="V31" s="77">
        <f t="shared" si="20"/>
        <v>-348.828125</v>
      </c>
      <c r="W31" s="83">
        <f t="shared" si="4"/>
        <v>9179.9720259959849</v>
      </c>
      <c r="X31" s="85">
        <f t="shared" si="18"/>
        <v>226560.23814989964</v>
      </c>
      <c r="Z31" s="92">
        <f t="shared" si="19"/>
        <v>167437.5</v>
      </c>
      <c r="AA31" s="5">
        <f t="shared" si="5"/>
        <v>0</v>
      </c>
      <c r="AB31" s="92">
        <f t="shared" si="6"/>
        <v>167437.5</v>
      </c>
      <c r="AD31" s="133">
        <f t="shared" si="7"/>
        <v>-59375</v>
      </c>
      <c r="AE31" s="3">
        <f t="shared" si="8"/>
        <v>1</v>
      </c>
    </row>
    <row r="32" spans="1:31" x14ac:dyDescent="0.45">
      <c r="A32" s="4">
        <f t="shared" si="23"/>
        <v>6</v>
      </c>
      <c r="B32" s="5" t="s">
        <v>26</v>
      </c>
      <c r="C32" s="334">
        <f>ASSUMPTIONS!B39</f>
        <v>0.15</v>
      </c>
      <c r="D32" s="63">
        <f>D27*C32</f>
        <v>42750</v>
      </c>
      <c r="E32" s="334">
        <f>+ASSUMPTIONS!B44</f>
        <v>0.05</v>
      </c>
      <c r="F32" s="63">
        <f t="shared" si="22"/>
        <v>2137.5</v>
      </c>
      <c r="G32" s="65">
        <f>D32</f>
        <v>42750</v>
      </c>
      <c r="H32" s="11"/>
      <c r="I32" s="14">
        <f t="shared" si="10"/>
        <v>26</v>
      </c>
      <c r="J32" s="63">
        <f t="shared" si="11"/>
        <v>184096.85773485035</v>
      </c>
      <c r="K32" s="63">
        <f t="shared" si="1"/>
        <v>813.16123893439772</v>
      </c>
      <c r="L32" s="63">
        <f t="shared" si="12"/>
        <v>-5688.438842641619</v>
      </c>
      <c r="M32" s="65">
        <f t="shared" si="0"/>
        <v>179221.58013114313</v>
      </c>
      <c r="O32" s="14">
        <f t="shared" si="13"/>
        <v>26</v>
      </c>
      <c r="P32" s="54">
        <f t="shared" si="14"/>
        <v>13523.25</v>
      </c>
      <c r="Q32" s="63">
        <f t="shared" si="15"/>
        <v>18518.146309092215</v>
      </c>
      <c r="R32" s="77">
        <f t="shared" si="2"/>
        <v>-5688.438842641619</v>
      </c>
      <c r="S32" s="63">
        <f t="shared" si="16"/>
        <v>-2375</v>
      </c>
      <c r="T32" s="63"/>
      <c r="U32" s="63">
        <f t="shared" si="17"/>
        <v>-925.90731545461085</v>
      </c>
      <c r="V32" s="77">
        <f t="shared" si="20"/>
        <v>-339.03125</v>
      </c>
      <c r="W32" s="83">
        <f t="shared" si="4"/>
        <v>9189.7689009959849</v>
      </c>
      <c r="X32" s="85">
        <f t="shared" si="18"/>
        <v>235750.00705089563</v>
      </c>
      <c r="Z32" s="92">
        <f t="shared" si="19"/>
        <v>162735</v>
      </c>
      <c r="AA32" s="5">
        <f t="shared" si="5"/>
        <v>0</v>
      </c>
      <c r="AB32" s="92">
        <f t="shared" si="6"/>
        <v>162735</v>
      </c>
      <c r="AD32" s="133">
        <f t="shared" si="7"/>
        <v>-61750</v>
      </c>
      <c r="AE32" s="3">
        <f t="shared" si="8"/>
        <v>1</v>
      </c>
    </row>
    <row r="33" spans="1:31" ht="14.65" thickBot="1" x14ac:dyDescent="0.5">
      <c r="A33" s="6">
        <f t="shared" si="23"/>
        <v>7</v>
      </c>
      <c r="B33" s="7" t="s">
        <v>32</v>
      </c>
      <c r="C33" s="336">
        <f>+'Summary Equip'!AJ9</f>
        <v>0.03</v>
      </c>
      <c r="D33" s="64">
        <f>D27*C33</f>
        <v>8550</v>
      </c>
      <c r="E33" s="334">
        <f>+ASSUMPTIONS!B45</f>
        <v>0</v>
      </c>
      <c r="F33" s="64">
        <f t="shared" si="22"/>
        <v>0</v>
      </c>
      <c r="G33" s="66">
        <f>D33</f>
        <v>8550</v>
      </c>
      <c r="H33" s="11"/>
      <c r="I33" s="14">
        <f t="shared" si="10"/>
        <v>27</v>
      </c>
      <c r="J33" s="63">
        <f t="shared" si="11"/>
        <v>179221.58013114313</v>
      </c>
      <c r="K33" s="63">
        <f t="shared" si="1"/>
        <v>791.6269942701598</v>
      </c>
      <c r="L33" s="63">
        <f t="shared" si="12"/>
        <v>-5688.438842641619</v>
      </c>
      <c r="M33" s="65">
        <f t="shared" si="0"/>
        <v>174324.76828277166</v>
      </c>
      <c r="O33" s="14">
        <f t="shared" si="13"/>
        <v>27</v>
      </c>
      <c r="P33" s="54">
        <f t="shared" si="14"/>
        <v>14043.375</v>
      </c>
      <c r="Q33" s="63">
        <f t="shared" si="15"/>
        <v>18518.146309092215</v>
      </c>
      <c r="R33" s="77">
        <f t="shared" si="2"/>
        <v>-5688.438842641619</v>
      </c>
      <c r="S33" s="63">
        <f t="shared" si="16"/>
        <v>-2375</v>
      </c>
      <c r="T33" s="63"/>
      <c r="U33" s="63">
        <f t="shared" si="17"/>
        <v>-925.90731545461085</v>
      </c>
      <c r="V33" s="77">
        <f t="shared" si="20"/>
        <v>-329.234375</v>
      </c>
      <c r="W33" s="83">
        <f t="shared" si="4"/>
        <v>9199.5657759959849</v>
      </c>
      <c r="X33" s="85">
        <f t="shared" si="18"/>
        <v>244949.57282689161</v>
      </c>
      <c r="Z33" s="92">
        <f t="shared" si="19"/>
        <v>158032.5</v>
      </c>
      <c r="AA33" s="5">
        <f t="shared" si="5"/>
        <v>0</v>
      </c>
      <c r="AB33" s="92">
        <f t="shared" si="6"/>
        <v>158032.5</v>
      </c>
      <c r="AD33" s="133">
        <f t="shared" si="7"/>
        <v>-64125</v>
      </c>
      <c r="AE33" s="3">
        <f t="shared" si="8"/>
        <v>1</v>
      </c>
    </row>
    <row r="34" spans="1:31" ht="14.65" thickBot="1" x14ac:dyDescent="0.5">
      <c r="A34" s="33">
        <f t="shared" si="23"/>
        <v>8</v>
      </c>
      <c r="B34" s="30" t="s">
        <v>8</v>
      </c>
      <c r="C34" s="45"/>
      <c r="D34" s="46"/>
      <c r="E34" s="47"/>
      <c r="F34" s="67">
        <f>SUM(F27:F33)</f>
        <v>299226.51190643071</v>
      </c>
      <c r="G34" s="68">
        <f>SUM(G27:G33)</f>
        <v>250230</v>
      </c>
      <c r="H34" s="11"/>
      <c r="I34" s="14">
        <f t="shared" si="10"/>
        <v>28</v>
      </c>
      <c r="J34" s="63">
        <f t="shared" si="11"/>
        <v>174324.76828277166</v>
      </c>
      <c r="K34" s="63">
        <f t="shared" si="1"/>
        <v>769.99763221344608</v>
      </c>
      <c r="L34" s="63">
        <f t="shared" si="12"/>
        <v>-5688.438842641619</v>
      </c>
      <c r="M34" s="65">
        <f t="shared" si="0"/>
        <v>169406.32707234347</v>
      </c>
      <c r="O34" s="14">
        <f t="shared" si="13"/>
        <v>28</v>
      </c>
      <c r="P34" s="54">
        <f t="shared" si="14"/>
        <v>14563.5</v>
      </c>
      <c r="Q34" s="63">
        <f t="shared" si="15"/>
        <v>18518.146309092215</v>
      </c>
      <c r="R34" s="77">
        <f t="shared" si="2"/>
        <v>-5688.438842641619</v>
      </c>
      <c r="S34" s="63">
        <f t="shared" si="16"/>
        <v>-2375</v>
      </c>
      <c r="T34" s="63"/>
      <c r="U34" s="63">
        <f t="shared" si="17"/>
        <v>-925.90731545461085</v>
      </c>
      <c r="V34" s="77">
        <f t="shared" si="20"/>
        <v>-319.4375</v>
      </c>
      <c r="W34" s="83">
        <f t="shared" si="4"/>
        <v>9209.3626509959849</v>
      </c>
      <c r="X34" s="85">
        <f t="shared" si="18"/>
        <v>254158.9354778876</v>
      </c>
      <c r="Z34" s="92">
        <f t="shared" si="19"/>
        <v>153330</v>
      </c>
      <c r="AA34" s="5">
        <f t="shared" si="5"/>
        <v>0</v>
      </c>
      <c r="AB34" s="92">
        <f t="shared" si="6"/>
        <v>153330</v>
      </c>
      <c r="AD34" s="133">
        <f t="shared" si="7"/>
        <v>-66500</v>
      </c>
      <c r="AE34" s="3">
        <f t="shared" si="8"/>
        <v>1</v>
      </c>
    </row>
    <row r="35" spans="1:31" ht="14.65" thickBot="1" x14ac:dyDescent="0.5">
      <c r="A35" s="31">
        <f>A34+1</f>
        <v>9</v>
      </c>
      <c r="B35" s="32" t="s">
        <v>7</v>
      </c>
      <c r="C35" s="42">
        <f>+C10</f>
        <v>0.05</v>
      </c>
      <c r="D35" s="22"/>
      <c r="E35" s="34"/>
      <c r="F35" s="69">
        <f>F36-F34</f>
        <v>15748.763784549024</v>
      </c>
      <c r="G35" s="70">
        <f>G36-G34</f>
        <v>13170</v>
      </c>
      <c r="H35" s="11"/>
      <c r="I35" s="14">
        <f t="shared" si="10"/>
        <v>29</v>
      </c>
      <c r="J35" s="63">
        <f t="shared" si="11"/>
        <v>169406.32707234347</v>
      </c>
      <c r="K35" s="63">
        <f t="shared" si="1"/>
        <v>748.27273262793472</v>
      </c>
      <c r="L35" s="63">
        <f t="shared" si="12"/>
        <v>-5688.438842641619</v>
      </c>
      <c r="M35" s="65">
        <f t="shared" si="0"/>
        <v>164466.16096232977</v>
      </c>
      <c r="O35" s="14">
        <f t="shared" si="13"/>
        <v>29</v>
      </c>
      <c r="P35" s="54">
        <f t="shared" si="14"/>
        <v>15083.625</v>
      </c>
      <c r="Q35" s="63">
        <f t="shared" si="15"/>
        <v>18518.146309092215</v>
      </c>
      <c r="R35" s="77">
        <f t="shared" si="2"/>
        <v>-5688.438842641619</v>
      </c>
      <c r="S35" s="63">
        <f t="shared" si="16"/>
        <v>-2375</v>
      </c>
      <c r="T35" s="63"/>
      <c r="U35" s="63">
        <f t="shared" si="17"/>
        <v>-925.90731545461085</v>
      </c>
      <c r="V35" s="77">
        <f t="shared" si="20"/>
        <v>-309.640625</v>
      </c>
      <c r="W35" s="83">
        <f t="shared" si="4"/>
        <v>9219.1595259959849</v>
      </c>
      <c r="X35" s="85">
        <f t="shared" si="18"/>
        <v>263378.09500388359</v>
      </c>
      <c r="Z35" s="92">
        <f t="shared" si="19"/>
        <v>148627.5</v>
      </c>
      <c r="AA35" s="5">
        <f t="shared" si="5"/>
        <v>0</v>
      </c>
      <c r="AB35" s="92">
        <f t="shared" si="6"/>
        <v>148627.5</v>
      </c>
      <c r="AD35" s="133">
        <f t="shared" si="7"/>
        <v>-68875</v>
      </c>
      <c r="AE35" s="3">
        <f t="shared" si="8"/>
        <v>1</v>
      </c>
    </row>
    <row r="36" spans="1:31" ht="14.65" thickBot="1" x14ac:dyDescent="0.5">
      <c r="A36" s="37">
        <f>A35+1</f>
        <v>10</v>
      </c>
      <c r="B36" s="38" t="s">
        <v>28</v>
      </c>
      <c r="C36" s="39"/>
      <c r="D36" s="40"/>
      <c r="E36" s="41"/>
      <c r="F36" s="71">
        <f>F34/(100%-C35)</f>
        <v>314975.27569097973</v>
      </c>
      <c r="G36" s="72">
        <f>G34/(100%-C35)</f>
        <v>263400</v>
      </c>
      <c r="H36" s="11"/>
      <c r="I36" s="14">
        <f t="shared" si="10"/>
        <v>30</v>
      </c>
      <c r="J36" s="63">
        <f t="shared" si="11"/>
        <v>164466.16096232977</v>
      </c>
      <c r="K36" s="63">
        <f t="shared" si="1"/>
        <v>726.45187352154926</v>
      </c>
      <c r="L36" s="63">
        <f t="shared" si="12"/>
        <v>-5688.438842641619</v>
      </c>
      <c r="M36" s="65">
        <f t="shared" si="0"/>
        <v>159504.1739932097</v>
      </c>
      <c r="O36" s="14">
        <f t="shared" si="13"/>
        <v>30</v>
      </c>
      <c r="P36" s="54">
        <f t="shared" si="14"/>
        <v>15603.75</v>
      </c>
      <c r="Q36" s="63">
        <f t="shared" si="15"/>
        <v>18518.146309092215</v>
      </c>
      <c r="R36" s="77">
        <f t="shared" si="2"/>
        <v>-5688.438842641619</v>
      </c>
      <c r="S36" s="63">
        <f t="shared" si="16"/>
        <v>-2375</v>
      </c>
      <c r="T36" s="63">
        <f>-T68*0.5</f>
        <v>-21375</v>
      </c>
      <c r="U36" s="63">
        <f t="shared" si="17"/>
        <v>-925.90731545461085</v>
      </c>
      <c r="V36" s="77">
        <f t="shared" si="20"/>
        <v>-299.84375</v>
      </c>
      <c r="W36" s="83">
        <f t="shared" si="4"/>
        <v>-12146.043599004015</v>
      </c>
      <c r="X36" s="85">
        <f t="shared" si="18"/>
        <v>251232.05140487957</v>
      </c>
      <c r="Z36" s="92">
        <f t="shared" si="19"/>
        <v>143925</v>
      </c>
      <c r="AA36" s="5">
        <f t="shared" si="5"/>
        <v>0</v>
      </c>
      <c r="AB36" s="92">
        <f t="shared" si="6"/>
        <v>143925</v>
      </c>
      <c r="AD36" s="133">
        <f t="shared" si="7"/>
        <v>-71250</v>
      </c>
      <c r="AE36" s="3">
        <f t="shared" si="8"/>
        <v>1</v>
      </c>
    </row>
    <row r="37" spans="1:31" x14ac:dyDescent="0.45">
      <c r="C37" s="11"/>
      <c r="D37" s="11"/>
      <c r="E37" s="11"/>
      <c r="F37" s="11"/>
      <c r="G37" s="11"/>
      <c r="H37" s="11"/>
      <c r="I37" s="14">
        <f t="shared" si="10"/>
        <v>31</v>
      </c>
      <c r="J37" s="63">
        <f t="shared" si="11"/>
        <v>159504.1739932097</v>
      </c>
      <c r="K37" s="63">
        <f t="shared" si="1"/>
        <v>704.53463103826164</v>
      </c>
      <c r="L37" s="63">
        <f t="shared" si="12"/>
        <v>-5688.438842641619</v>
      </c>
      <c r="M37" s="65">
        <f t="shared" si="0"/>
        <v>154520.26978160633</v>
      </c>
      <c r="O37" s="14">
        <f t="shared" si="13"/>
        <v>31</v>
      </c>
      <c r="P37" s="54">
        <f t="shared" si="14"/>
        <v>16123.875</v>
      </c>
      <c r="Q37" s="63">
        <f t="shared" si="15"/>
        <v>18518.146309092215</v>
      </c>
      <c r="R37" s="77">
        <f t="shared" si="2"/>
        <v>-5688.438842641619</v>
      </c>
      <c r="S37" s="63">
        <f t="shared" si="16"/>
        <v>-2375</v>
      </c>
      <c r="T37" s="63"/>
      <c r="U37" s="63">
        <f t="shared" si="17"/>
        <v>-925.90731545461085</v>
      </c>
      <c r="V37" s="77">
        <f t="shared" si="20"/>
        <v>-290.046875</v>
      </c>
      <c r="W37" s="83">
        <f t="shared" si="4"/>
        <v>9238.7532759959849</v>
      </c>
      <c r="X37" s="85">
        <f t="shared" si="18"/>
        <v>260470.80468087556</v>
      </c>
      <c r="Z37" s="92">
        <f t="shared" si="19"/>
        <v>139222.5</v>
      </c>
      <c r="AA37" s="5">
        <f t="shared" si="5"/>
        <v>0</v>
      </c>
      <c r="AB37" s="92">
        <f t="shared" si="6"/>
        <v>139222.5</v>
      </c>
      <c r="AD37" s="133">
        <f t="shared" si="7"/>
        <v>-73625</v>
      </c>
      <c r="AE37" s="3">
        <f t="shared" si="8"/>
        <v>1</v>
      </c>
    </row>
    <row r="38" spans="1:31" x14ac:dyDescent="0.45">
      <c r="C38" s="11"/>
      <c r="D38" s="11"/>
      <c r="E38" s="11"/>
      <c r="F38" s="11"/>
      <c r="G38" s="11"/>
      <c r="H38" s="11"/>
      <c r="I38" s="14">
        <f t="shared" si="10"/>
        <v>32</v>
      </c>
      <c r="J38" s="63">
        <f t="shared" si="11"/>
        <v>154520.26978160633</v>
      </c>
      <c r="K38" s="63">
        <f t="shared" si="1"/>
        <v>682.52057944985938</v>
      </c>
      <c r="L38" s="63">
        <f t="shared" si="12"/>
        <v>-5688.438842641619</v>
      </c>
      <c r="M38" s="65">
        <f t="shared" si="0"/>
        <v>149514.35151841457</v>
      </c>
      <c r="O38" s="14">
        <f t="shared" si="13"/>
        <v>32</v>
      </c>
      <c r="P38" s="54">
        <f t="shared" si="14"/>
        <v>16644</v>
      </c>
      <c r="Q38" s="63">
        <f t="shared" si="15"/>
        <v>18518.146309092215</v>
      </c>
      <c r="R38" s="77">
        <f t="shared" si="2"/>
        <v>-5688.438842641619</v>
      </c>
      <c r="S38" s="63">
        <f t="shared" si="16"/>
        <v>-2375</v>
      </c>
      <c r="T38" s="63"/>
      <c r="U38" s="63">
        <f t="shared" si="17"/>
        <v>-925.90731545461085</v>
      </c>
      <c r="V38" s="77">
        <f t="shared" si="20"/>
        <v>-280.25</v>
      </c>
      <c r="W38" s="83">
        <f t="shared" si="4"/>
        <v>9248.5501509959849</v>
      </c>
      <c r="X38" s="85">
        <f t="shared" si="18"/>
        <v>269719.35483187152</v>
      </c>
      <c r="Z38" s="92">
        <f t="shared" si="19"/>
        <v>134520</v>
      </c>
      <c r="AA38" s="5">
        <f t="shared" si="5"/>
        <v>0</v>
      </c>
      <c r="AB38" s="92">
        <f t="shared" si="6"/>
        <v>134520</v>
      </c>
      <c r="AD38" s="133">
        <f t="shared" si="7"/>
        <v>-76000</v>
      </c>
      <c r="AE38" s="3">
        <f t="shared" si="8"/>
        <v>1</v>
      </c>
    </row>
    <row r="39" spans="1:31" x14ac:dyDescent="0.45">
      <c r="C39" s="11"/>
      <c r="D39" s="11"/>
      <c r="E39" s="11"/>
      <c r="F39" s="11"/>
      <c r="G39" s="11"/>
      <c r="H39" s="11"/>
      <c r="I39" s="14">
        <f t="shared" si="10"/>
        <v>33</v>
      </c>
      <c r="J39" s="63">
        <f t="shared" si="11"/>
        <v>149514.35151841457</v>
      </c>
      <c r="K39" s="63">
        <f t="shared" si="1"/>
        <v>660.40929114767584</v>
      </c>
      <c r="L39" s="63">
        <f t="shared" si="12"/>
        <v>-5688.438842641619</v>
      </c>
      <c r="M39" s="65">
        <f t="shared" si="0"/>
        <v>144486.3219669206</v>
      </c>
      <c r="O39" s="14">
        <f t="shared" si="13"/>
        <v>33</v>
      </c>
      <c r="P39" s="54">
        <f t="shared" si="14"/>
        <v>17164.125</v>
      </c>
      <c r="Q39" s="63">
        <f t="shared" si="15"/>
        <v>18518.146309092215</v>
      </c>
      <c r="R39" s="77">
        <f t="shared" si="2"/>
        <v>-5688.438842641619</v>
      </c>
      <c r="S39" s="63">
        <f t="shared" si="16"/>
        <v>-2375</v>
      </c>
      <c r="T39" s="63"/>
      <c r="U39" s="63">
        <f t="shared" si="17"/>
        <v>-925.90731545461085</v>
      </c>
      <c r="V39" s="77">
        <f t="shared" si="20"/>
        <v>-270.453125</v>
      </c>
      <c r="W39" s="83">
        <f t="shared" si="4"/>
        <v>9258.3470259959849</v>
      </c>
      <c r="X39" s="85">
        <f t="shared" si="18"/>
        <v>278977.70185786748</v>
      </c>
      <c r="Z39" s="92">
        <f t="shared" si="19"/>
        <v>129817.5</v>
      </c>
      <c r="AA39" s="5">
        <f t="shared" si="5"/>
        <v>0</v>
      </c>
      <c r="AB39" s="92">
        <f t="shared" si="6"/>
        <v>129817.5</v>
      </c>
      <c r="AD39" s="133">
        <f t="shared" si="7"/>
        <v>-78375</v>
      </c>
      <c r="AE39" s="3">
        <f t="shared" si="8"/>
        <v>1</v>
      </c>
    </row>
    <row r="40" spans="1:31" ht="14.65" thickBot="1" x14ac:dyDescent="0.5">
      <c r="C40" s="11"/>
      <c r="D40" s="11"/>
      <c r="E40" s="11"/>
      <c r="F40" s="11"/>
      <c r="G40" s="11"/>
      <c r="H40" s="11"/>
      <c r="I40" s="14">
        <f t="shared" si="10"/>
        <v>34</v>
      </c>
      <c r="J40" s="63">
        <f t="shared" si="11"/>
        <v>144486.3219669206</v>
      </c>
      <c r="K40" s="63">
        <f t="shared" si="1"/>
        <v>638.20033663428433</v>
      </c>
      <c r="L40" s="63">
        <f t="shared" si="12"/>
        <v>-5688.438842641619</v>
      </c>
      <c r="M40" s="65">
        <f t="shared" si="0"/>
        <v>139436.08346091327</v>
      </c>
      <c r="O40" s="14">
        <f t="shared" si="13"/>
        <v>34</v>
      </c>
      <c r="P40" s="54">
        <f t="shared" si="14"/>
        <v>17684.25</v>
      </c>
      <c r="Q40" s="63">
        <f t="shared" si="15"/>
        <v>18518.146309092215</v>
      </c>
      <c r="R40" s="77">
        <f t="shared" si="2"/>
        <v>-5688.438842641619</v>
      </c>
      <c r="S40" s="63">
        <f t="shared" si="16"/>
        <v>-2375</v>
      </c>
      <c r="T40" s="63"/>
      <c r="U40" s="63">
        <f t="shared" si="17"/>
        <v>-925.90731545461085</v>
      </c>
      <c r="V40" s="77">
        <f t="shared" si="20"/>
        <v>-260.65625</v>
      </c>
      <c r="W40" s="83">
        <f t="shared" si="4"/>
        <v>9268.1439009959849</v>
      </c>
      <c r="X40" s="85">
        <f t="shared" si="18"/>
        <v>288245.84575886343</v>
      </c>
      <c r="Z40" s="92">
        <f t="shared" si="19"/>
        <v>125115</v>
      </c>
      <c r="AA40" s="5">
        <f t="shared" si="5"/>
        <v>0</v>
      </c>
      <c r="AB40" s="92">
        <f t="shared" si="6"/>
        <v>125115</v>
      </c>
      <c r="AD40" s="133">
        <f t="shared" si="7"/>
        <v>-80750</v>
      </c>
      <c r="AE40" s="3">
        <f t="shared" si="8"/>
        <v>1</v>
      </c>
    </row>
    <row r="41" spans="1:31" ht="32.25" customHeight="1" thickBot="1" x14ac:dyDescent="0.5">
      <c r="A41" s="667" t="s">
        <v>29</v>
      </c>
      <c r="B41" s="668"/>
      <c r="C41" s="668"/>
      <c r="D41" s="668"/>
      <c r="E41" s="668"/>
      <c r="F41" s="668"/>
      <c r="G41" s="669"/>
      <c r="H41" s="11"/>
      <c r="I41" s="14">
        <f t="shared" si="10"/>
        <v>35</v>
      </c>
      <c r="J41" s="63">
        <f t="shared" si="11"/>
        <v>139436.08346091327</v>
      </c>
      <c r="K41" s="63">
        <f t="shared" si="1"/>
        <v>615.89328451515564</v>
      </c>
      <c r="L41" s="63">
        <f t="shared" si="12"/>
        <v>-5688.438842641619</v>
      </c>
      <c r="M41" s="65">
        <f t="shared" si="0"/>
        <v>134363.5379027868</v>
      </c>
      <c r="O41" s="14">
        <f t="shared" si="13"/>
        <v>35</v>
      </c>
      <c r="P41" s="54">
        <f t="shared" si="14"/>
        <v>18204.375</v>
      </c>
      <c r="Q41" s="63">
        <f t="shared" si="15"/>
        <v>18518.146309092215</v>
      </c>
      <c r="R41" s="77">
        <f t="shared" si="2"/>
        <v>-5688.438842641619</v>
      </c>
      <c r="S41" s="63">
        <f t="shared" si="16"/>
        <v>-2375</v>
      </c>
      <c r="T41" s="63"/>
      <c r="U41" s="63">
        <f t="shared" si="17"/>
        <v>-925.90731545461085</v>
      </c>
      <c r="V41" s="77">
        <f t="shared" si="20"/>
        <v>-250.859375</v>
      </c>
      <c r="W41" s="83">
        <f t="shared" si="4"/>
        <v>9277.9407759959849</v>
      </c>
      <c r="X41" s="85">
        <f t="shared" si="18"/>
        <v>297523.78653485939</v>
      </c>
      <c r="Z41" s="92">
        <f t="shared" si="19"/>
        <v>120412.5</v>
      </c>
      <c r="AA41" s="5">
        <f t="shared" si="5"/>
        <v>0</v>
      </c>
      <c r="AB41" s="92">
        <f t="shared" si="6"/>
        <v>120412.5</v>
      </c>
      <c r="AD41" s="133">
        <f t="shared" si="7"/>
        <v>-83125</v>
      </c>
      <c r="AE41" s="3">
        <f t="shared" si="8"/>
        <v>1</v>
      </c>
    </row>
    <row r="42" spans="1:31" ht="19.5" customHeight="1" x14ac:dyDescent="0.45">
      <c r="A42" s="35">
        <v>1</v>
      </c>
      <c r="B42" s="670" t="s">
        <v>30</v>
      </c>
      <c r="C42" s="671"/>
      <c r="D42" s="671"/>
      <c r="E42" s="672"/>
      <c r="F42" s="73">
        <f>F36/C12/C14</f>
        <v>5832.875475758884</v>
      </c>
      <c r="G42" s="74">
        <f>G36/C13/C14</f>
        <v>24.388888888888886</v>
      </c>
      <c r="H42" s="11"/>
      <c r="I42" s="20">
        <f t="shared" si="10"/>
        <v>36</v>
      </c>
      <c r="J42" s="63">
        <f t="shared" si="11"/>
        <v>134363.5379027868</v>
      </c>
      <c r="K42" s="79">
        <f t="shared" si="1"/>
        <v>593.48770149027791</v>
      </c>
      <c r="L42" s="63">
        <f t="shared" si="12"/>
        <v>-5688.438842641619</v>
      </c>
      <c r="M42" s="80">
        <f t="shared" si="0"/>
        <v>129268.58676163547</v>
      </c>
      <c r="O42" s="20">
        <f t="shared" si="13"/>
        <v>36</v>
      </c>
      <c r="P42" s="54">
        <f t="shared" si="14"/>
        <v>18724.5</v>
      </c>
      <c r="Q42" s="63">
        <f t="shared" si="15"/>
        <v>18518.146309092215</v>
      </c>
      <c r="R42" s="77">
        <f t="shared" si="2"/>
        <v>-5688.438842641619</v>
      </c>
      <c r="S42" s="63">
        <f t="shared" si="16"/>
        <v>-2375</v>
      </c>
      <c r="T42" s="63"/>
      <c r="U42" s="63">
        <f t="shared" si="17"/>
        <v>-925.90731545461085</v>
      </c>
      <c r="V42" s="77">
        <f t="shared" si="20"/>
        <v>-241.0625</v>
      </c>
      <c r="W42" s="83">
        <f t="shared" si="4"/>
        <v>9287.7376509959849</v>
      </c>
      <c r="X42" s="85">
        <f t="shared" si="18"/>
        <v>306811.52418585535</v>
      </c>
      <c r="Z42" s="92">
        <f t="shared" si="19"/>
        <v>115710</v>
      </c>
      <c r="AA42" s="5">
        <f t="shared" si="5"/>
        <v>0</v>
      </c>
      <c r="AB42" s="92">
        <f t="shared" si="6"/>
        <v>115710</v>
      </c>
      <c r="AD42" s="133">
        <f t="shared" si="7"/>
        <v>-85500</v>
      </c>
      <c r="AE42" s="3">
        <f t="shared" si="8"/>
        <v>1</v>
      </c>
    </row>
    <row r="43" spans="1:31" ht="19.5" customHeight="1" thickBot="1" x14ac:dyDescent="0.5">
      <c r="A43" s="36">
        <f>A42+1</f>
        <v>2</v>
      </c>
      <c r="B43" s="673" t="s">
        <v>31</v>
      </c>
      <c r="C43" s="674"/>
      <c r="D43" s="674"/>
      <c r="E43" s="675"/>
      <c r="F43" s="75"/>
      <c r="G43" s="76">
        <f>+(F42*C12+D13*G42)/D13</f>
        <v>56.793752643104902</v>
      </c>
      <c r="H43" s="11"/>
      <c r="I43" s="20">
        <f t="shared" si="10"/>
        <v>37</v>
      </c>
      <c r="J43" s="63">
        <f t="shared" si="11"/>
        <v>129268.58676163547</v>
      </c>
      <c r="K43" s="79">
        <f t="shared" si="1"/>
        <v>570.98315234574045</v>
      </c>
      <c r="L43" s="63">
        <f t="shared" si="12"/>
        <v>-5688.438842641619</v>
      </c>
      <c r="M43" s="80">
        <f t="shared" si="0"/>
        <v>124151.13107133959</v>
      </c>
      <c r="O43" s="20">
        <f t="shared" si="13"/>
        <v>37</v>
      </c>
      <c r="P43" s="54">
        <f t="shared" si="14"/>
        <v>19244.625</v>
      </c>
      <c r="Q43" s="63">
        <f t="shared" si="15"/>
        <v>18518.146309092215</v>
      </c>
      <c r="R43" s="77">
        <f t="shared" si="2"/>
        <v>-5688.438842641619</v>
      </c>
      <c r="S43" s="63">
        <f t="shared" si="16"/>
        <v>-2375</v>
      </c>
      <c r="T43" s="63"/>
      <c r="U43" s="63">
        <f t="shared" si="17"/>
        <v>-925.90731545461085</v>
      </c>
      <c r="V43" s="77">
        <f t="shared" si="20"/>
        <v>-231.265625</v>
      </c>
      <c r="W43" s="83">
        <f t="shared" si="4"/>
        <v>9297.5345259959849</v>
      </c>
      <c r="X43" s="85">
        <f t="shared" si="18"/>
        <v>316109.05871185131</v>
      </c>
      <c r="Z43" s="92">
        <f t="shared" si="19"/>
        <v>111007.5</v>
      </c>
      <c r="AA43" s="5">
        <f t="shared" si="5"/>
        <v>0</v>
      </c>
      <c r="AB43" s="92">
        <f t="shared" si="6"/>
        <v>111007.5</v>
      </c>
      <c r="AD43" s="133">
        <f t="shared" si="7"/>
        <v>-87875</v>
      </c>
      <c r="AE43" s="3">
        <f t="shared" si="8"/>
        <v>1</v>
      </c>
    </row>
    <row r="44" spans="1:31" x14ac:dyDescent="0.45">
      <c r="I44" s="20">
        <f t="shared" si="10"/>
        <v>38</v>
      </c>
      <c r="J44" s="63">
        <f t="shared" si="11"/>
        <v>124151.13107133959</v>
      </c>
      <c r="K44" s="79">
        <f t="shared" si="1"/>
        <v>548.37919994528022</v>
      </c>
      <c r="L44" s="63">
        <f t="shared" si="12"/>
        <v>-5688.438842641619</v>
      </c>
      <c r="M44" s="80">
        <f t="shared" si="0"/>
        <v>119011.07142864325</v>
      </c>
      <c r="O44" s="20">
        <f t="shared" si="13"/>
        <v>38</v>
      </c>
      <c r="P44" s="54">
        <f t="shared" si="14"/>
        <v>19764.75</v>
      </c>
      <c r="Q44" s="63">
        <f t="shared" si="15"/>
        <v>18518.146309092215</v>
      </c>
      <c r="R44" s="77">
        <f t="shared" si="2"/>
        <v>-5688.438842641619</v>
      </c>
      <c r="S44" s="63">
        <f t="shared" si="16"/>
        <v>-2375</v>
      </c>
      <c r="T44" s="63"/>
      <c r="U44" s="63">
        <f t="shared" si="17"/>
        <v>-925.90731545461085</v>
      </c>
      <c r="V44" s="77">
        <f t="shared" si="20"/>
        <v>-221.46875</v>
      </c>
      <c r="W44" s="83">
        <f t="shared" si="4"/>
        <v>9307.3314009959849</v>
      </c>
      <c r="X44" s="85">
        <f t="shared" si="18"/>
        <v>325416.39011284726</v>
      </c>
      <c r="Z44" s="92">
        <f t="shared" si="19"/>
        <v>106305</v>
      </c>
      <c r="AA44" s="5">
        <f t="shared" si="5"/>
        <v>0</v>
      </c>
      <c r="AB44" s="92">
        <f t="shared" si="6"/>
        <v>106305</v>
      </c>
      <c r="AD44" s="133">
        <f t="shared" si="7"/>
        <v>-90250</v>
      </c>
      <c r="AE44" s="3">
        <f t="shared" si="8"/>
        <v>1</v>
      </c>
    </row>
    <row r="45" spans="1:31" x14ac:dyDescent="0.45">
      <c r="I45" s="20">
        <f t="shared" si="10"/>
        <v>39</v>
      </c>
      <c r="J45" s="63">
        <f t="shared" si="11"/>
        <v>119011.07142864325</v>
      </c>
      <c r="K45" s="79">
        <f t="shared" si="1"/>
        <v>525.67540522178979</v>
      </c>
      <c r="L45" s="63">
        <f t="shared" si="12"/>
        <v>-5688.438842641619</v>
      </c>
      <c r="M45" s="80">
        <f t="shared" si="0"/>
        <v>113848.30799122341</v>
      </c>
      <c r="O45" s="20">
        <f t="shared" si="13"/>
        <v>39</v>
      </c>
      <c r="P45" s="54">
        <f t="shared" si="14"/>
        <v>20284.875</v>
      </c>
      <c r="Q45" s="63">
        <f t="shared" si="15"/>
        <v>18518.146309092215</v>
      </c>
      <c r="R45" s="77">
        <f t="shared" si="2"/>
        <v>-5688.438842641619</v>
      </c>
      <c r="S45" s="63">
        <f t="shared" si="16"/>
        <v>-2375</v>
      </c>
      <c r="T45" s="63"/>
      <c r="U45" s="63">
        <f t="shared" si="17"/>
        <v>-925.90731545461085</v>
      </c>
      <c r="V45" s="77">
        <f t="shared" si="20"/>
        <v>-211.671875</v>
      </c>
      <c r="W45" s="83">
        <f t="shared" si="4"/>
        <v>9317.1282759959849</v>
      </c>
      <c r="X45" s="85">
        <f t="shared" si="18"/>
        <v>334733.51838884322</v>
      </c>
      <c r="Z45" s="92">
        <f t="shared" si="19"/>
        <v>101602.5</v>
      </c>
      <c r="AA45" s="5">
        <f t="shared" si="5"/>
        <v>0</v>
      </c>
      <c r="AB45" s="92">
        <f t="shared" si="6"/>
        <v>101602.5</v>
      </c>
      <c r="AD45" s="133">
        <f t="shared" si="7"/>
        <v>-92625</v>
      </c>
      <c r="AE45" s="3">
        <f t="shared" si="8"/>
        <v>1</v>
      </c>
    </row>
    <row r="46" spans="1:31" x14ac:dyDescent="0.45">
      <c r="I46" s="20">
        <f t="shared" si="10"/>
        <v>40</v>
      </c>
      <c r="J46" s="63">
        <f t="shared" si="11"/>
        <v>113848.30799122341</v>
      </c>
      <c r="K46" s="79">
        <f t="shared" si="1"/>
        <v>502.87132716879006</v>
      </c>
      <c r="L46" s="63">
        <f t="shared" si="12"/>
        <v>-5688.438842641619</v>
      </c>
      <c r="M46" s="80">
        <f t="shared" si="0"/>
        <v>108662.74047575059</v>
      </c>
      <c r="O46" s="20">
        <f t="shared" si="13"/>
        <v>40</v>
      </c>
      <c r="P46" s="54">
        <f t="shared" si="14"/>
        <v>20805</v>
      </c>
      <c r="Q46" s="63">
        <f t="shared" si="15"/>
        <v>18518.146309092215</v>
      </c>
      <c r="R46" s="77">
        <f t="shared" si="2"/>
        <v>-5688.438842641619</v>
      </c>
      <c r="S46" s="63">
        <f t="shared" si="16"/>
        <v>-2375</v>
      </c>
      <c r="T46" s="63"/>
      <c r="U46" s="63">
        <f t="shared" si="17"/>
        <v>-925.90731545461085</v>
      </c>
      <c r="V46" s="77">
        <f t="shared" si="20"/>
        <v>-201.875</v>
      </c>
      <c r="W46" s="83">
        <f t="shared" si="4"/>
        <v>9326.9251509959849</v>
      </c>
      <c r="X46" s="85">
        <f t="shared" si="18"/>
        <v>344060.44353983918</v>
      </c>
      <c r="Z46" s="92">
        <f t="shared" si="19"/>
        <v>96900</v>
      </c>
      <c r="AA46" s="5">
        <f t="shared" si="5"/>
        <v>0</v>
      </c>
      <c r="AB46" s="92">
        <f t="shared" si="6"/>
        <v>96900</v>
      </c>
      <c r="AD46" s="133">
        <f t="shared" si="7"/>
        <v>-95000</v>
      </c>
      <c r="AE46" s="3">
        <f t="shared" si="8"/>
        <v>1</v>
      </c>
    </row>
    <row r="47" spans="1:31" x14ac:dyDescent="0.45">
      <c r="I47" s="20">
        <f t="shared" si="10"/>
        <v>41</v>
      </c>
      <c r="J47" s="63">
        <f t="shared" si="11"/>
        <v>108662.74047575059</v>
      </c>
      <c r="K47" s="79">
        <f t="shared" si="1"/>
        <v>479.9665228318629</v>
      </c>
      <c r="L47" s="63">
        <f t="shared" si="12"/>
        <v>-5688.438842641619</v>
      </c>
      <c r="M47" s="80">
        <f t="shared" si="0"/>
        <v>103454.26815594084</v>
      </c>
      <c r="O47" s="20">
        <f t="shared" si="13"/>
        <v>41</v>
      </c>
      <c r="P47" s="54">
        <f t="shared" si="14"/>
        <v>21325.125</v>
      </c>
      <c r="Q47" s="63">
        <f t="shared" si="15"/>
        <v>18518.146309092215</v>
      </c>
      <c r="R47" s="77">
        <f t="shared" si="2"/>
        <v>-5688.438842641619</v>
      </c>
      <c r="S47" s="63">
        <f t="shared" si="16"/>
        <v>-2375</v>
      </c>
      <c r="T47" s="63"/>
      <c r="U47" s="63">
        <f t="shared" si="17"/>
        <v>-925.90731545461085</v>
      </c>
      <c r="V47" s="77">
        <f t="shared" si="20"/>
        <v>-192.078125</v>
      </c>
      <c r="W47" s="83">
        <f t="shared" si="4"/>
        <v>9336.7220259959849</v>
      </c>
      <c r="X47" s="85">
        <f t="shared" si="18"/>
        <v>353397.16556583514</v>
      </c>
      <c r="Z47" s="92">
        <f t="shared" si="19"/>
        <v>92197.5</v>
      </c>
      <c r="AA47" s="5">
        <f t="shared" si="5"/>
        <v>0</v>
      </c>
      <c r="AB47" s="92">
        <f t="shared" si="6"/>
        <v>92197.5</v>
      </c>
      <c r="AD47" s="133">
        <f t="shared" si="7"/>
        <v>-97375</v>
      </c>
      <c r="AE47" s="3">
        <f t="shared" si="8"/>
        <v>1</v>
      </c>
    </row>
    <row r="48" spans="1:31" x14ac:dyDescent="0.45">
      <c r="I48" s="20">
        <f t="shared" si="10"/>
        <v>42</v>
      </c>
      <c r="J48" s="63">
        <f t="shared" si="11"/>
        <v>103454.26815594084</v>
      </c>
      <c r="K48" s="79">
        <f t="shared" si="1"/>
        <v>456.96054730004784</v>
      </c>
      <c r="L48" s="63">
        <f t="shared" si="12"/>
        <v>-5688.438842641619</v>
      </c>
      <c r="M48" s="80">
        <f t="shared" si="0"/>
        <v>98222.789860599267</v>
      </c>
      <c r="O48" s="20">
        <f t="shared" si="13"/>
        <v>42</v>
      </c>
      <c r="P48" s="54">
        <f t="shared" si="14"/>
        <v>21845.25</v>
      </c>
      <c r="Q48" s="63">
        <f t="shared" si="15"/>
        <v>18518.146309092215</v>
      </c>
      <c r="R48" s="77">
        <f t="shared" si="2"/>
        <v>-5688.438842641619</v>
      </c>
      <c r="S48" s="63">
        <f t="shared" si="16"/>
        <v>-2375</v>
      </c>
      <c r="T48" s="63"/>
      <c r="U48" s="63">
        <f t="shared" si="17"/>
        <v>-925.90731545461085</v>
      </c>
      <c r="V48" s="77">
        <f t="shared" si="20"/>
        <v>-182.28125</v>
      </c>
      <c r="W48" s="83">
        <f t="shared" si="4"/>
        <v>9346.5189009959849</v>
      </c>
      <c r="X48" s="85">
        <f t="shared" si="18"/>
        <v>362743.6844668311</v>
      </c>
      <c r="Z48" s="92">
        <f t="shared" si="19"/>
        <v>87495</v>
      </c>
      <c r="AA48" s="5">
        <f t="shared" si="5"/>
        <v>0</v>
      </c>
      <c r="AB48" s="92">
        <f t="shared" si="6"/>
        <v>87495</v>
      </c>
      <c r="AD48" s="133">
        <f t="shared" si="7"/>
        <v>-99750</v>
      </c>
      <c r="AE48" s="3">
        <f t="shared" si="8"/>
        <v>1</v>
      </c>
    </row>
    <row r="49" spans="9:31" x14ac:dyDescent="0.45">
      <c r="I49" s="20">
        <f t="shared" si="10"/>
        <v>43</v>
      </c>
      <c r="J49" s="63">
        <f t="shared" si="11"/>
        <v>98222.789860599267</v>
      </c>
      <c r="K49" s="79">
        <f t="shared" si="1"/>
        <v>433.85295369719921</v>
      </c>
      <c r="L49" s="63">
        <f t="shared" si="12"/>
        <v>-5688.438842641619</v>
      </c>
      <c r="M49" s="80">
        <f t="shared" si="0"/>
        <v>92968.203971654846</v>
      </c>
      <c r="O49" s="20">
        <f t="shared" si="13"/>
        <v>43</v>
      </c>
      <c r="P49" s="54">
        <f t="shared" si="14"/>
        <v>22365.375</v>
      </c>
      <c r="Q49" s="63">
        <f t="shared" si="15"/>
        <v>18518.146309092215</v>
      </c>
      <c r="R49" s="77">
        <f t="shared" si="2"/>
        <v>-5688.438842641619</v>
      </c>
      <c r="S49" s="63">
        <f t="shared" si="16"/>
        <v>-2375</v>
      </c>
      <c r="T49" s="63"/>
      <c r="U49" s="63">
        <f t="shared" si="17"/>
        <v>-925.90731545461085</v>
      </c>
      <c r="V49" s="77">
        <f t="shared" si="20"/>
        <v>-172.484375</v>
      </c>
      <c r="W49" s="83">
        <f t="shared" si="4"/>
        <v>9356.3157759959849</v>
      </c>
      <c r="X49" s="85">
        <f t="shared" si="18"/>
        <v>372100.00024282705</v>
      </c>
      <c r="Z49" s="92">
        <f t="shared" si="19"/>
        <v>82792.5</v>
      </c>
      <c r="AA49" s="5">
        <f t="shared" si="5"/>
        <v>0</v>
      </c>
      <c r="AB49" s="92">
        <f t="shared" si="6"/>
        <v>82792.5</v>
      </c>
      <c r="AD49" s="133">
        <f t="shared" si="7"/>
        <v>-102125</v>
      </c>
      <c r="AE49" s="3">
        <f t="shared" si="8"/>
        <v>1</v>
      </c>
    </row>
    <row r="50" spans="9:31" x14ac:dyDescent="0.45">
      <c r="I50" s="20">
        <f t="shared" si="10"/>
        <v>44</v>
      </c>
      <c r="J50" s="63">
        <f t="shared" si="11"/>
        <v>92968.203971654846</v>
      </c>
      <c r="K50" s="79">
        <f t="shared" si="1"/>
        <v>410.64329317330646</v>
      </c>
      <c r="L50" s="63">
        <f t="shared" si="12"/>
        <v>-5688.438842641619</v>
      </c>
      <c r="M50" s="80">
        <f t="shared" si="0"/>
        <v>87690.408422186534</v>
      </c>
      <c r="O50" s="20">
        <f t="shared" si="13"/>
        <v>44</v>
      </c>
      <c r="P50" s="54">
        <f t="shared" si="14"/>
        <v>22885.5</v>
      </c>
      <c r="Q50" s="63">
        <f t="shared" si="15"/>
        <v>18518.146309092215</v>
      </c>
      <c r="R50" s="77">
        <f t="shared" si="2"/>
        <v>-5688.438842641619</v>
      </c>
      <c r="S50" s="63">
        <f t="shared" si="16"/>
        <v>-2375</v>
      </c>
      <c r="T50" s="63"/>
      <c r="U50" s="63">
        <f t="shared" si="17"/>
        <v>-925.90731545461085</v>
      </c>
      <c r="V50" s="77">
        <f t="shared" si="20"/>
        <v>-162.6875</v>
      </c>
      <c r="W50" s="83">
        <f t="shared" si="4"/>
        <v>9366.1126509959849</v>
      </c>
      <c r="X50" s="85">
        <f t="shared" si="18"/>
        <v>381466.11289382301</v>
      </c>
      <c r="Z50" s="92">
        <f t="shared" si="19"/>
        <v>78090</v>
      </c>
      <c r="AA50" s="5">
        <f t="shared" si="5"/>
        <v>0</v>
      </c>
      <c r="AB50" s="92">
        <f t="shared" si="6"/>
        <v>78090</v>
      </c>
      <c r="AD50" s="133">
        <f t="shared" si="7"/>
        <v>-104500</v>
      </c>
      <c r="AE50" s="3">
        <f t="shared" si="8"/>
        <v>1</v>
      </c>
    </row>
    <row r="51" spans="9:31" x14ac:dyDescent="0.45">
      <c r="I51" s="20">
        <f t="shared" si="10"/>
        <v>45</v>
      </c>
      <c r="J51" s="63">
        <f t="shared" si="11"/>
        <v>87690.408422186534</v>
      </c>
      <c r="K51" s="79">
        <f t="shared" si="1"/>
        <v>387.33111489577544</v>
      </c>
      <c r="L51" s="63">
        <f t="shared" si="12"/>
        <v>-5688.438842641619</v>
      </c>
      <c r="M51" s="80">
        <f t="shared" si="0"/>
        <v>82389.300694440695</v>
      </c>
      <c r="O51" s="20">
        <f t="shared" si="13"/>
        <v>45</v>
      </c>
      <c r="P51" s="54">
        <f t="shared" si="14"/>
        <v>23405.625</v>
      </c>
      <c r="Q51" s="63">
        <f t="shared" si="15"/>
        <v>18518.146309092215</v>
      </c>
      <c r="R51" s="77">
        <f t="shared" si="2"/>
        <v>-5688.438842641619</v>
      </c>
      <c r="S51" s="63">
        <f t="shared" si="16"/>
        <v>-2375</v>
      </c>
      <c r="T51" s="63"/>
      <c r="U51" s="63">
        <f t="shared" si="17"/>
        <v>-925.90731545461085</v>
      </c>
      <c r="V51" s="77">
        <f t="shared" si="20"/>
        <v>-152.890625</v>
      </c>
      <c r="W51" s="83">
        <f t="shared" si="4"/>
        <v>9375.9095259959849</v>
      </c>
      <c r="X51" s="85">
        <f t="shared" si="18"/>
        <v>390842.02241981897</v>
      </c>
      <c r="Z51" s="92">
        <f t="shared" si="19"/>
        <v>73387.5</v>
      </c>
      <c r="AA51" s="5">
        <f t="shared" si="5"/>
        <v>0</v>
      </c>
      <c r="AB51" s="92">
        <f t="shared" si="6"/>
        <v>73387.5</v>
      </c>
      <c r="AD51" s="133">
        <f t="shared" si="7"/>
        <v>-106875</v>
      </c>
      <c r="AE51" s="3">
        <f t="shared" si="8"/>
        <v>1</v>
      </c>
    </row>
    <row r="52" spans="9:31" x14ac:dyDescent="0.45">
      <c r="I52" s="20">
        <f t="shared" si="10"/>
        <v>46</v>
      </c>
      <c r="J52" s="63">
        <f t="shared" si="11"/>
        <v>82389.300694440695</v>
      </c>
      <c r="K52" s="79">
        <f t="shared" si="1"/>
        <v>363.91596604067092</v>
      </c>
      <c r="L52" s="63">
        <f t="shared" si="12"/>
        <v>-5688.438842641619</v>
      </c>
      <c r="M52" s="80">
        <f t="shared" si="0"/>
        <v>77064.777817839757</v>
      </c>
      <c r="O52" s="20">
        <f t="shared" si="13"/>
        <v>46</v>
      </c>
      <c r="P52" s="54">
        <f t="shared" si="14"/>
        <v>23925.75</v>
      </c>
      <c r="Q52" s="63">
        <f t="shared" si="15"/>
        <v>18518.146309092215</v>
      </c>
      <c r="R52" s="77">
        <f t="shared" si="2"/>
        <v>-5688.438842641619</v>
      </c>
      <c r="S52" s="63">
        <f t="shared" si="16"/>
        <v>-2375</v>
      </c>
      <c r="T52" s="63"/>
      <c r="U52" s="63">
        <f t="shared" si="17"/>
        <v>-925.90731545461085</v>
      </c>
      <c r="V52" s="77">
        <f t="shared" si="20"/>
        <v>-143.09375</v>
      </c>
      <c r="W52" s="83">
        <f t="shared" si="4"/>
        <v>9385.7064009959849</v>
      </c>
      <c r="X52" s="85">
        <f t="shared" si="18"/>
        <v>400227.72882081493</v>
      </c>
      <c r="Z52" s="92">
        <f t="shared" si="19"/>
        <v>68685</v>
      </c>
      <c r="AA52" s="5">
        <f t="shared" si="5"/>
        <v>0</v>
      </c>
      <c r="AB52" s="92">
        <f t="shared" si="6"/>
        <v>68685</v>
      </c>
      <c r="AD52" s="133">
        <f t="shared" si="7"/>
        <v>-109250</v>
      </c>
      <c r="AE52" s="3">
        <f t="shared" si="8"/>
        <v>1</v>
      </c>
    </row>
    <row r="53" spans="9:31" x14ac:dyDescent="0.45">
      <c r="I53" s="20">
        <f t="shared" si="10"/>
        <v>47</v>
      </c>
      <c r="J53" s="63">
        <f t="shared" si="11"/>
        <v>77064.777817839757</v>
      </c>
      <c r="K53" s="79">
        <f t="shared" si="1"/>
        <v>340.39739178392125</v>
      </c>
      <c r="L53" s="63">
        <f t="shared" si="12"/>
        <v>-5688.438842641619</v>
      </c>
      <c r="M53" s="80">
        <f t="shared" si="0"/>
        <v>71716.736366982048</v>
      </c>
      <c r="O53" s="20">
        <f t="shared" si="13"/>
        <v>47</v>
      </c>
      <c r="P53" s="54">
        <f t="shared" si="14"/>
        <v>24445.875</v>
      </c>
      <c r="Q53" s="63">
        <f t="shared" si="15"/>
        <v>18518.146309092215</v>
      </c>
      <c r="R53" s="77">
        <f t="shared" si="2"/>
        <v>-5688.438842641619</v>
      </c>
      <c r="S53" s="63">
        <f t="shared" si="16"/>
        <v>-2375</v>
      </c>
      <c r="T53" s="63"/>
      <c r="U53" s="63">
        <f t="shared" si="17"/>
        <v>-925.90731545461085</v>
      </c>
      <c r="V53" s="77">
        <f t="shared" si="20"/>
        <v>-133.296875</v>
      </c>
      <c r="W53" s="83">
        <f t="shared" si="4"/>
        <v>9395.5032759959849</v>
      </c>
      <c r="X53" s="85">
        <f t="shared" si="18"/>
        <v>409623.23209681088</v>
      </c>
      <c r="Z53" s="92">
        <f t="shared" si="19"/>
        <v>63982.5</v>
      </c>
      <c r="AA53" s="5">
        <f t="shared" si="5"/>
        <v>0</v>
      </c>
      <c r="AB53" s="92">
        <f t="shared" si="6"/>
        <v>63982.5</v>
      </c>
      <c r="AD53" s="133">
        <f t="shared" si="7"/>
        <v>-111625</v>
      </c>
      <c r="AE53" s="3">
        <f t="shared" si="8"/>
        <v>1</v>
      </c>
    </row>
    <row r="54" spans="9:31" x14ac:dyDescent="0.45">
      <c r="I54" s="20">
        <f t="shared" si="10"/>
        <v>48</v>
      </c>
      <c r="J54" s="63">
        <f t="shared" si="11"/>
        <v>71716.736366982048</v>
      </c>
      <c r="K54" s="79">
        <f t="shared" si="1"/>
        <v>316.77493529248318</v>
      </c>
      <c r="L54" s="63">
        <f t="shared" si="12"/>
        <v>-5688.438842641619</v>
      </c>
      <c r="M54" s="80">
        <f t="shared" si="0"/>
        <v>66345.072459632909</v>
      </c>
      <c r="O54" s="20">
        <f t="shared" si="13"/>
        <v>48</v>
      </c>
      <c r="P54" s="54">
        <f t="shared" si="14"/>
        <v>24966</v>
      </c>
      <c r="Q54" s="63">
        <f t="shared" si="15"/>
        <v>18518.146309092215</v>
      </c>
      <c r="R54" s="77">
        <f t="shared" si="2"/>
        <v>-5688.438842641619</v>
      </c>
      <c r="S54" s="63">
        <f t="shared" si="16"/>
        <v>-2375</v>
      </c>
      <c r="T54" s="63">
        <f>-T68*0.5</f>
        <v>-21375</v>
      </c>
      <c r="U54" s="63">
        <f t="shared" si="17"/>
        <v>-925.90731545461085</v>
      </c>
      <c r="V54" s="77">
        <f t="shared" si="20"/>
        <v>-123.5</v>
      </c>
      <c r="W54" s="83">
        <f t="shared" si="4"/>
        <v>-11969.699849004015</v>
      </c>
      <c r="X54" s="85">
        <f t="shared" si="18"/>
        <v>397653.53224780684</v>
      </c>
      <c r="Z54" s="92">
        <f t="shared" si="19"/>
        <v>59280</v>
      </c>
      <c r="AA54" s="5">
        <f t="shared" si="5"/>
        <v>0</v>
      </c>
      <c r="AB54" s="92">
        <f t="shared" si="6"/>
        <v>59280</v>
      </c>
      <c r="AD54" s="133">
        <f t="shared" ref="AD54:AD62" si="24">IF(AD53=0,0,IF(+S54+AD53&lt;-$S$68,0,+S54+AD53))</f>
        <v>-114000</v>
      </c>
      <c r="AE54" s="3">
        <f t="shared" si="8"/>
        <v>1</v>
      </c>
    </row>
    <row r="55" spans="9:31" x14ac:dyDescent="0.45">
      <c r="I55" s="20">
        <f t="shared" si="10"/>
        <v>49</v>
      </c>
      <c r="J55" s="63">
        <f t="shared" si="11"/>
        <v>66345.072459632909</v>
      </c>
      <c r="K55" s="79">
        <f>J55*$C$8*30.44/365.25</f>
        <v>293.04813771546873</v>
      </c>
      <c r="L55" s="63">
        <f t="shared" si="12"/>
        <v>-5688.438842641619</v>
      </c>
      <c r="M55" s="80">
        <f t="shared" si="0"/>
        <v>60949.681754706755</v>
      </c>
      <c r="O55" s="20">
        <f t="shared" si="13"/>
        <v>49</v>
      </c>
      <c r="P55" s="54">
        <f t="shared" si="14"/>
        <v>25486.125</v>
      </c>
      <c r="Q55" s="63">
        <f t="shared" si="15"/>
        <v>18518.146309092215</v>
      </c>
      <c r="R55" s="77">
        <f t="shared" si="2"/>
        <v>-5688.438842641619</v>
      </c>
      <c r="S55" s="63">
        <f t="shared" si="16"/>
        <v>-2375</v>
      </c>
      <c r="T55" s="63">
        <f>-T69*0.5</f>
        <v>0</v>
      </c>
      <c r="U55" s="63">
        <f t="shared" si="17"/>
        <v>-925.90731545461085</v>
      </c>
      <c r="V55" s="77">
        <f t="shared" si="20"/>
        <v>-113.703125</v>
      </c>
      <c r="W55" s="83">
        <f t="shared" si="4"/>
        <v>9415.0970259959849</v>
      </c>
      <c r="X55" s="85">
        <f t="shared" si="18"/>
        <v>407068.6292738028</v>
      </c>
      <c r="Z55" s="92">
        <f t="shared" si="19"/>
        <v>54577.5</v>
      </c>
      <c r="AA55" s="5">
        <f t="shared" si="5"/>
        <v>0</v>
      </c>
      <c r="AB55" s="92">
        <f t="shared" si="6"/>
        <v>54577.5</v>
      </c>
      <c r="AD55" s="133">
        <f t="shared" si="24"/>
        <v>-116375</v>
      </c>
      <c r="AE55" s="3">
        <f t="shared" si="8"/>
        <v>1</v>
      </c>
    </row>
    <row r="56" spans="9:31" x14ac:dyDescent="0.45">
      <c r="I56" s="20">
        <f t="shared" si="10"/>
        <v>50</v>
      </c>
      <c r="J56" s="63">
        <f t="shared" si="11"/>
        <v>60949.681754706755</v>
      </c>
      <c r="K56" s="79">
        <f>J56*$C$8*30.44/365.25</f>
        <v>269.21653817523207</v>
      </c>
      <c r="L56" s="63">
        <f t="shared" si="12"/>
        <v>-5688.438842641619</v>
      </c>
      <c r="M56" s="80">
        <f t="shared" si="0"/>
        <v>55530.459450240371</v>
      </c>
      <c r="O56" s="20">
        <f t="shared" si="13"/>
        <v>50</v>
      </c>
      <c r="P56" s="54">
        <f t="shared" si="14"/>
        <v>26006.25</v>
      </c>
      <c r="Q56" s="63">
        <f t="shared" si="15"/>
        <v>18518.146309092215</v>
      </c>
      <c r="R56" s="77">
        <f t="shared" si="2"/>
        <v>-5688.438842641619</v>
      </c>
      <c r="S56" s="63">
        <f t="shared" si="16"/>
        <v>-2375</v>
      </c>
      <c r="T56" s="63">
        <f>-T70*0.5</f>
        <v>0</v>
      </c>
      <c r="U56" s="63">
        <f t="shared" si="17"/>
        <v>-925.90731545461085</v>
      </c>
      <c r="V56" s="77">
        <f t="shared" si="20"/>
        <v>-103.90625</v>
      </c>
      <c r="W56" s="83">
        <f t="shared" si="4"/>
        <v>9424.8939009959849</v>
      </c>
      <c r="X56" s="85">
        <f t="shared" si="18"/>
        <v>416493.52317479876</v>
      </c>
      <c r="Z56" s="92">
        <f t="shared" si="19"/>
        <v>49875</v>
      </c>
      <c r="AA56" s="5">
        <f t="shared" si="5"/>
        <v>0</v>
      </c>
      <c r="AB56" s="92">
        <f t="shared" si="6"/>
        <v>49875</v>
      </c>
      <c r="AD56" s="133">
        <f t="shared" si="24"/>
        <v>-118750</v>
      </c>
      <c r="AE56" s="3">
        <f t="shared" si="8"/>
        <v>1</v>
      </c>
    </row>
    <row r="57" spans="9:31" x14ac:dyDescent="0.45">
      <c r="I57" s="20">
        <f t="shared" si="10"/>
        <v>51</v>
      </c>
      <c r="J57" s="63">
        <f t="shared" si="11"/>
        <v>55530.459450240371</v>
      </c>
      <c r="K57" s="79">
        <f t="shared" ref="K57:K66" si="25">J57*$C$8*30.44/365.25</f>
        <v>245.27967375841698</v>
      </c>
      <c r="L57" s="63">
        <f t="shared" si="12"/>
        <v>-5688.438842641619</v>
      </c>
      <c r="M57" s="80">
        <f t="shared" si="0"/>
        <v>50087.300281357166</v>
      </c>
      <c r="O57" s="20">
        <f t="shared" si="13"/>
        <v>51</v>
      </c>
      <c r="P57" s="54">
        <f t="shared" si="14"/>
        <v>26526.375</v>
      </c>
      <c r="Q57" s="63">
        <f t="shared" si="15"/>
        <v>18518.146309092215</v>
      </c>
      <c r="R57" s="77">
        <f t="shared" si="2"/>
        <v>-5688.438842641619</v>
      </c>
      <c r="S57" s="63">
        <f t="shared" si="16"/>
        <v>-2375</v>
      </c>
      <c r="T57" s="63">
        <f>-T71*0.5</f>
        <v>0</v>
      </c>
      <c r="U57" s="63">
        <f t="shared" si="17"/>
        <v>-925.90731545461085</v>
      </c>
      <c r="V57" s="77">
        <f t="shared" si="20"/>
        <v>-94.109375</v>
      </c>
      <c r="W57" s="83">
        <f t="shared" si="4"/>
        <v>9434.6907759959849</v>
      </c>
      <c r="X57" s="85">
        <f t="shared" si="18"/>
        <v>425928.21395079471</v>
      </c>
      <c r="Z57" s="92">
        <f t="shared" si="19"/>
        <v>45172.5</v>
      </c>
      <c r="AA57" s="5">
        <f t="shared" si="5"/>
        <v>0</v>
      </c>
      <c r="AB57" s="92">
        <f t="shared" si="6"/>
        <v>45172.5</v>
      </c>
      <c r="AD57" s="133">
        <f t="shared" si="24"/>
        <v>-121125</v>
      </c>
      <c r="AE57" s="3">
        <f t="shared" si="8"/>
        <v>1</v>
      </c>
    </row>
    <row r="58" spans="9:31" x14ac:dyDescent="0.45">
      <c r="I58" s="20">
        <f t="shared" si="10"/>
        <v>52</v>
      </c>
      <c r="J58" s="63">
        <f t="shared" si="11"/>
        <v>50087.300281357166</v>
      </c>
      <c r="K58" s="79">
        <f t="shared" si="25"/>
        <v>221.2370795069655</v>
      </c>
      <c r="L58" s="63">
        <f t="shared" si="12"/>
        <v>-5688.438842641619</v>
      </c>
      <c r="M58" s="80">
        <f t="shared" si="0"/>
        <v>44620.098518222512</v>
      </c>
      <c r="O58" s="20">
        <f t="shared" si="13"/>
        <v>52</v>
      </c>
      <c r="P58" s="54">
        <f t="shared" si="14"/>
        <v>27046.5</v>
      </c>
      <c r="Q58" s="63">
        <f t="shared" si="15"/>
        <v>18518.146309092215</v>
      </c>
      <c r="R58" s="77">
        <f t="shared" si="2"/>
        <v>-5688.438842641619</v>
      </c>
      <c r="S58" s="63">
        <f t="shared" si="16"/>
        <v>-2375</v>
      </c>
      <c r="T58" s="63"/>
      <c r="U58" s="63">
        <f t="shared" si="17"/>
        <v>-925.90731545461085</v>
      </c>
      <c r="V58" s="77">
        <f t="shared" si="20"/>
        <v>-84.3125</v>
      </c>
      <c r="W58" s="83">
        <f t="shared" si="4"/>
        <v>9444.4876509959849</v>
      </c>
      <c r="X58" s="85">
        <f t="shared" si="18"/>
        <v>435372.70160179067</v>
      </c>
      <c r="Z58" s="92">
        <f t="shared" si="19"/>
        <v>40470</v>
      </c>
      <c r="AA58" s="5">
        <f t="shared" si="5"/>
        <v>0</v>
      </c>
      <c r="AB58" s="92">
        <f t="shared" si="6"/>
        <v>40470</v>
      </c>
      <c r="AD58" s="133">
        <f t="shared" si="24"/>
        <v>-123500</v>
      </c>
      <c r="AE58" s="3">
        <f t="shared" si="8"/>
        <v>1</v>
      </c>
    </row>
    <row r="59" spans="9:31" x14ac:dyDescent="0.45">
      <c r="I59" s="20">
        <f t="shared" si="10"/>
        <v>53</v>
      </c>
      <c r="J59" s="63">
        <f t="shared" si="11"/>
        <v>44620.098518222512</v>
      </c>
      <c r="K59" s="79">
        <f t="shared" si="25"/>
        <v>197.0882884090862</v>
      </c>
      <c r="L59" s="63">
        <f t="shared" si="12"/>
        <v>-5688.438842641619</v>
      </c>
      <c r="M59" s="80">
        <f t="shared" si="0"/>
        <v>39128.747963989983</v>
      </c>
      <c r="O59" s="20">
        <f t="shared" si="13"/>
        <v>53</v>
      </c>
      <c r="P59" s="54">
        <f t="shared" si="14"/>
        <v>27566.625</v>
      </c>
      <c r="Q59" s="63">
        <f t="shared" si="15"/>
        <v>18518.146309092215</v>
      </c>
      <c r="R59" s="77">
        <f t="shared" si="2"/>
        <v>-5688.438842641619</v>
      </c>
      <c r="S59" s="63">
        <f t="shared" si="16"/>
        <v>-2375</v>
      </c>
      <c r="T59" s="63"/>
      <c r="U59" s="63">
        <f t="shared" si="17"/>
        <v>-925.90731545461085</v>
      </c>
      <c r="V59" s="77">
        <f t="shared" si="20"/>
        <v>-74.515625</v>
      </c>
      <c r="W59" s="83">
        <f t="shared" si="4"/>
        <v>9454.2845259959849</v>
      </c>
      <c r="X59" s="85">
        <f t="shared" si="18"/>
        <v>444826.98612778663</v>
      </c>
      <c r="Z59" s="92">
        <f t="shared" si="19"/>
        <v>35767.5</v>
      </c>
      <c r="AA59" s="5">
        <f t="shared" si="5"/>
        <v>0</v>
      </c>
      <c r="AB59" s="92">
        <f t="shared" si="6"/>
        <v>35767.5</v>
      </c>
      <c r="AD59" s="133">
        <f t="shared" si="24"/>
        <v>-125875</v>
      </c>
      <c r="AE59" s="3">
        <f t="shared" si="8"/>
        <v>1</v>
      </c>
    </row>
    <row r="60" spans="9:31" x14ac:dyDescent="0.45">
      <c r="I60" s="20">
        <f t="shared" si="10"/>
        <v>54</v>
      </c>
      <c r="J60" s="63">
        <f t="shared" si="11"/>
        <v>39128.747963989983</v>
      </c>
      <c r="K60" s="79">
        <f t="shared" si="25"/>
        <v>172.83283139018295</v>
      </c>
      <c r="L60" s="63">
        <f t="shared" si="12"/>
        <v>-5688.438842641619</v>
      </c>
      <c r="M60" s="80">
        <f t="shared" si="0"/>
        <v>33613.141952738544</v>
      </c>
      <c r="O60" s="20">
        <f t="shared" si="13"/>
        <v>54</v>
      </c>
      <c r="P60" s="54">
        <f t="shared" si="14"/>
        <v>28086.75</v>
      </c>
      <c r="Q60" s="63">
        <f t="shared" si="15"/>
        <v>18518.146309092215</v>
      </c>
      <c r="R60" s="77">
        <f t="shared" si="2"/>
        <v>-5688.438842641619</v>
      </c>
      <c r="S60" s="63">
        <f t="shared" si="16"/>
        <v>-2375</v>
      </c>
      <c r="T60" s="63"/>
      <c r="U60" s="63">
        <f t="shared" si="17"/>
        <v>-925.90731545461085</v>
      </c>
      <c r="V60" s="77">
        <f t="shared" si="20"/>
        <v>-64.71875</v>
      </c>
      <c r="W60" s="83">
        <f t="shared" si="4"/>
        <v>9464.0814009959849</v>
      </c>
      <c r="X60" s="85">
        <f t="shared" si="18"/>
        <v>454291.06752878259</v>
      </c>
      <c r="Z60" s="92">
        <f t="shared" si="19"/>
        <v>31065</v>
      </c>
      <c r="AA60" s="5">
        <f t="shared" si="5"/>
        <v>0</v>
      </c>
      <c r="AB60" s="92">
        <f t="shared" si="6"/>
        <v>31065</v>
      </c>
      <c r="AD60" s="133">
        <f t="shared" si="24"/>
        <v>-128250</v>
      </c>
      <c r="AE60" s="3">
        <f t="shared" si="8"/>
        <v>1</v>
      </c>
    </row>
    <row r="61" spans="9:31" x14ac:dyDescent="0.45">
      <c r="I61" s="20">
        <f t="shared" si="10"/>
        <v>55</v>
      </c>
      <c r="J61" s="63">
        <f t="shared" si="11"/>
        <v>33613.141952738544</v>
      </c>
      <c r="K61" s="79">
        <f t="shared" si="25"/>
        <v>148.47023730374306</v>
      </c>
      <c r="L61" s="63">
        <f t="shared" si="12"/>
        <v>-5688.438842641619</v>
      </c>
      <c r="M61" s="80">
        <f t="shared" si="0"/>
        <v>28073.173347400669</v>
      </c>
      <c r="O61" s="20">
        <f t="shared" si="13"/>
        <v>55</v>
      </c>
      <c r="P61" s="54">
        <f t="shared" si="14"/>
        <v>28606.875</v>
      </c>
      <c r="Q61" s="63">
        <f t="shared" si="15"/>
        <v>18518.146309092215</v>
      </c>
      <c r="R61" s="77">
        <f t="shared" si="2"/>
        <v>-5688.438842641619</v>
      </c>
      <c r="S61" s="63">
        <f t="shared" si="16"/>
        <v>-2375</v>
      </c>
      <c r="T61" s="63">
        <f>-T75*0.5</f>
        <v>0</v>
      </c>
      <c r="U61" s="63">
        <f t="shared" si="17"/>
        <v>-925.90731545461085</v>
      </c>
      <c r="V61" s="77">
        <f t="shared" si="20"/>
        <v>-54.921875</v>
      </c>
      <c r="W61" s="83">
        <f t="shared" si="4"/>
        <v>9473.8782759959849</v>
      </c>
      <c r="X61" s="85">
        <f t="shared" si="18"/>
        <v>463764.94580477854</v>
      </c>
      <c r="Z61" s="92">
        <f t="shared" si="19"/>
        <v>26362.5</v>
      </c>
      <c r="AA61" s="5">
        <f t="shared" si="5"/>
        <v>0</v>
      </c>
      <c r="AB61" s="92">
        <f t="shared" si="6"/>
        <v>26362.5</v>
      </c>
      <c r="AD61" s="133">
        <f t="shared" si="24"/>
        <v>-130625</v>
      </c>
      <c r="AE61" s="3">
        <f t="shared" si="8"/>
        <v>1</v>
      </c>
    </row>
    <row r="62" spans="9:31" x14ac:dyDescent="0.45">
      <c r="I62" s="20">
        <f t="shared" si="10"/>
        <v>56</v>
      </c>
      <c r="J62" s="63">
        <f t="shared" si="11"/>
        <v>28073.173347400669</v>
      </c>
      <c r="K62" s="79">
        <f t="shared" si="25"/>
        <v>124.00003292218602</v>
      </c>
      <c r="L62" s="63">
        <f t="shared" si="12"/>
        <v>-5688.438842641619</v>
      </c>
      <c r="M62" s="80">
        <f t="shared" si="0"/>
        <v>22508.734537681237</v>
      </c>
      <c r="O62" s="20">
        <f t="shared" si="13"/>
        <v>56</v>
      </c>
      <c r="P62" s="54">
        <f t="shared" si="14"/>
        <v>29127</v>
      </c>
      <c r="Q62" s="63">
        <f t="shared" si="15"/>
        <v>18518.146309092215</v>
      </c>
      <c r="R62" s="77">
        <f t="shared" si="2"/>
        <v>-5688.438842641619</v>
      </c>
      <c r="S62" s="63">
        <f t="shared" si="16"/>
        <v>-2375</v>
      </c>
      <c r="T62" s="63">
        <f>-T76*0.5</f>
        <v>0</v>
      </c>
      <c r="U62" s="63">
        <f t="shared" si="17"/>
        <v>-925.90731545461085</v>
      </c>
      <c r="V62" s="77">
        <f t="shared" si="20"/>
        <v>-45.125</v>
      </c>
      <c r="W62" s="83">
        <f t="shared" si="4"/>
        <v>9483.6751509959849</v>
      </c>
      <c r="X62" s="85">
        <f t="shared" si="18"/>
        <v>473248.6209557745</v>
      </c>
      <c r="Z62" s="92">
        <f t="shared" si="19"/>
        <v>21660</v>
      </c>
      <c r="AA62" s="5">
        <f t="shared" si="5"/>
        <v>0</v>
      </c>
      <c r="AB62" s="92">
        <f t="shared" si="6"/>
        <v>21660</v>
      </c>
      <c r="AD62" s="133">
        <f t="shared" si="24"/>
        <v>-133000</v>
      </c>
      <c r="AE62" s="3">
        <f t="shared" si="8"/>
        <v>1</v>
      </c>
    </row>
    <row r="63" spans="9:31" x14ac:dyDescent="0.45">
      <c r="I63" s="20">
        <f t="shared" si="10"/>
        <v>57</v>
      </c>
      <c r="J63" s="63">
        <f t="shared" si="11"/>
        <v>22508.734537681237</v>
      </c>
      <c r="K63" s="79">
        <f t="shared" si="25"/>
        <v>99.421742927671175</v>
      </c>
      <c r="L63" s="63">
        <f t="shared" si="12"/>
        <v>-5688.438842641619</v>
      </c>
      <c r="M63" s="80">
        <f t="shared" si="0"/>
        <v>16919.717437967291</v>
      </c>
      <c r="O63" s="20">
        <f t="shared" si="13"/>
        <v>57</v>
      </c>
      <c r="P63" s="54">
        <f t="shared" si="14"/>
        <v>29647.125</v>
      </c>
      <c r="Q63" s="63">
        <f t="shared" si="15"/>
        <v>18518.146309092215</v>
      </c>
      <c r="R63" s="77">
        <f t="shared" si="2"/>
        <v>-5688.438842641619</v>
      </c>
      <c r="S63" s="63">
        <f>+S61</f>
        <v>-2375</v>
      </c>
      <c r="T63" s="63">
        <f>-T76*0.5</f>
        <v>0</v>
      </c>
      <c r="U63" s="63">
        <f>U61</f>
        <v>-925.90731545461085</v>
      </c>
      <c r="V63" s="77">
        <f t="shared" si="20"/>
        <v>-35.328125</v>
      </c>
      <c r="W63" s="83">
        <f t="shared" si="4"/>
        <v>9493.4720259959849</v>
      </c>
      <c r="X63" s="85">
        <f>X61+W63</f>
        <v>473258.4178307745</v>
      </c>
      <c r="Z63" s="92">
        <f t="shared" si="19"/>
        <v>16957.5</v>
      </c>
      <c r="AA63" s="5">
        <f t="shared" si="5"/>
        <v>0</v>
      </c>
      <c r="AB63" s="92">
        <f t="shared" si="6"/>
        <v>16957.5</v>
      </c>
      <c r="AD63" s="133">
        <f>IF(AD61=0,0,IF(+S63+AD61&lt;-$S$68,0,+S63+AD61))</f>
        <v>-133000</v>
      </c>
      <c r="AE63" s="3">
        <f t="shared" si="8"/>
        <v>1</v>
      </c>
    </row>
    <row r="64" spans="9:31" x14ac:dyDescent="0.45">
      <c r="I64" s="20">
        <f t="shared" si="10"/>
        <v>58</v>
      </c>
      <c r="J64" s="63">
        <f t="shared" si="11"/>
        <v>16919.717437967291</v>
      </c>
      <c r="K64" s="79">
        <f t="shared" si="25"/>
        <v>74.73488990286485</v>
      </c>
      <c r="L64" s="63">
        <f t="shared" si="12"/>
        <v>-5688.438842641619</v>
      </c>
      <c r="M64" s="80">
        <f t="shared" si="0"/>
        <v>11306.013485228537</v>
      </c>
      <c r="O64" s="20">
        <f t="shared" si="13"/>
        <v>58</v>
      </c>
      <c r="P64" s="54">
        <f t="shared" si="14"/>
        <v>30167.25</v>
      </c>
      <c r="Q64" s="63">
        <f t="shared" si="15"/>
        <v>18518.146309092215</v>
      </c>
      <c r="R64" s="77">
        <f t="shared" si="2"/>
        <v>-5688.438842641619</v>
      </c>
      <c r="S64" s="63">
        <f>+S61</f>
        <v>-2375</v>
      </c>
      <c r="T64" s="63">
        <f>-T76*0.5</f>
        <v>0</v>
      </c>
      <c r="U64" s="63">
        <f>U61</f>
        <v>-925.90731545461085</v>
      </c>
      <c r="V64" s="77">
        <f t="shared" si="20"/>
        <v>-25.53125</v>
      </c>
      <c r="W64" s="83">
        <f t="shared" si="4"/>
        <v>9503.2689009959849</v>
      </c>
      <c r="X64" s="85">
        <f>X61+W64</f>
        <v>473268.2147057745</v>
      </c>
      <c r="Z64" s="92">
        <f t="shared" si="19"/>
        <v>12255</v>
      </c>
      <c r="AA64" s="5">
        <f t="shared" si="5"/>
        <v>0</v>
      </c>
      <c r="AB64" s="92">
        <f t="shared" si="6"/>
        <v>12255</v>
      </c>
      <c r="AD64" s="133">
        <f>IF(AD61=0,0,IF(+S64+AD61&lt;-$S$68,0,+S64+AD61))</f>
        <v>-133000</v>
      </c>
      <c r="AE64" s="3">
        <f t="shared" si="8"/>
        <v>1</v>
      </c>
    </row>
    <row r="65" spans="1:31" x14ac:dyDescent="0.45">
      <c r="I65" s="20">
        <f t="shared" si="10"/>
        <v>59</v>
      </c>
      <c r="J65" s="63">
        <f t="shared" si="11"/>
        <v>11306.013485228537</v>
      </c>
      <c r="K65" s="79">
        <f t="shared" si="25"/>
        <v>49.938994321667089</v>
      </c>
      <c r="L65" s="63">
        <f t="shared" si="12"/>
        <v>-5688.438842641619</v>
      </c>
      <c r="M65" s="80">
        <f t="shared" si="0"/>
        <v>5667.5136369085849</v>
      </c>
      <c r="O65" s="20">
        <f t="shared" si="13"/>
        <v>59</v>
      </c>
      <c r="P65" s="54">
        <f t="shared" si="14"/>
        <v>30687.375</v>
      </c>
      <c r="Q65" s="63">
        <f t="shared" si="15"/>
        <v>18518.146309092215</v>
      </c>
      <c r="R65" s="77">
        <f t="shared" si="2"/>
        <v>-5688.438842641619</v>
      </c>
      <c r="S65" s="63">
        <f>+S62</f>
        <v>-2375</v>
      </c>
      <c r="T65" s="63">
        <f>-T77*0.5</f>
        <v>0</v>
      </c>
      <c r="U65" s="63">
        <f>U62</f>
        <v>-925.90731545461085</v>
      </c>
      <c r="V65" s="77">
        <f t="shared" si="20"/>
        <v>-15.734375</v>
      </c>
      <c r="W65" s="83">
        <f t="shared" si="4"/>
        <v>9513.0657759959849</v>
      </c>
      <c r="X65" s="85">
        <f>X62+W65</f>
        <v>482761.68673177046</v>
      </c>
      <c r="Z65" s="92">
        <f t="shared" si="19"/>
        <v>7552.5</v>
      </c>
      <c r="AA65" s="5">
        <f t="shared" si="5"/>
        <v>0</v>
      </c>
      <c r="AB65" s="92">
        <f t="shared" si="6"/>
        <v>7552.5</v>
      </c>
      <c r="AD65" s="133">
        <f>IF(AD62=0,0,IF(+S65+AD62&lt;-$S$68,0,+S65+AD62))</f>
        <v>-135375</v>
      </c>
      <c r="AE65" s="3">
        <f t="shared" si="8"/>
        <v>1</v>
      </c>
    </row>
    <row r="66" spans="1:31" ht="14.65" thickBot="1" x14ac:dyDescent="0.5">
      <c r="I66" s="20">
        <f t="shared" si="10"/>
        <v>60</v>
      </c>
      <c r="J66" s="63">
        <f t="shared" si="11"/>
        <v>5667.5136369085849</v>
      </c>
      <c r="K66" s="79">
        <f t="shared" si="25"/>
        <v>25.033574539896939</v>
      </c>
      <c r="L66" s="63">
        <f t="shared" si="12"/>
        <v>-5688.438842641619</v>
      </c>
      <c r="M66" s="80">
        <f t="shared" si="0"/>
        <v>4.1083688068629272</v>
      </c>
      <c r="O66" s="20">
        <f t="shared" si="13"/>
        <v>60</v>
      </c>
      <c r="P66" s="54">
        <f t="shared" si="14"/>
        <v>31207.5</v>
      </c>
      <c r="Q66" s="63">
        <f t="shared" si="15"/>
        <v>18518.146309092215</v>
      </c>
      <c r="R66" s="77">
        <f t="shared" si="2"/>
        <v>-5688.438842641619</v>
      </c>
      <c r="S66" s="63">
        <f>+S62</f>
        <v>-2375</v>
      </c>
      <c r="T66" s="63">
        <f>-T77*0.5</f>
        <v>0</v>
      </c>
      <c r="U66" s="63">
        <f>U62</f>
        <v>-925.90731545461085</v>
      </c>
      <c r="V66" s="77">
        <f t="shared" si="20"/>
        <v>-5.9375</v>
      </c>
      <c r="W66" s="83">
        <f t="shared" si="4"/>
        <v>9522.8626509959849</v>
      </c>
      <c r="X66" s="85">
        <f>X62+W66</f>
        <v>482771.48360677046</v>
      </c>
      <c r="Z66" s="92">
        <f t="shared" si="19"/>
        <v>2850</v>
      </c>
      <c r="AA66" s="5">
        <f t="shared" si="5"/>
        <v>0</v>
      </c>
      <c r="AB66" s="92">
        <f t="shared" si="6"/>
        <v>2850</v>
      </c>
      <c r="AD66" s="133">
        <f>IF(AD62=0,0,IF(+S66+AD62&lt;-$S$68,0,+S66+AD62))</f>
        <v>-135375</v>
      </c>
      <c r="AE66" s="3">
        <f t="shared" si="8"/>
        <v>1</v>
      </c>
    </row>
    <row r="67" spans="1:31" ht="14.65" thickBot="1" x14ac:dyDescent="0.5">
      <c r="I67" s="21" t="s">
        <v>20</v>
      </c>
      <c r="J67" s="69">
        <f>C7*C11</f>
        <v>2992.5</v>
      </c>
      <c r="K67" s="69">
        <f>SUM(K7:K54)</f>
        <v>40140.136906430678</v>
      </c>
      <c r="L67" s="81"/>
      <c r="M67" s="82"/>
      <c r="O67" s="58"/>
      <c r="P67" s="59"/>
      <c r="Q67" s="69">
        <f t="shared" ref="Q67:V67" si="26">SUM(Q7:Q54)</f>
        <v>888871.02283642569</v>
      </c>
      <c r="R67" s="69">
        <f t="shared" si="26"/>
        <v>-273045.06444679794</v>
      </c>
      <c r="S67" s="87">
        <f t="shared" si="26"/>
        <v>-114000</v>
      </c>
      <c r="T67" s="87">
        <f t="shared" si="26"/>
        <v>-42750</v>
      </c>
      <c r="U67" s="69">
        <f t="shared" si="26"/>
        <v>-44443.551141821328</v>
      </c>
      <c r="V67" s="69">
        <f t="shared" si="26"/>
        <v>-16978.875</v>
      </c>
      <c r="W67" s="88"/>
      <c r="X67" s="82"/>
    </row>
    <row r="68" spans="1:31" x14ac:dyDescent="0.45">
      <c r="Q68" s="89">
        <f>+SUM(Q67:V67)</f>
        <v>397653.53224780643</v>
      </c>
      <c r="R68" s="89"/>
      <c r="S68" s="90">
        <f>D31</f>
        <v>142500</v>
      </c>
      <c r="T68" s="60">
        <f>D32</f>
        <v>42750</v>
      </c>
      <c r="U68" s="89"/>
      <c r="V68" s="89"/>
      <c r="W68" s="89"/>
      <c r="X68" s="89"/>
    </row>
    <row r="69" spans="1:31" ht="14.65" thickBot="1" x14ac:dyDescent="0.5">
      <c r="L69" s="129">
        <f>+PMT(C8/12,C12,(C7),,)</f>
        <v>-5688.438842641619</v>
      </c>
      <c r="Q69" s="89"/>
      <c r="R69" s="89"/>
      <c r="S69" s="91">
        <f>S67+S68</f>
        <v>28500</v>
      </c>
      <c r="T69" s="66">
        <f>T67+T68</f>
        <v>0</v>
      </c>
      <c r="U69" s="89"/>
      <c r="V69" s="89"/>
      <c r="W69" s="89"/>
      <c r="X69" s="89"/>
    </row>
    <row r="70" spans="1:31" ht="14.65" thickBot="1" x14ac:dyDescent="0.5">
      <c r="I70" s="12"/>
      <c r="J70" s="316"/>
      <c r="K70" s="316"/>
      <c r="L70" s="316"/>
      <c r="M70" s="316"/>
      <c r="O70" s="12"/>
      <c r="P70" s="12"/>
      <c r="Q70" s="316"/>
      <c r="R70" s="316"/>
      <c r="S70" s="317"/>
      <c r="T70" s="318"/>
      <c r="U70" s="316"/>
      <c r="V70" s="316"/>
      <c r="W70" s="316"/>
      <c r="X70" s="316"/>
    </row>
    <row r="71" spans="1:31" ht="14.65" thickBot="1" x14ac:dyDescent="0.5">
      <c r="I71" s="12"/>
      <c r="J71" s="316"/>
      <c r="K71" s="316"/>
      <c r="L71" s="316"/>
      <c r="M71" s="316"/>
      <c r="O71" s="12"/>
      <c r="P71" s="12"/>
      <c r="Q71" s="316"/>
      <c r="R71" s="316"/>
      <c r="S71" s="317"/>
      <c r="T71" s="318"/>
      <c r="U71" s="316"/>
      <c r="V71" s="316"/>
      <c r="W71" s="316"/>
      <c r="X71" s="316"/>
    </row>
    <row r="72" spans="1:31" x14ac:dyDescent="0.45">
      <c r="Q72" s="89"/>
      <c r="R72" s="89"/>
      <c r="S72" s="90">
        <f>D31</f>
        <v>142500</v>
      </c>
      <c r="T72" s="60">
        <f>D32</f>
        <v>42750</v>
      </c>
      <c r="U72" s="89"/>
      <c r="V72" s="89"/>
      <c r="W72" s="89"/>
      <c r="X72" s="89"/>
    </row>
    <row r="73" spans="1:31" ht="14.65" thickBot="1" x14ac:dyDescent="0.5">
      <c r="L73" s="129"/>
      <c r="Q73" s="89"/>
      <c r="R73" s="89"/>
      <c r="S73" s="91">
        <f>S55+S72</f>
        <v>140125</v>
      </c>
      <c r="T73" s="66">
        <f>T55+T72</f>
        <v>42750</v>
      </c>
      <c r="U73" s="89"/>
      <c r="V73" s="89"/>
      <c r="W73" s="89"/>
      <c r="X73" s="89"/>
    </row>
    <row r="74" spans="1:31" s="131" customFormat="1" ht="14.65" thickBot="1" x14ac:dyDescent="0.5"/>
    <row r="75" spans="1:31" ht="31.15" thickBot="1" x14ac:dyDescent="0.5">
      <c r="A75" s="679" t="str">
        <f>+A3</f>
        <v>Ore Truck 50t</v>
      </c>
      <c r="B75" s="680"/>
      <c r="C75" s="681"/>
      <c r="D75" s="682" t="s">
        <v>2</v>
      </c>
      <c r="E75" s="694"/>
      <c r="F75" s="694"/>
      <c r="G75" s="694"/>
      <c r="H75" s="683"/>
      <c r="I75" s="683"/>
      <c r="J75" s="683"/>
      <c r="K75" s="683"/>
      <c r="L75" s="683"/>
      <c r="M75" s="683"/>
      <c r="N75" s="683"/>
      <c r="O75" s="683"/>
      <c r="P75" s="683"/>
      <c r="Q75" s="683"/>
      <c r="R75" s="683"/>
      <c r="S75" s="683"/>
      <c r="T75" s="683"/>
      <c r="U75" s="683"/>
      <c r="V75" s="683"/>
      <c r="W75" s="683"/>
      <c r="X75" s="684"/>
    </row>
    <row r="76" spans="1:31" ht="28.9" thickBot="1" x14ac:dyDescent="0.5">
      <c r="C76" s="11"/>
      <c r="D76" s="11"/>
      <c r="E76" s="164" t="s">
        <v>77</v>
      </c>
      <c r="F76" s="164" t="s">
        <v>78</v>
      </c>
      <c r="G76" s="164" t="s">
        <v>79</v>
      </c>
      <c r="H76" s="11"/>
      <c r="I76" s="12"/>
      <c r="J76" s="11"/>
      <c r="K76" s="11"/>
      <c r="L76" s="11"/>
      <c r="M76" s="11"/>
      <c r="Q76" s="56">
        <v>416</v>
      </c>
      <c r="U76" s="57">
        <v>0.05</v>
      </c>
    </row>
    <row r="77" spans="1:31" ht="23.65" thickBot="1" x14ac:dyDescent="0.5">
      <c r="A77" s="685" t="s">
        <v>9</v>
      </c>
      <c r="B77" s="686"/>
      <c r="C77" s="687"/>
      <c r="D77" s="11"/>
      <c r="E77" s="165" t="e">
        <v>#REF!</v>
      </c>
      <c r="F77" s="165" t="e">
        <v>#REF!</v>
      </c>
      <c r="G77" s="165" t="e">
        <v>#REF!</v>
      </c>
      <c r="H77" s="11"/>
      <c r="I77" s="688" t="s">
        <v>34</v>
      </c>
      <c r="J77" s="689"/>
      <c r="K77" s="689"/>
      <c r="L77" s="689"/>
      <c r="M77" s="690"/>
      <c r="O77" s="688" t="s">
        <v>35</v>
      </c>
      <c r="P77" s="691"/>
      <c r="Q77" s="689"/>
      <c r="R77" s="689"/>
      <c r="S77" s="689"/>
      <c r="T77" s="689"/>
      <c r="U77" s="689"/>
      <c r="V77" s="689"/>
      <c r="W77" s="692"/>
      <c r="X77" s="693"/>
      <c r="AA77" s="145">
        <v>0</v>
      </c>
    </row>
    <row r="78" spans="1:31" ht="28.9" thickBot="1" x14ac:dyDescent="0.5">
      <c r="A78" s="29" t="s">
        <v>0</v>
      </c>
      <c r="B78" s="28" t="s">
        <v>1</v>
      </c>
      <c r="C78" s="50" t="s">
        <v>10</v>
      </c>
      <c r="D78" s="11"/>
      <c r="E78" s="11"/>
      <c r="F78" s="11"/>
      <c r="G78" s="11"/>
      <c r="H78" s="11"/>
      <c r="I78" s="16" t="s">
        <v>15</v>
      </c>
      <c r="J78" s="17" t="s">
        <v>16</v>
      </c>
      <c r="K78" s="17" t="s">
        <v>17</v>
      </c>
      <c r="L78" s="17" t="s">
        <v>18</v>
      </c>
      <c r="M78" s="18" t="s">
        <v>19</v>
      </c>
      <c r="O78" s="16" t="s">
        <v>15</v>
      </c>
      <c r="P78" s="52" t="s">
        <v>39</v>
      </c>
      <c r="Q78" s="17" t="s">
        <v>36</v>
      </c>
      <c r="R78" s="17" t="s">
        <v>37</v>
      </c>
      <c r="S78" s="17" t="s">
        <v>27</v>
      </c>
      <c r="T78" s="17" t="s">
        <v>38</v>
      </c>
      <c r="U78" s="17" t="s">
        <v>7</v>
      </c>
      <c r="V78" s="17" t="s">
        <v>41</v>
      </c>
      <c r="W78" s="18" t="s">
        <v>40</v>
      </c>
      <c r="X78" s="55" t="s">
        <v>42</v>
      </c>
      <c r="Z78" s="5" t="s">
        <v>71</v>
      </c>
      <c r="AA78" s="5" t="s">
        <v>46</v>
      </c>
      <c r="AB78" s="5" t="s">
        <v>47</v>
      </c>
    </row>
    <row r="79" spans="1:31" x14ac:dyDescent="0.45">
      <c r="A79" s="8">
        <v>1</v>
      </c>
      <c r="B79" s="9" t="s">
        <v>11</v>
      </c>
      <c r="C79" s="61" t="e">
        <v>#REF!</v>
      </c>
      <c r="D79" s="163"/>
      <c r="E79" s="8" t="s">
        <v>61</v>
      </c>
      <c r="F79" s="148" t="e">
        <v>#REF!</v>
      </c>
      <c r="G79" s="106"/>
      <c r="H79" s="11"/>
      <c r="I79" s="15">
        <v>1</v>
      </c>
      <c r="J79" s="77" t="e">
        <f>C79</f>
        <v>#REF!</v>
      </c>
      <c r="K79" s="77" t="e">
        <f>J79*$C$8*30.44/365.25</f>
        <v>#REF!</v>
      </c>
      <c r="L79" s="77" t="e">
        <f>L126</f>
        <v>#REF!</v>
      </c>
      <c r="M79" s="78" t="e">
        <f t="shared" ref="M79:M126" si="27">J79+K79+L79</f>
        <v>#REF!</v>
      </c>
      <c r="O79" s="15">
        <v>1</v>
      </c>
      <c r="P79" s="53">
        <f>Q76</f>
        <v>416</v>
      </c>
      <c r="Q79" s="77">
        <f>$F$42+($Q$4*$G$42)</f>
        <v>18518.146309092215</v>
      </c>
      <c r="R79" s="77" t="e">
        <f>L79</f>
        <v>#REF!</v>
      </c>
      <c r="S79" s="77" t="e">
        <f>-S128/C84</f>
        <v>#REF!</v>
      </c>
      <c r="T79" s="77"/>
      <c r="U79" s="77">
        <f>-Q79*U76</f>
        <v>-925.90731545461085</v>
      </c>
      <c r="V79" s="77">
        <f>-(AB79*$C$9/12)</f>
        <v>-583.953125</v>
      </c>
      <c r="W79" s="83" t="e">
        <f>SUM(Q79:V79)</f>
        <v>#REF!</v>
      </c>
      <c r="X79" s="84" t="e">
        <f>W79</f>
        <v>#REF!</v>
      </c>
      <c r="Z79" s="92">
        <f>+$D$27-(($D$27+$D$28)*O79/$B$22)</f>
        <v>280297.5</v>
      </c>
      <c r="AA79" s="5">
        <f>+Z79*$AA$5</f>
        <v>0</v>
      </c>
      <c r="AB79" s="92">
        <f>+Z79+AA79</f>
        <v>280297.5</v>
      </c>
    </row>
    <row r="80" spans="1:31" ht="28.5" x14ac:dyDescent="0.45">
      <c r="A80" s="4">
        <f>A79+1</f>
        <v>2</v>
      </c>
      <c r="B80" s="5" t="s">
        <v>3</v>
      </c>
      <c r="C80" s="51">
        <f t="shared" ref="C80:C86" si="28">+C8</f>
        <v>5.2999999999999999E-2</v>
      </c>
      <c r="D80" s="11"/>
      <c r="E80" s="107" t="s">
        <v>64</v>
      </c>
      <c r="F80" s="314" t="e">
        <v>#REF!</v>
      </c>
      <c r="G80" s="108"/>
      <c r="H80" s="11"/>
      <c r="I80" s="14">
        <f>I79+1</f>
        <v>2</v>
      </c>
      <c r="J80" s="63" t="e">
        <f>M79</f>
        <v>#REF!</v>
      </c>
      <c r="K80" s="63" t="e">
        <f t="shared" ref="K80:K126" si="29">J80*$C$8*30.44/365.25</f>
        <v>#REF!</v>
      </c>
      <c r="L80" s="63" t="e">
        <f>L79</f>
        <v>#REF!</v>
      </c>
      <c r="M80" s="65" t="e">
        <f t="shared" si="27"/>
        <v>#REF!</v>
      </c>
      <c r="O80" s="14">
        <f>O79+1</f>
        <v>2</v>
      </c>
      <c r="P80" s="54">
        <f>P79+$Q$4</f>
        <v>936.125</v>
      </c>
      <c r="Q80" s="63">
        <f>$F$42+($Q$4*$G$42)</f>
        <v>18518.146309092215</v>
      </c>
      <c r="R80" s="63" t="e">
        <f>R79</f>
        <v>#REF!</v>
      </c>
      <c r="S80" s="63" t="e">
        <f>+S79</f>
        <v>#REF!</v>
      </c>
      <c r="T80" s="63"/>
      <c r="U80" s="63">
        <f>U79</f>
        <v>-925.90731545461085</v>
      </c>
      <c r="V80" s="77">
        <f t="shared" ref="V80:V86" si="30">-(AB80*$C$9/12)</f>
        <v>-574.15625</v>
      </c>
      <c r="W80" s="83" t="e">
        <f t="shared" ref="W80:W126" si="31">SUM(Q80:V80)</f>
        <v>#REF!</v>
      </c>
      <c r="X80" s="85" t="e">
        <f>X79+W80</f>
        <v>#REF!</v>
      </c>
      <c r="Z80" s="92">
        <f>+$D$27-(($D$27+$D$28)*O80/$B$22)</f>
        <v>275595</v>
      </c>
      <c r="AA80" s="5">
        <f t="shared" ref="AA80:AA126" si="32">+Z80*$AA$5</f>
        <v>0</v>
      </c>
      <c r="AB80" s="92">
        <f t="shared" ref="AB80:AB126" si="33">+Z80+AA80</f>
        <v>275595</v>
      </c>
    </row>
    <row r="81" spans="1:28" x14ac:dyDescent="0.45">
      <c r="A81" s="4">
        <f t="shared" ref="A81:A86" si="34">A80+1</f>
        <v>3</v>
      </c>
      <c r="B81" s="5" t="s">
        <v>4</v>
      </c>
      <c r="C81" s="51">
        <f t="shared" si="28"/>
        <v>2.5000000000000001E-2</v>
      </c>
      <c r="D81" s="11"/>
      <c r="E81" s="109" t="s">
        <v>69</v>
      </c>
      <c r="F81" s="149">
        <f>+F9</f>
        <v>14250</v>
      </c>
      <c r="G81" s="110"/>
      <c r="H81" s="11"/>
      <c r="I81" s="14">
        <f t="shared" ref="I81:I126" si="35">I80+1</f>
        <v>3</v>
      </c>
      <c r="J81" s="63" t="e">
        <f t="shared" ref="J81:J95" si="36">M80</f>
        <v>#REF!</v>
      </c>
      <c r="K81" s="63" t="e">
        <f t="shared" si="29"/>
        <v>#REF!</v>
      </c>
      <c r="L81" s="63" t="e">
        <f t="shared" ref="L81:L113" si="37">L80</f>
        <v>#REF!</v>
      </c>
      <c r="M81" s="65" t="e">
        <f t="shared" si="27"/>
        <v>#REF!</v>
      </c>
      <c r="O81" s="14">
        <f t="shared" ref="O81:O126" si="38">O80+1</f>
        <v>3</v>
      </c>
      <c r="P81" s="54">
        <f t="shared" ref="P81:P126" si="39">P80+$Q$4</f>
        <v>1456.25</v>
      </c>
      <c r="Q81" s="63">
        <f t="shared" ref="Q81:Q126" si="40">$F$42+($Q$4*$G$42)</f>
        <v>18518.146309092215</v>
      </c>
      <c r="R81" s="63" t="e">
        <f>R80</f>
        <v>#REF!</v>
      </c>
      <c r="S81" s="63" t="e">
        <f t="shared" ref="S81:S126" si="41">+S80</f>
        <v>#REF!</v>
      </c>
      <c r="T81" s="63"/>
      <c r="U81" s="63">
        <f t="shared" ref="U81:U126" si="42">U80</f>
        <v>-925.90731545461085</v>
      </c>
      <c r="V81" s="77">
        <f t="shared" si="30"/>
        <v>-564.359375</v>
      </c>
      <c r="W81" s="83" t="e">
        <f t="shared" si="31"/>
        <v>#REF!</v>
      </c>
      <c r="X81" s="85" t="e">
        <f t="shared" ref="X81:X126" si="43">X80+W81</f>
        <v>#REF!</v>
      </c>
      <c r="Z81" s="92">
        <f t="shared" ref="Z81:Z126" si="44">+$D$27-(($D$27+$D$28)*O81/$B$22)</f>
        <v>270892.5</v>
      </c>
      <c r="AA81" s="5">
        <f t="shared" si="32"/>
        <v>0</v>
      </c>
      <c r="AB81" s="92">
        <f t="shared" si="33"/>
        <v>270892.5</v>
      </c>
    </row>
    <row r="82" spans="1:28" ht="14.65" thickBot="1" x14ac:dyDescent="0.5">
      <c r="A82" s="4">
        <f t="shared" si="34"/>
        <v>4</v>
      </c>
      <c r="B82" s="5" t="s">
        <v>5</v>
      </c>
      <c r="C82" s="51">
        <f t="shared" si="28"/>
        <v>0.05</v>
      </c>
      <c r="D82" s="11"/>
      <c r="E82" s="111" t="s">
        <v>52</v>
      </c>
      <c r="F82" s="315" t="e">
        <f>(SUM(F79:F81)*G82)*(1-F77)</f>
        <v>#REF!</v>
      </c>
      <c r="G82" s="128">
        <f>+G10</f>
        <v>0</v>
      </c>
      <c r="H82" s="11"/>
      <c r="I82" s="14">
        <f t="shared" si="35"/>
        <v>4</v>
      </c>
      <c r="J82" s="63" t="e">
        <f t="shared" si="36"/>
        <v>#REF!</v>
      </c>
      <c r="K82" s="63" t="e">
        <f t="shared" si="29"/>
        <v>#REF!</v>
      </c>
      <c r="L82" s="63" t="e">
        <f t="shared" si="37"/>
        <v>#REF!</v>
      </c>
      <c r="M82" s="65" t="e">
        <f t="shared" si="27"/>
        <v>#REF!</v>
      </c>
      <c r="O82" s="14">
        <f t="shared" si="38"/>
        <v>4</v>
      </c>
      <c r="P82" s="54">
        <f t="shared" si="39"/>
        <v>1976.375</v>
      </c>
      <c r="Q82" s="63">
        <f t="shared" si="40"/>
        <v>18518.146309092215</v>
      </c>
      <c r="R82" s="63" t="e">
        <f t="shared" ref="R82:R126" si="45">R81</f>
        <v>#REF!</v>
      </c>
      <c r="S82" s="63" t="e">
        <f t="shared" si="41"/>
        <v>#REF!</v>
      </c>
      <c r="T82" s="63"/>
      <c r="U82" s="63">
        <f t="shared" si="42"/>
        <v>-925.90731545461085</v>
      </c>
      <c r="V82" s="77">
        <f t="shared" si="30"/>
        <v>-554.5625</v>
      </c>
      <c r="W82" s="83" t="e">
        <f t="shared" si="31"/>
        <v>#REF!</v>
      </c>
      <c r="X82" s="85" t="e">
        <f t="shared" si="43"/>
        <v>#REF!</v>
      </c>
      <c r="Z82" s="92">
        <f t="shared" si="44"/>
        <v>266190</v>
      </c>
      <c r="AA82" s="5">
        <f t="shared" si="32"/>
        <v>0</v>
      </c>
      <c r="AB82" s="92">
        <f t="shared" si="33"/>
        <v>266190</v>
      </c>
    </row>
    <row r="83" spans="1:28" ht="14.65" thickBot="1" x14ac:dyDescent="0.5">
      <c r="A83" s="4">
        <f t="shared" si="34"/>
        <v>5</v>
      </c>
      <c r="B83" s="5" t="s">
        <v>12</v>
      </c>
      <c r="C83" s="51">
        <f t="shared" si="28"/>
        <v>0.01</v>
      </c>
      <c r="D83" s="11"/>
      <c r="E83" s="112" t="s">
        <v>28</v>
      </c>
      <c r="F83" s="313" t="e">
        <f>SUM(F79:F82)</f>
        <v>#REF!</v>
      </c>
      <c r="G83" s="113"/>
      <c r="H83" s="11"/>
      <c r="I83" s="14">
        <f t="shared" si="35"/>
        <v>5</v>
      </c>
      <c r="J83" s="63" t="e">
        <f t="shared" si="36"/>
        <v>#REF!</v>
      </c>
      <c r="K83" s="63" t="e">
        <f t="shared" si="29"/>
        <v>#REF!</v>
      </c>
      <c r="L83" s="63" t="e">
        <f t="shared" si="37"/>
        <v>#REF!</v>
      </c>
      <c r="M83" s="65" t="e">
        <f t="shared" si="27"/>
        <v>#REF!</v>
      </c>
      <c r="O83" s="14">
        <f t="shared" si="38"/>
        <v>5</v>
      </c>
      <c r="P83" s="54">
        <f t="shared" si="39"/>
        <v>2496.5</v>
      </c>
      <c r="Q83" s="63">
        <f t="shared" si="40"/>
        <v>18518.146309092215</v>
      </c>
      <c r="R83" s="63" t="e">
        <f t="shared" si="45"/>
        <v>#REF!</v>
      </c>
      <c r="S83" s="63" t="e">
        <f t="shared" si="41"/>
        <v>#REF!</v>
      </c>
      <c r="T83" s="63"/>
      <c r="U83" s="63">
        <f t="shared" si="42"/>
        <v>-925.90731545461085</v>
      </c>
      <c r="V83" s="77">
        <f t="shared" si="30"/>
        <v>-544.765625</v>
      </c>
      <c r="W83" s="83" t="e">
        <f t="shared" si="31"/>
        <v>#REF!</v>
      </c>
      <c r="X83" s="85" t="e">
        <f t="shared" si="43"/>
        <v>#REF!</v>
      </c>
      <c r="Z83" s="92">
        <f t="shared" si="44"/>
        <v>261487.5</v>
      </c>
      <c r="AA83" s="5">
        <f t="shared" si="32"/>
        <v>0</v>
      </c>
      <c r="AB83" s="92">
        <f t="shared" si="33"/>
        <v>261487.5</v>
      </c>
    </row>
    <row r="84" spans="1:28" x14ac:dyDescent="0.45">
      <c r="A84" s="4">
        <f t="shared" si="34"/>
        <v>6</v>
      </c>
      <c r="B84" s="5" t="s">
        <v>13</v>
      </c>
      <c r="C84" s="166">
        <f t="shared" si="28"/>
        <v>60</v>
      </c>
      <c r="D84" s="11"/>
      <c r="E84" s="11"/>
      <c r="F84" s="11"/>
      <c r="G84" s="11"/>
      <c r="H84" s="11"/>
      <c r="I84" s="14">
        <f t="shared" si="35"/>
        <v>6</v>
      </c>
      <c r="J84" s="63" t="e">
        <f t="shared" si="36"/>
        <v>#REF!</v>
      </c>
      <c r="K84" s="63" t="e">
        <f t="shared" si="29"/>
        <v>#REF!</v>
      </c>
      <c r="L84" s="63" t="e">
        <f t="shared" si="37"/>
        <v>#REF!</v>
      </c>
      <c r="M84" s="65" t="e">
        <f t="shared" si="27"/>
        <v>#REF!</v>
      </c>
      <c r="O84" s="14">
        <f t="shared" si="38"/>
        <v>6</v>
      </c>
      <c r="P84" s="54">
        <f t="shared" si="39"/>
        <v>3016.625</v>
      </c>
      <c r="Q84" s="63">
        <f t="shared" si="40"/>
        <v>18518.146309092215</v>
      </c>
      <c r="R84" s="63" t="e">
        <f t="shared" si="45"/>
        <v>#REF!</v>
      </c>
      <c r="S84" s="63" t="e">
        <f t="shared" si="41"/>
        <v>#REF!</v>
      </c>
      <c r="T84" s="63"/>
      <c r="U84" s="63">
        <f t="shared" si="42"/>
        <v>-925.90731545461085</v>
      </c>
      <c r="V84" s="77">
        <f t="shared" si="30"/>
        <v>-534.96875</v>
      </c>
      <c r="W84" s="83" t="e">
        <f t="shared" si="31"/>
        <v>#REF!</v>
      </c>
      <c r="X84" s="85" t="e">
        <f t="shared" si="43"/>
        <v>#REF!</v>
      </c>
      <c r="Z84" s="92">
        <f t="shared" si="44"/>
        <v>256785</v>
      </c>
      <c r="AA84" s="5">
        <f t="shared" si="32"/>
        <v>0</v>
      </c>
      <c r="AB84" s="92">
        <f t="shared" si="33"/>
        <v>256785</v>
      </c>
    </row>
    <row r="85" spans="1:28" x14ac:dyDescent="0.45">
      <c r="A85" s="4">
        <f t="shared" si="34"/>
        <v>7</v>
      </c>
      <c r="B85" s="5" t="s">
        <v>14</v>
      </c>
      <c r="C85" s="166">
        <f t="shared" si="28"/>
        <v>12000</v>
      </c>
      <c r="D85" s="11"/>
      <c r="E85" s="11"/>
      <c r="F85" s="11"/>
      <c r="G85" s="11"/>
      <c r="H85" s="11"/>
      <c r="I85" s="14">
        <f t="shared" si="35"/>
        <v>7</v>
      </c>
      <c r="J85" s="63" t="e">
        <f t="shared" si="36"/>
        <v>#REF!</v>
      </c>
      <c r="K85" s="63" t="e">
        <f t="shared" si="29"/>
        <v>#REF!</v>
      </c>
      <c r="L85" s="63" t="e">
        <f t="shared" si="37"/>
        <v>#REF!</v>
      </c>
      <c r="M85" s="65" t="e">
        <f t="shared" si="27"/>
        <v>#REF!</v>
      </c>
      <c r="O85" s="14">
        <f t="shared" si="38"/>
        <v>7</v>
      </c>
      <c r="P85" s="54">
        <f t="shared" si="39"/>
        <v>3536.75</v>
      </c>
      <c r="Q85" s="63">
        <f t="shared" si="40"/>
        <v>18518.146309092215</v>
      </c>
      <c r="R85" s="63" t="e">
        <f t="shared" si="45"/>
        <v>#REF!</v>
      </c>
      <c r="S85" s="63" t="e">
        <f t="shared" si="41"/>
        <v>#REF!</v>
      </c>
      <c r="T85" s="63"/>
      <c r="U85" s="63">
        <f t="shared" si="42"/>
        <v>-925.90731545461085</v>
      </c>
      <c r="V85" s="77">
        <f t="shared" si="30"/>
        <v>-525.171875</v>
      </c>
      <c r="W85" s="83" t="e">
        <f t="shared" si="31"/>
        <v>#REF!</v>
      </c>
      <c r="X85" s="85" t="e">
        <f t="shared" si="43"/>
        <v>#REF!</v>
      </c>
      <c r="Z85" s="92">
        <f t="shared" si="44"/>
        <v>252082.5</v>
      </c>
      <c r="AA85" s="5">
        <f t="shared" si="32"/>
        <v>0</v>
      </c>
      <c r="AB85" s="92">
        <f t="shared" si="33"/>
        <v>252082.5</v>
      </c>
    </row>
    <row r="86" spans="1:28" ht="14.65" thickBot="1" x14ac:dyDescent="0.5">
      <c r="A86" s="6">
        <f t="shared" si="34"/>
        <v>8</v>
      </c>
      <c r="B86" s="7" t="s">
        <v>33</v>
      </c>
      <c r="C86" s="51">
        <f t="shared" si="28"/>
        <v>0.9</v>
      </c>
      <c r="D86" s="11"/>
      <c r="E86" s="11"/>
      <c r="F86" s="11"/>
      <c r="G86" s="11"/>
      <c r="H86" s="11"/>
      <c r="I86" s="14">
        <f t="shared" si="35"/>
        <v>8</v>
      </c>
      <c r="J86" s="63" t="e">
        <f t="shared" si="36"/>
        <v>#REF!</v>
      </c>
      <c r="K86" s="63" t="e">
        <f t="shared" si="29"/>
        <v>#REF!</v>
      </c>
      <c r="L86" s="63" t="e">
        <f t="shared" si="37"/>
        <v>#REF!</v>
      </c>
      <c r="M86" s="65" t="e">
        <f t="shared" si="27"/>
        <v>#REF!</v>
      </c>
      <c r="O86" s="14">
        <f t="shared" si="38"/>
        <v>8</v>
      </c>
      <c r="P86" s="54">
        <f t="shared" si="39"/>
        <v>4056.875</v>
      </c>
      <c r="Q86" s="63">
        <f t="shared" si="40"/>
        <v>18518.146309092215</v>
      </c>
      <c r="R86" s="63" t="e">
        <f t="shared" si="45"/>
        <v>#REF!</v>
      </c>
      <c r="S86" s="63" t="e">
        <f t="shared" si="41"/>
        <v>#REF!</v>
      </c>
      <c r="T86" s="63"/>
      <c r="U86" s="63">
        <f t="shared" si="42"/>
        <v>-925.90731545461085</v>
      </c>
      <c r="V86" s="77">
        <f t="shared" si="30"/>
        <v>-515.375</v>
      </c>
      <c r="W86" s="83" t="e">
        <f t="shared" si="31"/>
        <v>#REF!</v>
      </c>
      <c r="X86" s="85" t="e">
        <f t="shared" si="43"/>
        <v>#REF!</v>
      </c>
      <c r="Z86" s="92">
        <f t="shared" si="44"/>
        <v>247380</v>
      </c>
      <c r="AA86" s="5">
        <f t="shared" si="32"/>
        <v>0</v>
      </c>
      <c r="AB86" s="92">
        <f t="shared" si="33"/>
        <v>247380</v>
      </c>
    </row>
    <row r="87" spans="1:28" ht="14.65" thickBot="1" x14ac:dyDescent="0.5">
      <c r="C87" s="11"/>
      <c r="D87" s="11"/>
      <c r="E87" s="11"/>
      <c r="F87" s="11"/>
      <c r="G87" s="11"/>
      <c r="H87" s="11"/>
      <c r="I87" s="14">
        <f t="shared" si="35"/>
        <v>9</v>
      </c>
      <c r="J87" s="63" t="e">
        <f t="shared" si="36"/>
        <v>#REF!</v>
      </c>
      <c r="K87" s="63" t="e">
        <f t="shared" si="29"/>
        <v>#REF!</v>
      </c>
      <c r="L87" s="63" t="e">
        <f t="shared" si="37"/>
        <v>#REF!</v>
      </c>
      <c r="M87" s="65" t="e">
        <f t="shared" si="27"/>
        <v>#REF!</v>
      </c>
      <c r="O87" s="14">
        <f t="shared" si="38"/>
        <v>9</v>
      </c>
      <c r="P87" s="54">
        <f t="shared" si="39"/>
        <v>4577</v>
      </c>
      <c r="Q87" s="63">
        <f t="shared" si="40"/>
        <v>18518.146309092215</v>
      </c>
      <c r="R87" s="63" t="e">
        <f t="shared" si="45"/>
        <v>#REF!</v>
      </c>
      <c r="S87" s="63" t="e">
        <f t="shared" si="41"/>
        <v>#REF!</v>
      </c>
      <c r="T87" s="63"/>
      <c r="U87" s="63">
        <f t="shared" si="42"/>
        <v>-925.90731545461085</v>
      </c>
      <c r="V87" s="77">
        <f>-(AB87*$C$9/12)</f>
        <v>-505.578125</v>
      </c>
      <c r="W87" s="83" t="e">
        <f t="shared" si="31"/>
        <v>#REF!</v>
      </c>
      <c r="X87" s="85" t="e">
        <f t="shared" si="43"/>
        <v>#REF!</v>
      </c>
      <c r="Z87" s="92">
        <f t="shared" si="44"/>
        <v>242677.5</v>
      </c>
      <c r="AA87" s="5">
        <f t="shared" si="32"/>
        <v>0</v>
      </c>
      <c r="AB87" s="92">
        <f t="shared" si="33"/>
        <v>242677.5</v>
      </c>
    </row>
    <row r="88" spans="1:28" ht="16.149999999999999" thickBot="1" x14ac:dyDescent="0.5">
      <c r="A88" s="661" t="s">
        <v>43</v>
      </c>
      <c r="B88" s="662"/>
      <c r="C88" s="662"/>
      <c r="D88" s="662"/>
      <c r="E88" s="663"/>
      <c r="F88" s="1"/>
      <c r="G88" s="1"/>
      <c r="H88" s="117"/>
      <c r="I88" s="14">
        <f t="shared" si="35"/>
        <v>10</v>
      </c>
      <c r="J88" s="63" t="e">
        <f t="shared" si="36"/>
        <v>#REF!</v>
      </c>
      <c r="K88" s="63" t="e">
        <f t="shared" si="29"/>
        <v>#REF!</v>
      </c>
      <c r="L88" s="63" t="e">
        <f t="shared" si="37"/>
        <v>#REF!</v>
      </c>
      <c r="M88" s="65" t="e">
        <f t="shared" si="27"/>
        <v>#REF!</v>
      </c>
      <c r="O88" s="14">
        <f t="shared" si="38"/>
        <v>10</v>
      </c>
      <c r="P88" s="54">
        <f t="shared" si="39"/>
        <v>5097.125</v>
      </c>
      <c r="Q88" s="63">
        <f t="shared" si="40"/>
        <v>18518.146309092215</v>
      </c>
      <c r="R88" s="63" t="e">
        <f t="shared" si="45"/>
        <v>#REF!</v>
      </c>
      <c r="S88" s="63" t="e">
        <f t="shared" si="41"/>
        <v>#REF!</v>
      </c>
      <c r="T88" s="63"/>
      <c r="U88" s="63">
        <f t="shared" si="42"/>
        <v>-925.90731545461085</v>
      </c>
      <c r="V88" s="77">
        <f t="shared" ref="V88:V126" si="46">-(AB88*$C$9/12)</f>
        <v>-495.78125</v>
      </c>
      <c r="W88" s="83" t="e">
        <f t="shared" si="31"/>
        <v>#REF!</v>
      </c>
      <c r="X88" s="85" t="e">
        <f t="shared" si="43"/>
        <v>#REF!</v>
      </c>
      <c r="Z88" s="92">
        <f t="shared" si="44"/>
        <v>237975</v>
      </c>
      <c r="AA88" s="5">
        <f t="shared" si="32"/>
        <v>0</v>
      </c>
      <c r="AB88" s="92">
        <f t="shared" si="33"/>
        <v>237975</v>
      </c>
    </row>
    <row r="89" spans="1:28" ht="14.65" thickBot="1" x14ac:dyDescent="0.5">
      <c r="A89" s="97" t="s">
        <v>44</v>
      </c>
      <c r="B89" s="98" t="s">
        <v>48</v>
      </c>
      <c r="C89" s="98" t="s">
        <v>45</v>
      </c>
      <c r="D89" s="99" t="s">
        <v>46</v>
      </c>
      <c r="E89" s="55" t="s">
        <v>47</v>
      </c>
      <c r="F89" s="1"/>
      <c r="G89" s="1"/>
      <c r="H89" s="117"/>
      <c r="I89" s="14">
        <f t="shared" si="35"/>
        <v>11</v>
      </c>
      <c r="J89" s="63" t="e">
        <f t="shared" si="36"/>
        <v>#REF!</v>
      </c>
      <c r="K89" s="63" t="e">
        <f t="shared" si="29"/>
        <v>#REF!</v>
      </c>
      <c r="L89" s="63" t="e">
        <f t="shared" si="37"/>
        <v>#REF!</v>
      </c>
      <c r="M89" s="65" t="e">
        <f t="shared" si="27"/>
        <v>#REF!</v>
      </c>
      <c r="O89" s="14">
        <f t="shared" si="38"/>
        <v>11</v>
      </c>
      <c r="P89" s="54">
        <f t="shared" si="39"/>
        <v>5617.25</v>
      </c>
      <c r="Q89" s="63">
        <f t="shared" si="40"/>
        <v>18518.146309092215</v>
      </c>
      <c r="R89" s="63" t="e">
        <f t="shared" si="45"/>
        <v>#REF!</v>
      </c>
      <c r="S89" s="63" t="e">
        <f t="shared" si="41"/>
        <v>#REF!</v>
      </c>
      <c r="T89" s="63"/>
      <c r="U89" s="63">
        <f t="shared" si="42"/>
        <v>-925.90731545461085</v>
      </c>
      <c r="V89" s="77">
        <f t="shared" si="46"/>
        <v>-485.984375</v>
      </c>
      <c r="W89" s="83" t="e">
        <f t="shared" si="31"/>
        <v>#REF!</v>
      </c>
      <c r="X89" s="85" t="e">
        <f t="shared" si="43"/>
        <v>#REF!</v>
      </c>
      <c r="Z89" s="92">
        <f t="shared" si="44"/>
        <v>233272.5</v>
      </c>
      <c r="AA89" s="5">
        <f t="shared" si="32"/>
        <v>0</v>
      </c>
      <c r="AB89" s="92">
        <f t="shared" si="33"/>
        <v>233272.5</v>
      </c>
    </row>
    <row r="90" spans="1:28" x14ac:dyDescent="0.45">
      <c r="A90" s="94">
        <v>1</v>
      </c>
      <c r="B90" s="95">
        <v>12</v>
      </c>
      <c r="C90" s="96">
        <f>D$27-(D$27+D$28)*B90/60</f>
        <v>228570</v>
      </c>
      <c r="D90" s="100">
        <v>0.1</v>
      </c>
      <c r="E90" s="103">
        <f t="shared" ref="E90:E95" si="47">C90/(100%-D90)</f>
        <v>253966.66666666666</v>
      </c>
      <c r="F90" s="11"/>
      <c r="G90" s="11"/>
      <c r="H90" s="11"/>
      <c r="I90" s="14">
        <f t="shared" si="35"/>
        <v>12</v>
      </c>
      <c r="J90" s="63" t="e">
        <f t="shared" si="36"/>
        <v>#REF!</v>
      </c>
      <c r="K90" s="63" t="e">
        <f t="shared" si="29"/>
        <v>#REF!</v>
      </c>
      <c r="L90" s="63" t="e">
        <f t="shared" si="37"/>
        <v>#REF!</v>
      </c>
      <c r="M90" s="65" t="e">
        <f t="shared" si="27"/>
        <v>#REF!</v>
      </c>
      <c r="O90" s="14">
        <f t="shared" si="38"/>
        <v>12</v>
      </c>
      <c r="P90" s="54">
        <f t="shared" si="39"/>
        <v>6137.375</v>
      </c>
      <c r="Q90" s="63">
        <f t="shared" si="40"/>
        <v>18518.146309092215</v>
      </c>
      <c r="R90" s="63" t="e">
        <f t="shared" si="45"/>
        <v>#REF!</v>
      </c>
      <c r="S90" s="63" t="e">
        <f t="shared" si="41"/>
        <v>#REF!</v>
      </c>
      <c r="T90" s="63"/>
      <c r="U90" s="63">
        <f t="shared" si="42"/>
        <v>-925.90731545461085</v>
      </c>
      <c r="V90" s="77">
        <f t="shared" si="46"/>
        <v>-476.1875</v>
      </c>
      <c r="W90" s="83" t="e">
        <f t="shared" si="31"/>
        <v>#REF!</v>
      </c>
      <c r="X90" s="85" t="e">
        <f t="shared" si="43"/>
        <v>#REF!</v>
      </c>
      <c r="Z90" s="92">
        <f t="shared" si="44"/>
        <v>228570</v>
      </c>
      <c r="AA90" s="5">
        <f t="shared" si="32"/>
        <v>0</v>
      </c>
      <c r="AB90" s="92">
        <f t="shared" si="33"/>
        <v>228570</v>
      </c>
    </row>
    <row r="91" spans="1:28" x14ac:dyDescent="0.45">
      <c r="A91" s="4">
        <f>A90+1</f>
        <v>2</v>
      </c>
      <c r="B91" s="5">
        <f>B90+12</f>
        <v>24</v>
      </c>
      <c r="C91" s="92">
        <f>D$27-(D$27+D$28)*B91/60</f>
        <v>172140</v>
      </c>
      <c r="D91" s="101">
        <f>D90</f>
        <v>0.1</v>
      </c>
      <c r="E91" s="104">
        <f t="shared" si="47"/>
        <v>191266.66666666666</v>
      </c>
      <c r="F91" s="11"/>
      <c r="G91" s="11"/>
      <c r="H91" s="11"/>
      <c r="I91" s="14">
        <f t="shared" si="35"/>
        <v>13</v>
      </c>
      <c r="J91" s="63" t="e">
        <f t="shared" si="36"/>
        <v>#REF!</v>
      </c>
      <c r="K91" s="63" t="e">
        <f t="shared" si="29"/>
        <v>#REF!</v>
      </c>
      <c r="L91" s="63" t="e">
        <f t="shared" si="37"/>
        <v>#REF!</v>
      </c>
      <c r="M91" s="65" t="e">
        <f t="shared" si="27"/>
        <v>#REF!</v>
      </c>
      <c r="O91" s="14">
        <f t="shared" si="38"/>
        <v>13</v>
      </c>
      <c r="P91" s="54">
        <f t="shared" si="39"/>
        <v>6657.5</v>
      </c>
      <c r="Q91" s="63">
        <f t="shared" si="40"/>
        <v>18518.146309092215</v>
      </c>
      <c r="R91" s="63" t="e">
        <f t="shared" si="45"/>
        <v>#REF!</v>
      </c>
      <c r="S91" s="63" t="e">
        <f t="shared" si="41"/>
        <v>#REF!</v>
      </c>
      <c r="T91" s="63"/>
      <c r="U91" s="63">
        <f t="shared" si="42"/>
        <v>-925.90731545461085</v>
      </c>
      <c r="V91" s="77">
        <f t="shared" si="46"/>
        <v>-466.390625</v>
      </c>
      <c r="W91" s="83" t="e">
        <f t="shared" si="31"/>
        <v>#REF!</v>
      </c>
      <c r="X91" s="85" t="e">
        <f t="shared" si="43"/>
        <v>#REF!</v>
      </c>
      <c r="Z91" s="92">
        <f t="shared" si="44"/>
        <v>223867.5</v>
      </c>
      <c r="AA91" s="5">
        <f t="shared" si="32"/>
        <v>0</v>
      </c>
      <c r="AB91" s="92">
        <f t="shared" si="33"/>
        <v>223867.5</v>
      </c>
    </row>
    <row r="92" spans="1:28" x14ac:dyDescent="0.45">
      <c r="A92" s="4">
        <f>A91+1</f>
        <v>3</v>
      </c>
      <c r="B92" s="5">
        <f>B91+12</f>
        <v>36</v>
      </c>
      <c r="C92" s="92">
        <f>D$27-(D$27+D$28)*B92/60</f>
        <v>115710</v>
      </c>
      <c r="D92" s="101">
        <f>D91</f>
        <v>0.1</v>
      </c>
      <c r="E92" s="104">
        <f t="shared" si="47"/>
        <v>128566.66666666666</v>
      </c>
      <c r="F92" s="11"/>
      <c r="G92" s="11"/>
      <c r="H92" s="11"/>
      <c r="I92" s="14">
        <f t="shared" si="35"/>
        <v>14</v>
      </c>
      <c r="J92" s="63" t="e">
        <f t="shared" si="36"/>
        <v>#REF!</v>
      </c>
      <c r="K92" s="63" t="e">
        <f t="shared" si="29"/>
        <v>#REF!</v>
      </c>
      <c r="L92" s="63" t="e">
        <f t="shared" si="37"/>
        <v>#REF!</v>
      </c>
      <c r="M92" s="65" t="e">
        <f t="shared" si="27"/>
        <v>#REF!</v>
      </c>
      <c r="O92" s="14">
        <f t="shared" si="38"/>
        <v>14</v>
      </c>
      <c r="P92" s="54">
        <f t="shared" si="39"/>
        <v>7177.625</v>
      </c>
      <c r="Q92" s="63">
        <f t="shared" si="40"/>
        <v>18518.146309092215</v>
      </c>
      <c r="R92" s="63" t="e">
        <f t="shared" si="45"/>
        <v>#REF!</v>
      </c>
      <c r="S92" s="63" t="e">
        <f t="shared" si="41"/>
        <v>#REF!</v>
      </c>
      <c r="T92" s="63"/>
      <c r="U92" s="63">
        <f t="shared" si="42"/>
        <v>-925.90731545461085</v>
      </c>
      <c r="V92" s="77">
        <f t="shared" si="46"/>
        <v>-456.59375</v>
      </c>
      <c r="W92" s="83" t="e">
        <f t="shared" si="31"/>
        <v>#REF!</v>
      </c>
      <c r="X92" s="85" t="e">
        <f t="shared" si="43"/>
        <v>#REF!</v>
      </c>
      <c r="Z92" s="92">
        <f t="shared" si="44"/>
        <v>219165</v>
      </c>
      <c r="AA92" s="5">
        <f t="shared" si="32"/>
        <v>0</v>
      </c>
      <c r="AB92" s="92">
        <f t="shared" si="33"/>
        <v>219165</v>
      </c>
    </row>
    <row r="93" spans="1:28" x14ac:dyDescent="0.45">
      <c r="A93" s="4">
        <f>A92+1</f>
        <v>4</v>
      </c>
      <c r="B93" s="5">
        <f>B92+12</f>
        <v>48</v>
      </c>
      <c r="C93" s="92">
        <f>D$27-(D$27+D$28)*B93/60</f>
        <v>59280</v>
      </c>
      <c r="D93" s="101">
        <f>D92</f>
        <v>0.1</v>
      </c>
      <c r="E93" s="104">
        <f t="shared" si="47"/>
        <v>65866.666666666672</v>
      </c>
      <c r="F93" s="11"/>
      <c r="G93" s="11"/>
      <c r="H93" s="11"/>
      <c r="I93" s="14">
        <f t="shared" si="35"/>
        <v>15</v>
      </c>
      <c r="J93" s="63" t="e">
        <f t="shared" si="36"/>
        <v>#REF!</v>
      </c>
      <c r="K93" s="63" t="e">
        <f t="shared" si="29"/>
        <v>#REF!</v>
      </c>
      <c r="L93" s="63" t="e">
        <f t="shared" si="37"/>
        <v>#REF!</v>
      </c>
      <c r="M93" s="65" t="e">
        <f t="shared" si="27"/>
        <v>#REF!</v>
      </c>
      <c r="O93" s="14">
        <f t="shared" si="38"/>
        <v>15</v>
      </c>
      <c r="P93" s="54">
        <f t="shared" si="39"/>
        <v>7697.75</v>
      </c>
      <c r="Q93" s="63">
        <f t="shared" si="40"/>
        <v>18518.146309092215</v>
      </c>
      <c r="R93" s="63" t="e">
        <f t="shared" si="45"/>
        <v>#REF!</v>
      </c>
      <c r="S93" s="63" t="e">
        <f t="shared" si="41"/>
        <v>#REF!</v>
      </c>
      <c r="T93" s="63"/>
      <c r="U93" s="63">
        <f t="shared" si="42"/>
        <v>-925.90731545461085</v>
      </c>
      <c r="V93" s="77">
        <f t="shared" si="46"/>
        <v>-446.796875</v>
      </c>
      <c r="W93" s="83" t="e">
        <f t="shared" si="31"/>
        <v>#REF!</v>
      </c>
      <c r="X93" s="85" t="e">
        <f t="shared" si="43"/>
        <v>#REF!</v>
      </c>
      <c r="Z93" s="92">
        <f t="shared" si="44"/>
        <v>214462.5</v>
      </c>
      <c r="AA93" s="5">
        <f t="shared" si="32"/>
        <v>0</v>
      </c>
      <c r="AB93" s="92">
        <f t="shared" si="33"/>
        <v>214462.5</v>
      </c>
    </row>
    <row r="94" spans="1:28" x14ac:dyDescent="0.45">
      <c r="A94" s="4">
        <f>A93+1</f>
        <v>5</v>
      </c>
      <c r="B94" s="5">
        <f>B93+12</f>
        <v>60</v>
      </c>
      <c r="C94" s="92">
        <f>D$27-(D$27+D$28)*B94/60</f>
        <v>2850</v>
      </c>
      <c r="D94" s="101">
        <f>D93</f>
        <v>0.1</v>
      </c>
      <c r="E94" s="104">
        <f t="shared" si="47"/>
        <v>3166.6666666666665</v>
      </c>
      <c r="F94" s="11"/>
      <c r="G94" s="11"/>
      <c r="H94" s="11"/>
      <c r="I94" s="14">
        <f t="shared" si="35"/>
        <v>16</v>
      </c>
      <c r="J94" s="63" t="e">
        <f t="shared" si="36"/>
        <v>#REF!</v>
      </c>
      <c r="K94" s="63" t="e">
        <f t="shared" si="29"/>
        <v>#REF!</v>
      </c>
      <c r="L94" s="63" t="e">
        <f t="shared" si="37"/>
        <v>#REF!</v>
      </c>
      <c r="M94" s="65" t="e">
        <f t="shared" si="27"/>
        <v>#REF!</v>
      </c>
      <c r="O94" s="14">
        <f t="shared" si="38"/>
        <v>16</v>
      </c>
      <c r="P94" s="54">
        <f t="shared" si="39"/>
        <v>8217.875</v>
      </c>
      <c r="Q94" s="63">
        <f t="shared" si="40"/>
        <v>18518.146309092215</v>
      </c>
      <c r="R94" s="63" t="e">
        <f t="shared" si="45"/>
        <v>#REF!</v>
      </c>
      <c r="S94" s="63" t="e">
        <f t="shared" si="41"/>
        <v>#REF!</v>
      </c>
      <c r="T94" s="63"/>
      <c r="U94" s="63">
        <f t="shared" si="42"/>
        <v>-925.90731545461085</v>
      </c>
      <c r="V94" s="77">
        <f t="shared" si="46"/>
        <v>-437</v>
      </c>
      <c r="W94" s="83" t="e">
        <f t="shared" si="31"/>
        <v>#REF!</v>
      </c>
      <c r="X94" s="85" t="e">
        <f t="shared" si="43"/>
        <v>#REF!</v>
      </c>
      <c r="Z94" s="92">
        <f t="shared" si="44"/>
        <v>209760</v>
      </c>
      <c r="AA94" s="5">
        <f t="shared" si="32"/>
        <v>0</v>
      </c>
      <c r="AB94" s="92">
        <f t="shared" si="33"/>
        <v>209760</v>
      </c>
    </row>
    <row r="95" spans="1:28" ht="14.65" thickBot="1" x14ac:dyDescent="0.5">
      <c r="A95" s="6">
        <f>A94+1</f>
        <v>6</v>
      </c>
      <c r="B95" s="7">
        <f>B94+12</f>
        <v>72</v>
      </c>
      <c r="C95" s="93">
        <v>1</v>
      </c>
      <c r="D95" s="102">
        <f>D94</f>
        <v>0.1</v>
      </c>
      <c r="E95" s="105">
        <f t="shared" si="47"/>
        <v>1.1111111111111112</v>
      </c>
      <c r="H95" s="11"/>
      <c r="I95" s="14">
        <f t="shared" si="35"/>
        <v>17</v>
      </c>
      <c r="J95" s="63" t="e">
        <f t="shared" si="36"/>
        <v>#REF!</v>
      </c>
      <c r="K95" s="63" t="e">
        <f t="shared" si="29"/>
        <v>#REF!</v>
      </c>
      <c r="L95" s="63" t="e">
        <f t="shared" si="37"/>
        <v>#REF!</v>
      </c>
      <c r="M95" s="65" t="e">
        <f t="shared" si="27"/>
        <v>#REF!</v>
      </c>
      <c r="O95" s="14">
        <f t="shared" si="38"/>
        <v>17</v>
      </c>
      <c r="P95" s="54">
        <f t="shared" si="39"/>
        <v>8738</v>
      </c>
      <c r="Q95" s="63">
        <f t="shared" si="40"/>
        <v>18518.146309092215</v>
      </c>
      <c r="R95" s="63" t="e">
        <f t="shared" si="45"/>
        <v>#REF!</v>
      </c>
      <c r="S95" s="63" t="e">
        <f t="shared" si="41"/>
        <v>#REF!</v>
      </c>
      <c r="T95" s="63"/>
      <c r="U95" s="63">
        <f t="shared" si="42"/>
        <v>-925.90731545461085</v>
      </c>
      <c r="V95" s="77">
        <f t="shared" si="46"/>
        <v>-427.203125</v>
      </c>
      <c r="W95" s="83" t="e">
        <f t="shared" si="31"/>
        <v>#REF!</v>
      </c>
      <c r="X95" s="85" t="e">
        <f t="shared" si="43"/>
        <v>#REF!</v>
      </c>
      <c r="Z95" s="92">
        <f t="shared" si="44"/>
        <v>205057.5</v>
      </c>
      <c r="AA95" s="5">
        <f t="shared" si="32"/>
        <v>0</v>
      </c>
      <c r="AB95" s="92">
        <f t="shared" si="33"/>
        <v>205057.5</v>
      </c>
    </row>
    <row r="96" spans="1:28" ht="14.65" thickBot="1" x14ac:dyDescent="0.5">
      <c r="H96" s="11"/>
      <c r="I96" s="14">
        <f>I95+1</f>
        <v>18</v>
      </c>
      <c r="J96" s="63" t="e">
        <f>M95</f>
        <v>#REF!</v>
      </c>
      <c r="K96" s="63" t="e">
        <f t="shared" si="29"/>
        <v>#REF!</v>
      </c>
      <c r="L96" s="63" t="e">
        <f>L95</f>
        <v>#REF!</v>
      </c>
      <c r="M96" s="65" t="e">
        <f t="shared" si="27"/>
        <v>#REF!</v>
      </c>
      <c r="O96" s="14">
        <f>O95+1</f>
        <v>18</v>
      </c>
      <c r="P96" s="54">
        <f t="shared" si="39"/>
        <v>9258.125</v>
      </c>
      <c r="Q96" s="63">
        <f t="shared" si="40"/>
        <v>18518.146309092215</v>
      </c>
      <c r="R96" s="63" t="e">
        <f t="shared" si="45"/>
        <v>#REF!</v>
      </c>
      <c r="S96" s="63" t="e">
        <f t="shared" si="41"/>
        <v>#REF!</v>
      </c>
      <c r="T96" s="63"/>
      <c r="U96" s="63">
        <f t="shared" si="42"/>
        <v>-925.90731545461085</v>
      </c>
      <c r="V96" s="77">
        <f t="shared" si="46"/>
        <v>-417.40625</v>
      </c>
      <c r="W96" s="83" t="e">
        <f t="shared" si="31"/>
        <v>#REF!</v>
      </c>
      <c r="X96" s="85" t="e">
        <f t="shared" si="43"/>
        <v>#REF!</v>
      </c>
      <c r="Z96" s="92">
        <f t="shared" si="44"/>
        <v>200355</v>
      </c>
      <c r="AA96" s="5">
        <f t="shared" si="32"/>
        <v>0</v>
      </c>
      <c r="AB96" s="92">
        <f t="shared" si="33"/>
        <v>200355</v>
      </c>
    </row>
    <row r="97" spans="1:28" ht="31.15" thickBot="1" x14ac:dyDescent="0.5">
      <c r="A97" s="664" t="s">
        <v>21</v>
      </c>
      <c r="B97" s="665"/>
      <c r="C97" s="665"/>
      <c r="D97" s="665"/>
      <c r="E97" s="665"/>
      <c r="F97" s="665"/>
      <c r="G97" s="666"/>
      <c r="H97" s="11"/>
      <c r="I97" s="14">
        <f t="shared" si="35"/>
        <v>19</v>
      </c>
      <c r="J97" s="63" t="e">
        <f t="shared" ref="J97:J126" si="48">M96</f>
        <v>#REF!</v>
      </c>
      <c r="K97" s="63" t="e">
        <f t="shared" si="29"/>
        <v>#REF!</v>
      </c>
      <c r="L97" s="63" t="e">
        <f t="shared" si="37"/>
        <v>#REF!</v>
      </c>
      <c r="M97" s="65" t="e">
        <f t="shared" si="27"/>
        <v>#REF!</v>
      </c>
      <c r="O97" s="14">
        <f t="shared" si="38"/>
        <v>19</v>
      </c>
      <c r="P97" s="54">
        <f t="shared" si="39"/>
        <v>9778.25</v>
      </c>
      <c r="Q97" s="63">
        <f t="shared" si="40"/>
        <v>18518.146309092215</v>
      </c>
      <c r="R97" s="63" t="e">
        <f t="shared" si="45"/>
        <v>#REF!</v>
      </c>
      <c r="S97" s="63" t="e">
        <f t="shared" si="41"/>
        <v>#REF!</v>
      </c>
      <c r="T97" s="63"/>
      <c r="U97" s="63">
        <f t="shared" si="42"/>
        <v>-925.90731545461085</v>
      </c>
      <c r="V97" s="77">
        <f t="shared" si="46"/>
        <v>-407.609375</v>
      </c>
      <c r="W97" s="83" t="e">
        <f t="shared" si="31"/>
        <v>#REF!</v>
      </c>
      <c r="X97" s="85" t="e">
        <f t="shared" si="43"/>
        <v>#REF!</v>
      </c>
      <c r="Z97" s="92">
        <f t="shared" si="44"/>
        <v>195652.5</v>
      </c>
      <c r="AA97" s="5">
        <f t="shared" si="32"/>
        <v>0</v>
      </c>
      <c r="AB97" s="92">
        <f t="shared" si="33"/>
        <v>195652.5</v>
      </c>
    </row>
    <row r="98" spans="1:28" ht="28.9" thickBot="1" x14ac:dyDescent="0.5">
      <c r="A98" s="26" t="s">
        <v>0</v>
      </c>
      <c r="B98" s="27" t="s">
        <v>1</v>
      </c>
      <c r="C98" s="43" t="s">
        <v>22</v>
      </c>
      <c r="D98" s="43" t="s">
        <v>10</v>
      </c>
      <c r="E98" s="43" t="s">
        <v>23</v>
      </c>
      <c r="F98" s="43" t="s">
        <v>24</v>
      </c>
      <c r="G98" s="44" t="s">
        <v>25</v>
      </c>
      <c r="H98" s="11"/>
      <c r="I98" s="14">
        <f t="shared" si="35"/>
        <v>20</v>
      </c>
      <c r="J98" s="63" t="e">
        <f t="shared" si="48"/>
        <v>#REF!</v>
      </c>
      <c r="K98" s="63" t="e">
        <f t="shared" si="29"/>
        <v>#REF!</v>
      </c>
      <c r="L98" s="63" t="e">
        <f t="shared" si="37"/>
        <v>#REF!</v>
      </c>
      <c r="M98" s="65" t="e">
        <f t="shared" si="27"/>
        <v>#REF!</v>
      </c>
      <c r="O98" s="14">
        <f t="shared" si="38"/>
        <v>20</v>
      </c>
      <c r="P98" s="54">
        <f t="shared" si="39"/>
        <v>10298.375</v>
      </c>
      <c r="Q98" s="63">
        <f t="shared" si="40"/>
        <v>18518.146309092215</v>
      </c>
      <c r="R98" s="63" t="e">
        <f t="shared" si="45"/>
        <v>#REF!</v>
      </c>
      <c r="S98" s="63" t="e">
        <f t="shared" si="41"/>
        <v>#REF!</v>
      </c>
      <c r="T98" s="63"/>
      <c r="U98" s="63">
        <f t="shared" si="42"/>
        <v>-925.90731545461085</v>
      </c>
      <c r="V98" s="77">
        <f t="shared" si="46"/>
        <v>-397.8125</v>
      </c>
      <c r="W98" s="83" t="e">
        <f t="shared" si="31"/>
        <v>#REF!</v>
      </c>
      <c r="X98" s="85" t="e">
        <f t="shared" si="43"/>
        <v>#REF!</v>
      </c>
      <c r="Z98" s="92">
        <f t="shared" si="44"/>
        <v>190950</v>
      </c>
      <c r="AA98" s="5">
        <f t="shared" si="32"/>
        <v>0</v>
      </c>
      <c r="AB98" s="92">
        <f t="shared" si="33"/>
        <v>190950</v>
      </c>
    </row>
    <row r="99" spans="1:28" x14ac:dyDescent="0.45">
      <c r="A99" s="8">
        <v>1</v>
      </c>
      <c r="B99" s="9" t="s">
        <v>16</v>
      </c>
      <c r="C99" s="48">
        <v>1</v>
      </c>
      <c r="D99" s="153" t="e">
        <f>+C79*C99</f>
        <v>#REF!</v>
      </c>
      <c r="E99" s="49">
        <v>0.5</v>
      </c>
      <c r="F99" s="62" t="e">
        <f>E99*D99</f>
        <v>#REF!</v>
      </c>
      <c r="G99" s="60" t="e">
        <f>D99-F99</f>
        <v>#REF!</v>
      </c>
      <c r="H99" s="11"/>
      <c r="I99" s="14">
        <f t="shared" si="35"/>
        <v>21</v>
      </c>
      <c r="J99" s="63" t="e">
        <f t="shared" si="48"/>
        <v>#REF!</v>
      </c>
      <c r="K99" s="63" t="e">
        <f t="shared" si="29"/>
        <v>#REF!</v>
      </c>
      <c r="L99" s="63" t="e">
        <f t="shared" si="37"/>
        <v>#REF!</v>
      </c>
      <c r="M99" s="65" t="e">
        <f t="shared" si="27"/>
        <v>#REF!</v>
      </c>
      <c r="O99" s="14">
        <f t="shared" si="38"/>
        <v>21</v>
      </c>
      <c r="P99" s="54">
        <f t="shared" si="39"/>
        <v>10818.5</v>
      </c>
      <c r="Q99" s="63">
        <f t="shared" si="40"/>
        <v>18518.146309092215</v>
      </c>
      <c r="R99" s="63" t="e">
        <f t="shared" si="45"/>
        <v>#REF!</v>
      </c>
      <c r="S99" s="63" t="e">
        <f t="shared" si="41"/>
        <v>#REF!</v>
      </c>
      <c r="T99" s="63"/>
      <c r="U99" s="63">
        <f t="shared" si="42"/>
        <v>-925.90731545461085</v>
      </c>
      <c r="V99" s="77">
        <f t="shared" si="46"/>
        <v>-388.015625</v>
      </c>
      <c r="W99" s="83" t="e">
        <f t="shared" si="31"/>
        <v>#REF!</v>
      </c>
      <c r="X99" s="85" t="e">
        <f t="shared" si="43"/>
        <v>#REF!</v>
      </c>
      <c r="Z99" s="92">
        <f t="shared" si="44"/>
        <v>186247.5</v>
      </c>
      <c r="AA99" s="5">
        <f t="shared" si="32"/>
        <v>0</v>
      </c>
      <c r="AB99" s="92">
        <f t="shared" si="33"/>
        <v>186247.5</v>
      </c>
    </row>
    <row r="100" spans="1:28" x14ac:dyDescent="0.45">
      <c r="A100" s="4">
        <f>A99+1</f>
        <v>2</v>
      </c>
      <c r="B100" s="5" t="s">
        <v>12</v>
      </c>
      <c r="C100" s="19">
        <f>C83</f>
        <v>0.01</v>
      </c>
      <c r="D100" s="154" t="e">
        <f>-C100*C79</f>
        <v>#REF!</v>
      </c>
      <c r="E100" s="23">
        <f>E99</f>
        <v>0.5</v>
      </c>
      <c r="F100" s="63" t="e">
        <f t="shared" ref="F100:F105" si="49">E100*D100</f>
        <v>#REF!</v>
      </c>
      <c r="G100" s="65" t="e">
        <f>D100-F100</f>
        <v>#REF!</v>
      </c>
      <c r="H100" s="11"/>
      <c r="I100" s="14">
        <f t="shared" si="35"/>
        <v>22</v>
      </c>
      <c r="J100" s="63" t="e">
        <f t="shared" si="48"/>
        <v>#REF!</v>
      </c>
      <c r="K100" s="63" t="e">
        <f t="shared" si="29"/>
        <v>#REF!</v>
      </c>
      <c r="L100" s="63" t="e">
        <f t="shared" si="37"/>
        <v>#REF!</v>
      </c>
      <c r="M100" s="65" t="e">
        <f t="shared" si="27"/>
        <v>#REF!</v>
      </c>
      <c r="O100" s="14">
        <f t="shared" si="38"/>
        <v>22</v>
      </c>
      <c r="P100" s="54">
        <f t="shared" si="39"/>
        <v>11338.625</v>
      </c>
      <c r="Q100" s="63">
        <f t="shared" si="40"/>
        <v>18518.146309092215</v>
      </c>
      <c r="R100" s="63" t="e">
        <f t="shared" si="45"/>
        <v>#REF!</v>
      </c>
      <c r="S100" s="63" t="e">
        <f t="shared" si="41"/>
        <v>#REF!</v>
      </c>
      <c r="T100" s="63"/>
      <c r="U100" s="63">
        <f t="shared" si="42"/>
        <v>-925.90731545461085</v>
      </c>
      <c r="V100" s="77">
        <f t="shared" si="46"/>
        <v>-378.21875</v>
      </c>
      <c r="W100" s="83" t="e">
        <f t="shared" si="31"/>
        <v>#REF!</v>
      </c>
      <c r="X100" s="85" t="e">
        <f t="shared" si="43"/>
        <v>#REF!</v>
      </c>
      <c r="Z100" s="92">
        <f t="shared" si="44"/>
        <v>181545</v>
      </c>
      <c r="AA100" s="5">
        <f t="shared" si="32"/>
        <v>0</v>
      </c>
      <c r="AB100" s="92">
        <f t="shared" si="33"/>
        <v>181545</v>
      </c>
    </row>
    <row r="101" spans="1:28" x14ac:dyDescent="0.45">
      <c r="A101" s="4">
        <f t="shared" ref="A101:A106" si="50">A100+1</f>
        <v>3</v>
      </c>
      <c r="B101" s="5" t="s">
        <v>17</v>
      </c>
      <c r="C101" s="24">
        <f>C80</f>
        <v>5.2999999999999999E-2</v>
      </c>
      <c r="D101" s="63" t="e">
        <f>K127</f>
        <v>#REF!</v>
      </c>
      <c r="E101" s="23">
        <v>1</v>
      </c>
      <c r="F101" s="63" t="e">
        <f t="shared" si="49"/>
        <v>#REF!</v>
      </c>
      <c r="G101" s="65" t="e">
        <f>D101-F101</f>
        <v>#REF!</v>
      </c>
      <c r="H101" s="11"/>
      <c r="I101" s="14">
        <f t="shared" si="35"/>
        <v>23</v>
      </c>
      <c r="J101" s="63" t="e">
        <f t="shared" si="48"/>
        <v>#REF!</v>
      </c>
      <c r="K101" s="63" t="e">
        <f t="shared" si="29"/>
        <v>#REF!</v>
      </c>
      <c r="L101" s="63" t="e">
        <f t="shared" si="37"/>
        <v>#REF!</v>
      </c>
      <c r="M101" s="65" t="e">
        <f t="shared" si="27"/>
        <v>#REF!</v>
      </c>
      <c r="O101" s="14">
        <f t="shared" si="38"/>
        <v>23</v>
      </c>
      <c r="P101" s="54">
        <f t="shared" si="39"/>
        <v>11858.75</v>
      </c>
      <c r="Q101" s="63">
        <f t="shared" si="40"/>
        <v>18518.146309092215</v>
      </c>
      <c r="R101" s="63" t="e">
        <f t="shared" si="45"/>
        <v>#REF!</v>
      </c>
      <c r="S101" s="63" t="e">
        <f t="shared" si="41"/>
        <v>#REF!</v>
      </c>
      <c r="T101" s="63"/>
      <c r="U101" s="63">
        <f t="shared" si="42"/>
        <v>-925.90731545461085</v>
      </c>
      <c r="V101" s="77">
        <f t="shared" si="46"/>
        <v>-368.421875</v>
      </c>
      <c r="W101" s="83" t="e">
        <f t="shared" si="31"/>
        <v>#REF!</v>
      </c>
      <c r="X101" s="85" t="e">
        <f t="shared" si="43"/>
        <v>#REF!</v>
      </c>
      <c r="Z101" s="92">
        <f t="shared" si="44"/>
        <v>176842.5</v>
      </c>
      <c r="AA101" s="5">
        <f t="shared" si="32"/>
        <v>0</v>
      </c>
      <c r="AB101" s="92">
        <f t="shared" si="33"/>
        <v>176842.5</v>
      </c>
    </row>
    <row r="102" spans="1:28" x14ac:dyDescent="0.45">
      <c r="A102" s="4">
        <f t="shared" si="50"/>
        <v>4</v>
      </c>
      <c r="B102" s="5" t="s">
        <v>6</v>
      </c>
      <c r="C102" s="23">
        <f>C81</f>
        <v>2.5000000000000001E-2</v>
      </c>
      <c r="D102" s="63">
        <f>-V127</f>
        <v>16978.875</v>
      </c>
      <c r="E102" s="23">
        <v>1</v>
      </c>
      <c r="F102" s="63">
        <f t="shared" si="49"/>
        <v>16978.875</v>
      </c>
      <c r="G102" s="65">
        <f>D102-F102</f>
        <v>0</v>
      </c>
      <c r="H102" s="11"/>
      <c r="I102" s="14">
        <f t="shared" si="35"/>
        <v>24</v>
      </c>
      <c r="J102" s="63" t="e">
        <f t="shared" si="48"/>
        <v>#REF!</v>
      </c>
      <c r="K102" s="63" t="e">
        <f t="shared" si="29"/>
        <v>#REF!</v>
      </c>
      <c r="L102" s="63" t="e">
        <f t="shared" si="37"/>
        <v>#REF!</v>
      </c>
      <c r="M102" s="65" t="e">
        <f t="shared" si="27"/>
        <v>#REF!</v>
      </c>
      <c r="O102" s="14">
        <f t="shared" si="38"/>
        <v>24</v>
      </c>
      <c r="P102" s="54">
        <f t="shared" si="39"/>
        <v>12378.875</v>
      </c>
      <c r="Q102" s="63">
        <f t="shared" si="40"/>
        <v>18518.146309092215</v>
      </c>
      <c r="R102" s="63" t="e">
        <f t="shared" si="45"/>
        <v>#REF!</v>
      </c>
      <c r="S102" s="63" t="e">
        <f t="shared" si="41"/>
        <v>#REF!</v>
      </c>
      <c r="T102" s="63"/>
      <c r="U102" s="63">
        <f t="shared" si="42"/>
        <v>-925.90731545461085</v>
      </c>
      <c r="V102" s="77">
        <f t="shared" si="46"/>
        <v>-358.625</v>
      </c>
      <c r="W102" s="83" t="e">
        <f t="shared" si="31"/>
        <v>#REF!</v>
      </c>
      <c r="X102" s="85" t="e">
        <f t="shared" si="43"/>
        <v>#REF!</v>
      </c>
      <c r="Z102" s="92">
        <f t="shared" si="44"/>
        <v>172140</v>
      </c>
      <c r="AA102" s="5">
        <f t="shared" si="32"/>
        <v>0</v>
      </c>
      <c r="AB102" s="92">
        <f t="shared" si="33"/>
        <v>172140</v>
      </c>
    </row>
    <row r="103" spans="1:28" x14ac:dyDescent="0.45">
      <c r="A103" s="4">
        <f t="shared" si="50"/>
        <v>5</v>
      </c>
      <c r="B103" s="5" t="s">
        <v>27</v>
      </c>
      <c r="C103" s="19">
        <f>+C31</f>
        <v>0.5</v>
      </c>
      <c r="D103" s="174" t="e">
        <v>#REF!</v>
      </c>
      <c r="E103" s="23">
        <v>0</v>
      </c>
      <c r="F103" s="63" t="e">
        <f t="shared" si="49"/>
        <v>#REF!</v>
      </c>
      <c r="G103" s="65" t="e">
        <f>D103</f>
        <v>#REF!</v>
      </c>
      <c r="H103" s="11"/>
      <c r="I103" s="14">
        <f t="shared" si="35"/>
        <v>25</v>
      </c>
      <c r="J103" s="63" t="e">
        <f t="shared" si="48"/>
        <v>#REF!</v>
      </c>
      <c r="K103" s="63" t="e">
        <f t="shared" si="29"/>
        <v>#REF!</v>
      </c>
      <c r="L103" s="63" t="e">
        <f t="shared" si="37"/>
        <v>#REF!</v>
      </c>
      <c r="M103" s="65" t="e">
        <f t="shared" si="27"/>
        <v>#REF!</v>
      </c>
      <c r="O103" s="14">
        <f t="shared" si="38"/>
        <v>25</v>
      </c>
      <c r="P103" s="54">
        <f t="shared" si="39"/>
        <v>12899</v>
      </c>
      <c r="Q103" s="63">
        <f t="shared" si="40"/>
        <v>18518.146309092215</v>
      </c>
      <c r="R103" s="63" t="e">
        <f t="shared" si="45"/>
        <v>#REF!</v>
      </c>
      <c r="S103" s="63" t="e">
        <f t="shared" si="41"/>
        <v>#REF!</v>
      </c>
      <c r="T103" s="63"/>
      <c r="U103" s="63">
        <f t="shared" si="42"/>
        <v>-925.90731545461085</v>
      </c>
      <c r="V103" s="77">
        <f t="shared" si="46"/>
        <v>-348.828125</v>
      </c>
      <c r="W103" s="83" t="e">
        <f t="shared" si="31"/>
        <v>#REF!</v>
      </c>
      <c r="X103" s="85" t="e">
        <f t="shared" si="43"/>
        <v>#REF!</v>
      </c>
      <c r="Z103" s="92">
        <f t="shared" si="44"/>
        <v>167437.5</v>
      </c>
      <c r="AA103" s="5">
        <f t="shared" si="32"/>
        <v>0</v>
      </c>
      <c r="AB103" s="92">
        <f t="shared" si="33"/>
        <v>167437.5</v>
      </c>
    </row>
    <row r="104" spans="1:28" x14ac:dyDescent="0.45">
      <c r="A104" s="4">
        <f t="shared" si="50"/>
        <v>6</v>
      </c>
      <c r="B104" s="5" t="s">
        <v>26</v>
      </c>
      <c r="C104" s="19">
        <f>+C32</f>
        <v>0.15</v>
      </c>
      <c r="D104" s="174" t="e">
        <v>#REF!</v>
      </c>
      <c r="E104" s="23">
        <v>0</v>
      </c>
      <c r="F104" s="63" t="e">
        <f t="shared" si="49"/>
        <v>#REF!</v>
      </c>
      <c r="G104" s="65" t="e">
        <f>D104</f>
        <v>#REF!</v>
      </c>
      <c r="H104" s="11"/>
      <c r="I104" s="14">
        <f t="shared" si="35"/>
        <v>26</v>
      </c>
      <c r="J104" s="63" t="e">
        <f t="shared" si="48"/>
        <v>#REF!</v>
      </c>
      <c r="K104" s="63" t="e">
        <f t="shared" si="29"/>
        <v>#REF!</v>
      </c>
      <c r="L104" s="63" t="e">
        <f t="shared" si="37"/>
        <v>#REF!</v>
      </c>
      <c r="M104" s="65" t="e">
        <f t="shared" si="27"/>
        <v>#REF!</v>
      </c>
      <c r="O104" s="14">
        <f t="shared" si="38"/>
        <v>26</v>
      </c>
      <c r="P104" s="54">
        <f t="shared" si="39"/>
        <v>13419.125</v>
      </c>
      <c r="Q104" s="63">
        <f t="shared" si="40"/>
        <v>18518.146309092215</v>
      </c>
      <c r="R104" s="63" t="e">
        <f t="shared" si="45"/>
        <v>#REF!</v>
      </c>
      <c r="S104" s="63" t="e">
        <f t="shared" si="41"/>
        <v>#REF!</v>
      </c>
      <c r="T104" s="63"/>
      <c r="U104" s="63">
        <f t="shared" si="42"/>
        <v>-925.90731545461085</v>
      </c>
      <c r="V104" s="77">
        <f t="shared" si="46"/>
        <v>-339.03125</v>
      </c>
      <c r="W104" s="83" t="e">
        <f t="shared" si="31"/>
        <v>#REF!</v>
      </c>
      <c r="X104" s="85" t="e">
        <f t="shared" si="43"/>
        <v>#REF!</v>
      </c>
      <c r="Z104" s="92">
        <f t="shared" si="44"/>
        <v>162735</v>
      </c>
      <c r="AA104" s="5">
        <f t="shared" si="32"/>
        <v>0</v>
      </c>
      <c r="AB104" s="92">
        <f t="shared" si="33"/>
        <v>162735</v>
      </c>
    </row>
    <row r="105" spans="1:28" ht="14.65" thickBot="1" x14ac:dyDescent="0.5">
      <c r="A105" s="6">
        <f t="shared" si="50"/>
        <v>7</v>
      </c>
      <c r="B105" s="7" t="s">
        <v>32</v>
      </c>
      <c r="C105" s="19">
        <f>+C33</f>
        <v>0.03</v>
      </c>
      <c r="D105" s="174" t="e">
        <v>#REF!</v>
      </c>
      <c r="E105" s="25">
        <v>0</v>
      </c>
      <c r="F105" s="64" t="e">
        <f t="shared" si="49"/>
        <v>#REF!</v>
      </c>
      <c r="G105" s="66" t="e">
        <f>D105</f>
        <v>#REF!</v>
      </c>
      <c r="H105" s="11"/>
      <c r="I105" s="14">
        <f t="shared" si="35"/>
        <v>27</v>
      </c>
      <c r="J105" s="63" t="e">
        <f t="shared" si="48"/>
        <v>#REF!</v>
      </c>
      <c r="K105" s="63" t="e">
        <f t="shared" si="29"/>
        <v>#REF!</v>
      </c>
      <c r="L105" s="63" t="e">
        <f t="shared" si="37"/>
        <v>#REF!</v>
      </c>
      <c r="M105" s="65" t="e">
        <f t="shared" si="27"/>
        <v>#REF!</v>
      </c>
      <c r="O105" s="14">
        <f t="shared" si="38"/>
        <v>27</v>
      </c>
      <c r="P105" s="54">
        <f t="shared" si="39"/>
        <v>13939.25</v>
      </c>
      <c r="Q105" s="63">
        <f t="shared" si="40"/>
        <v>18518.146309092215</v>
      </c>
      <c r="R105" s="63" t="e">
        <f t="shared" si="45"/>
        <v>#REF!</v>
      </c>
      <c r="S105" s="63" t="e">
        <f t="shared" si="41"/>
        <v>#REF!</v>
      </c>
      <c r="T105" s="63"/>
      <c r="U105" s="63">
        <f t="shared" si="42"/>
        <v>-925.90731545461085</v>
      </c>
      <c r="V105" s="77">
        <f t="shared" si="46"/>
        <v>-329.234375</v>
      </c>
      <c r="W105" s="83" t="e">
        <f t="shared" si="31"/>
        <v>#REF!</v>
      </c>
      <c r="X105" s="85" t="e">
        <f t="shared" si="43"/>
        <v>#REF!</v>
      </c>
      <c r="Z105" s="92">
        <f t="shared" si="44"/>
        <v>158032.5</v>
      </c>
      <c r="AA105" s="5">
        <f t="shared" si="32"/>
        <v>0</v>
      </c>
      <c r="AB105" s="92">
        <f t="shared" si="33"/>
        <v>158032.5</v>
      </c>
    </row>
    <row r="106" spans="1:28" ht="14.65" thickBot="1" x14ac:dyDescent="0.5">
      <c r="A106" s="33">
        <f t="shared" si="50"/>
        <v>8</v>
      </c>
      <c r="B106" s="30" t="s">
        <v>8</v>
      </c>
      <c r="C106" s="45"/>
      <c r="D106" s="46"/>
      <c r="E106" s="47"/>
      <c r="F106" s="67" t="e">
        <f>SUM(F99:F105)</f>
        <v>#REF!</v>
      </c>
      <c r="G106" s="68" t="e">
        <f>SUM(G99:G105)</f>
        <v>#REF!</v>
      </c>
      <c r="H106" s="11"/>
      <c r="I106" s="14">
        <f t="shared" si="35"/>
        <v>28</v>
      </c>
      <c r="J106" s="63" t="e">
        <f t="shared" si="48"/>
        <v>#REF!</v>
      </c>
      <c r="K106" s="63" t="e">
        <f t="shared" si="29"/>
        <v>#REF!</v>
      </c>
      <c r="L106" s="63" t="e">
        <f t="shared" si="37"/>
        <v>#REF!</v>
      </c>
      <c r="M106" s="65" t="e">
        <f t="shared" si="27"/>
        <v>#REF!</v>
      </c>
      <c r="O106" s="14">
        <f t="shared" si="38"/>
        <v>28</v>
      </c>
      <c r="P106" s="54">
        <f t="shared" si="39"/>
        <v>14459.375</v>
      </c>
      <c r="Q106" s="63">
        <f t="shared" si="40"/>
        <v>18518.146309092215</v>
      </c>
      <c r="R106" s="63" t="e">
        <f t="shared" si="45"/>
        <v>#REF!</v>
      </c>
      <c r="S106" s="63" t="e">
        <f t="shared" si="41"/>
        <v>#REF!</v>
      </c>
      <c r="T106" s="63"/>
      <c r="U106" s="63">
        <f t="shared" si="42"/>
        <v>-925.90731545461085</v>
      </c>
      <c r="V106" s="77">
        <f t="shared" si="46"/>
        <v>-319.4375</v>
      </c>
      <c r="W106" s="83" t="e">
        <f t="shared" si="31"/>
        <v>#REF!</v>
      </c>
      <c r="X106" s="85" t="e">
        <f t="shared" si="43"/>
        <v>#REF!</v>
      </c>
      <c r="Z106" s="92">
        <f t="shared" si="44"/>
        <v>153330</v>
      </c>
      <c r="AA106" s="5">
        <f t="shared" si="32"/>
        <v>0</v>
      </c>
      <c r="AB106" s="92">
        <f t="shared" si="33"/>
        <v>153330</v>
      </c>
    </row>
    <row r="107" spans="1:28" ht="14.65" thickBot="1" x14ac:dyDescent="0.5">
      <c r="A107" s="31">
        <f>A106+1</f>
        <v>9</v>
      </c>
      <c r="B107" s="32" t="s">
        <v>7</v>
      </c>
      <c r="C107" s="42">
        <f>+C35</f>
        <v>0.05</v>
      </c>
      <c r="D107" s="22"/>
      <c r="E107" s="34"/>
      <c r="F107" s="69" t="e">
        <f>F108-F106</f>
        <v>#REF!</v>
      </c>
      <c r="G107" s="70" t="e">
        <f>G108-G106</f>
        <v>#REF!</v>
      </c>
      <c r="H107" s="11"/>
      <c r="I107" s="14">
        <f t="shared" si="35"/>
        <v>29</v>
      </c>
      <c r="J107" s="63" t="e">
        <f t="shared" si="48"/>
        <v>#REF!</v>
      </c>
      <c r="K107" s="63" t="e">
        <f t="shared" si="29"/>
        <v>#REF!</v>
      </c>
      <c r="L107" s="63" t="e">
        <f t="shared" si="37"/>
        <v>#REF!</v>
      </c>
      <c r="M107" s="65" t="e">
        <f t="shared" si="27"/>
        <v>#REF!</v>
      </c>
      <c r="O107" s="14">
        <f t="shared" si="38"/>
        <v>29</v>
      </c>
      <c r="P107" s="54">
        <f t="shared" si="39"/>
        <v>14979.5</v>
      </c>
      <c r="Q107" s="63">
        <f t="shared" si="40"/>
        <v>18518.146309092215</v>
      </c>
      <c r="R107" s="63" t="e">
        <f t="shared" si="45"/>
        <v>#REF!</v>
      </c>
      <c r="S107" s="63" t="e">
        <f t="shared" si="41"/>
        <v>#REF!</v>
      </c>
      <c r="T107" s="63"/>
      <c r="U107" s="63">
        <f t="shared" si="42"/>
        <v>-925.90731545461085</v>
      </c>
      <c r="V107" s="77">
        <f t="shared" si="46"/>
        <v>-309.640625</v>
      </c>
      <c r="W107" s="83" t="e">
        <f t="shared" si="31"/>
        <v>#REF!</v>
      </c>
      <c r="X107" s="85" t="e">
        <f t="shared" si="43"/>
        <v>#REF!</v>
      </c>
      <c r="Z107" s="92">
        <f t="shared" si="44"/>
        <v>148627.5</v>
      </c>
      <c r="AA107" s="5">
        <f t="shared" si="32"/>
        <v>0</v>
      </c>
      <c r="AB107" s="92">
        <f t="shared" si="33"/>
        <v>148627.5</v>
      </c>
    </row>
    <row r="108" spans="1:28" ht="14.65" thickBot="1" x14ac:dyDescent="0.5">
      <c r="A108" s="37">
        <f>A107+1</f>
        <v>10</v>
      </c>
      <c r="B108" s="38" t="s">
        <v>28</v>
      </c>
      <c r="C108" s="39"/>
      <c r="D108" s="40"/>
      <c r="E108" s="41"/>
      <c r="F108" s="71" t="e">
        <f>F106/(100%-C107)</f>
        <v>#REF!</v>
      </c>
      <c r="G108" s="72" t="e">
        <f>G106/(100%-C107)</f>
        <v>#REF!</v>
      </c>
      <c r="H108" s="11"/>
      <c r="I108" s="14">
        <f t="shared" si="35"/>
        <v>30</v>
      </c>
      <c r="J108" s="63" t="e">
        <f t="shared" si="48"/>
        <v>#REF!</v>
      </c>
      <c r="K108" s="63" t="e">
        <f t="shared" si="29"/>
        <v>#REF!</v>
      </c>
      <c r="L108" s="63" t="e">
        <f t="shared" si="37"/>
        <v>#REF!</v>
      </c>
      <c r="M108" s="65" t="e">
        <f t="shared" si="27"/>
        <v>#REF!</v>
      </c>
      <c r="O108" s="14">
        <f t="shared" si="38"/>
        <v>30</v>
      </c>
      <c r="P108" s="54">
        <f t="shared" si="39"/>
        <v>15499.625</v>
      </c>
      <c r="Q108" s="63">
        <f t="shared" si="40"/>
        <v>18518.146309092215</v>
      </c>
      <c r="R108" s="63" t="e">
        <f t="shared" si="45"/>
        <v>#REF!</v>
      </c>
      <c r="S108" s="63" t="e">
        <f t="shared" si="41"/>
        <v>#REF!</v>
      </c>
      <c r="T108" s="63" t="e">
        <f>-T128*0.5</f>
        <v>#REF!</v>
      </c>
      <c r="U108" s="63">
        <f t="shared" si="42"/>
        <v>-925.90731545461085</v>
      </c>
      <c r="V108" s="77">
        <f t="shared" si="46"/>
        <v>-299.84375</v>
      </c>
      <c r="W108" s="83" t="e">
        <f t="shared" si="31"/>
        <v>#REF!</v>
      </c>
      <c r="X108" s="85" t="e">
        <f t="shared" si="43"/>
        <v>#REF!</v>
      </c>
      <c r="Z108" s="92">
        <f t="shared" si="44"/>
        <v>143925</v>
      </c>
      <c r="AA108" s="5">
        <f t="shared" si="32"/>
        <v>0</v>
      </c>
      <c r="AB108" s="92">
        <f t="shared" si="33"/>
        <v>143925</v>
      </c>
    </row>
    <row r="109" spans="1:28" x14ac:dyDescent="0.45">
      <c r="C109" s="11"/>
      <c r="D109" s="11"/>
      <c r="E109" s="11"/>
      <c r="F109" s="11"/>
      <c r="G109" s="11"/>
      <c r="H109" s="11"/>
      <c r="I109" s="14">
        <f t="shared" si="35"/>
        <v>31</v>
      </c>
      <c r="J109" s="63" t="e">
        <f t="shared" si="48"/>
        <v>#REF!</v>
      </c>
      <c r="K109" s="63" t="e">
        <f t="shared" si="29"/>
        <v>#REF!</v>
      </c>
      <c r="L109" s="63" t="e">
        <f t="shared" si="37"/>
        <v>#REF!</v>
      </c>
      <c r="M109" s="65" t="e">
        <f t="shared" si="27"/>
        <v>#REF!</v>
      </c>
      <c r="O109" s="14">
        <f t="shared" si="38"/>
        <v>31</v>
      </c>
      <c r="P109" s="54">
        <f t="shared" si="39"/>
        <v>16019.75</v>
      </c>
      <c r="Q109" s="63">
        <f t="shared" si="40"/>
        <v>18518.146309092215</v>
      </c>
      <c r="R109" s="63" t="e">
        <f t="shared" si="45"/>
        <v>#REF!</v>
      </c>
      <c r="S109" s="63" t="e">
        <f t="shared" si="41"/>
        <v>#REF!</v>
      </c>
      <c r="T109" s="63"/>
      <c r="U109" s="63">
        <f t="shared" si="42"/>
        <v>-925.90731545461085</v>
      </c>
      <c r="V109" s="77">
        <f t="shared" si="46"/>
        <v>-290.046875</v>
      </c>
      <c r="W109" s="83" t="e">
        <f t="shared" si="31"/>
        <v>#REF!</v>
      </c>
      <c r="X109" s="85" t="e">
        <f t="shared" si="43"/>
        <v>#REF!</v>
      </c>
      <c r="Z109" s="92">
        <f t="shared" si="44"/>
        <v>139222.5</v>
      </c>
      <c r="AA109" s="5">
        <f t="shared" si="32"/>
        <v>0</v>
      </c>
      <c r="AB109" s="92">
        <f t="shared" si="33"/>
        <v>139222.5</v>
      </c>
    </row>
    <row r="110" spans="1:28" x14ac:dyDescent="0.45">
      <c r="C110" s="11"/>
      <c r="D110" s="11"/>
      <c r="E110" s="11"/>
      <c r="F110" s="11"/>
      <c r="G110" s="11"/>
      <c r="H110" s="11"/>
      <c r="I110" s="14">
        <f t="shared" si="35"/>
        <v>32</v>
      </c>
      <c r="J110" s="63" t="e">
        <f t="shared" si="48"/>
        <v>#REF!</v>
      </c>
      <c r="K110" s="63" t="e">
        <f t="shared" si="29"/>
        <v>#REF!</v>
      </c>
      <c r="L110" s="63" t="e">
        <f t="shared" si="37"/>
        <v>#REF!</v>
      </c>
      <c r="M110" s="65" t="e">
        <f t="shared" si="27"/>
        <v>#REF!</v>
      </c>
      <c r="O110" s="14">
        <f t="shared" si="38"/>
        <v>32</v>
      </c>
      <c r="P110" s="54">
        <f t="shared" si="39"/>
        <v>16539.875</v>
      </c>
      <c r="Q110" s="63">
        <f t="shared" si="40"/>
        <v>18518.146309092215</v>
      </c>
      <c r="R110" s="63" t="e">
        <f t="shared" si="45"/>
        <v>#REF!</v>
      </c>
      <c r="S110" s="63" t="e">
        <f t="shared" si="41"/>
        <v>#REF!</v>
      </c>
      <c r="T110" s="63"/>
      <c r="U110" s="63">
        <f t="shared" si="42"/>
        <v>-925.90731545461085</v>
      </c>
      <c r="V110" s="77">
        <f t="shared" si="46"/>
        <v>-280.25</v>
      </c>
      <c r="W110" s="83" t="e">
        <f t="shared" si="31"/>
        <v>#REF!</v>
      </c>
      <c r="X110" s="85" t="e">
        <f t="shared" si="43"/>
        <v>#REF!</v>
      </c>
      <c r="Z110" s="92">
        <f t="shared" si="44"/>
        <v>134520</v>
      </c>
      <c r="AA110" s="5">
        <f t="shared" si="32"/>
        <v>0</v>
      </c>
      <c r="AB110" s="92">
        <f t="shared" si="33"/>
        <v>134520</v>
      </c>
    </row>
    <row r="111" spans="1:28" x14ac:dyDescent="0.45">
      <c r="C111" s="11"/>
      <c r="D111" s="11"/>
      <c r="E111" s="11"/>
      <c r="F111" s="11"/>
      <c r="G111" s="11"/>
      <c r="H111" s="11"/>
      <c r="I111" s="14">
        <f t="shared" si="35"/>
        <v>33</v>
      </c>
      <c r="J111" s="63" t="e">
        <f t="shared" si="48"/>
        <v>#REF!</v>
      </c>
      <c r="K111" s="63" t="e">
        <f t="shared" si="29"/>
        <v>#REF!</v>
      </c>
      <c r="L111" s="63" t="e">
        <f t="shared" si="37"/>
        <v>#REF!</v>
      </c>
      <c r="M111" s="65" t="e">
        <f t="shared" si="27"/>
        <v>#REF!</v>
      </c>
      <c r="O111" s="14">
        <f t="shared" si="38"/>
        <v>33</v>
      </c>
      <c r="P111" s="54">
        <f t="shared" si="39"/>
        <v>17060</v>
      </c>
      <c r="Q111" s="63">
        <f t="shared" si="40"/>
        <v>18518.146309092215</v>
      </c>
      <c r="R111" s="63" t="e">
        <f t="shared" si="45"/>
        <v>#REF!</v>
      </c>
      <c r="S111" s="63" t="e">
        <f t="shared" si="41"/>
        <v>#REF!</v>
      </c>
      <c r="T111" s="63"/>
      <c r="U111" s="63">
        <f t="shared" si="42"/>
        <v>-925.90731545461085</v>
      </c>
      <c r="V111" s="77">
        <f t="shared" si="46"/>
        <v>-270.453125</v>
      </c>
      <c r="W111" s="83" t="e">
        <f t="shared" si="31"/>
        <v>#REF!</v>
      </c>
      <c r="X111" s="85" t="e">
        <f t="shared" si="43"/>
        <v>#REF!</v>
      </c>
      <c r="Z111" s="92">
        <f t="shared" si="44"/>
        <v>129817.5</v>
      </c>
      <c r="AA111" s="5">
        <f t="shared" si="32"/>
        <v>0</v>
      </c>
      <c r="AB111" s="92">
        <f t="shared" si="33"/>
        <v>129817.5</v>
      </c>
    </row>
    <row r="112" spans="1:28" ht="14.65" thickBot="1" x14ac:dyDescent="0.5">
      <c r="C112" s="11"/>
      <c r="D112" s="11"/>
      <c r="E112" s="11"/>
      <c r="F112" s="11"/>
      <c r="G112" s="11"/>
      <c r="H112" s="11"/>
      <c r="I112" s="14">
        <f t="shared" si="35"/>
        <v>34</v>
      </c>
      <c r="J112" s="63" t="e">
        <f t="shared" si="48"/>
        <v>#REF!</v>
      </c>
      <c r="K112" s="63" t="e">
        <f t="shared" si="29"/>
        <v>#REF!</v>
      </c>
      <c r="L112" s="63" t="e">
        <f t="shared" si="37"/>
        <v>#REF!</v>
      </c>
      <c r="M112" s="65" t="e">
        <f t="shared" si="27"/>
        <v>#REF!</v>
      </c>
      <c r="O112" s="14">
        <f t="shared" si="38"/>
        <v>34</v>
      </c>
      <c r="P112" s="54">
        <f t="shared" si="39"/>
        <v>17580.125</v>
      </c>
      <c r="Q112" s="63">
        <f t="shared" si="40"/>
        <v>18518.146309092215</v>
      </c>
      <c r="R112" s="63" t="e">
        <f t="shared" si="45"/>
        <v>#REF!</v>
      </c>
      <c r="S112" s="63" t="e">
        <f t="shared" si="41"/>
        <v>#REF!</v>
      </c>
      <c r="T112" s="63"/>
      <c r="U112" s="63">
        <f t="shared" si="42"/>
        <v>-925.90731545461085</v>
      </c>
      <c r="V112" s="77">
        <f t="shared" si="46"/>
        <v>-260.65625</v>
      </c>
      <c r="W112" s="83" t="e">
        <f t="shared" si="31"/>
        <v>#REF!</v>
      </c>
      <c r="X112" s="85" t="e">
        <f t="shared" si="43"/>
        <v>#REF!</v>
      </c>
      <c r="Z112" s="92">
        <f t="shared" si="44"/>
        <v>125115</v>
      </c>
      <c r="AA112" s="5">
        <f t="shared" si="32"/>
        <v>0</v>
      </c>
      <c r="AB112" s="92">
        <f t="shared" si="33"/>
        <v>125115</v>
      </c>
    </row>
    <row r="113" spans="1:28" ht="31.15" thickBot="1" x14ac:dyDescent="0.5">
      <c r="A113" s="667" t="s">
        <v>29</v>
      </c>
      <c r="B113" s="668"/>
      <c r="C113" s="668"/>
      <c r="D113" s="668"/>
      <c r="E113" s="668"/>
      <c r="F113" s="668"/>
      <c r="G113" s="669"/>
      <c r="H113" s="11"/>
      <c r="I113" s="14">
        <f t="shared" si="35"/>
        <v>35</v>
      </c>
      <c r="J113" s="63" t="e">
        <f t="shared" si="48"/>
        <v>#REF!</v>
      </c>
      <c r="K113" s="63" t="e">
        <f t="shared" si="29"/>
        <v>#REF!</v>
      </c>
      <c r="L113" s="63" t="e">
        <f t="shared" si="37"/>
        <v>#REF!</v>
      </c>
      <c r="M113" s="65" t="e">
        <f t="shared" si="27"/>
        <v>#REF!</v>
      </c>
      <c r="O113" s="14">
        <f t="shared" si="38"/>
        <v>35</v>
      </c>
      <c r="P113" s="54">
        <f t="shared" si="39"/>
        <v>18100.25</v>
      </c>
      <c r="Q113" s="63">
        <f t="shared" si="40"/>
        <v>18518.146309092215</v>
      </c>
      <c r="R113" s="63" t="e">
        <f t="shared" si="45"/>
        <v>#REF!</v>
      </c>
      <c r="S113" s="63" t="e">
        <f t="shared" si="41"/>
        <v>#REF!</v>
      </c>
      <c r="T113" s="63"/>
      <c r="U113" s="63">
        <f t="shared" si="42"/>
        <v>-925.90731545461085</v>
      </c>
      <c r="V113" s="77">
        <f t="shared" si="46"/>
        <v>-250.859375</v>
      </c>
      <c r="W113" s="83" t="e">
        <f t="shared" si="31"/>
        <v>#REF!</v>
      </c>
      <c r="X113" s="85" t="e">
        <f t="shared" si="43"/>
        <v>#REF!</v>
      </c>
      <c r="Z113" s="92">
        <f t="shared" si="44"/>
        <v>120412.5</v>
      </c>
      <c r="AA113" s="5">
        <f t="shared" si="32"/>
        <v>0</v>
      </c>
      <c r="AB113" s="92">
        <f t="shared" si="33"/>
        <v>120412.5</v>
      </c>
    </row>
    <row r="114" spans="1:28" ht="18" x14ac:dyDescent="0.45">
      <c r="A114" s="35">
        <v>1</v>
      </c>
      <c r="B114" s="670" t="s">
        <v>30</v>
      </c>
      <c r="C114" s="671"/>
      <c r="D114" s="671"/>
      <c r="E114" s="672"/>
      <c r="F114" s="73" t="e">
        <f>F108/C84/C86</f>
        <v>#REF!</v>
      </c>
      <c r="G114" s="74" t="e">
        <f>G108/C85/C86</f>
        <v>#REF!</v>
      </c>
      <c r="H114" s="11"/>
      <c r="I114" s="20">
        <f t="shared" si="35"/>
        <v>36</v>
      </c>
      <c r="J114" s="79" t="e">
        <f t="shared" si="48"/>
        <v>#REF!</v>
      </c>
      <c r="K114" s="79" t="e">
        <f t="shared" si="29"/>
        <v>#REF!</v>
      </c>
      <c r="L114" s="79" t="e">
        <f>L113</f>
        <v>#REF!</v>
      </c>
      <c r="M114" s="80" t="e">
        <f t="shared" si="27"/>
        <v>#REF!</v>
      </c>
      <c r="O114" s="20">
        <f t="shared" si="38"/>
        <v>36</v>
      </c>
      <c r="P114" s="54">
        <f t="shared" si="39"/>
        <v>18620.375</v>
      </c>
      <c r="Q114" s="63">
        <f t="shared" si="40"/>
        <v>18518.146309092215</v>
      </c>
      <c r="R114" s="63" t="e">
        <f t="shared" si="45"/>
        <v>#REF!</v>
      </c>
      <c r="S114" s="63" t="e">
        <f t="shared" si="41"/>
        <v>#REF!</v>
      </c>
      <c r="T114" s="63"/>
      <c r="U114" s="63">
        <f t="shared" si="42"/>
        <v>-925.90731545461085</v>
      </c>
      <c r="V114" s="77">
        <f t="shared" si="46"/>
        <v>-241.0625</v>
      </c>
      <c r="W114" s="83" t="e">
        <f t="shared" si="31"/>
        <v>#REF!</v>
      </c>
      <c r="X114" s="85" t="e">
        <f t="shared" si="43"/>
        <v>#REF!</v>
      </c>
      <c r="Z114" s="92">
        <f t="shared" si="44"/>
        <v>115710</v>
      </c>
      <c r="AA114" s="5">
        <f t="shared" si="32"/>
        <v>0</v>
      </c>
      <c r="AB114" s="92">
        <f t="shared" si="33"/>
        <v>115710</v>
      </c>
    </row>
    <row r="115" spans="1:28" ht="18.399999999999999" thickBot="1" x14ac:dyDescent="0.5">
      <c r="A115" s="36">
        <f>A114+1</f>
        <v>2</v>
      </c>
      <c r="B115" s="673" t="s">
        <v>31</v>
      </c>
      <c r="C115" s="674"/>
      <c r="D115" s="674"/>
      <c r="E115" s="675"/>
      <c r="F115" s="75"/>
      <c r="G115" s="76" t="e">
        <f>(G108+F108)/C85/C86</f>
        <v>#REF!</v>
      </c>
      <c r="H115" s="11"/>
      <c r="I115" s="20">
        <f t="shared" si="35"/>
        <v>37</v>
      </c>
      <c r="J115" s="79" t="e">
        <f t="shared" si="48"/>
        <v>#REF!</v>
      </c>
      <c r="K115" s="79" t="e">
        <f t="shared" si="29"/>
        <v>#REF!</v>
      </c>
      <c r="L115" s="79" t="e">
        <f t="shared" ref="L115:L125" si="51">L114</f>
        <v>#REF!</v>
      </c>
      <c r="M115" s="80" t="e">
        <f t="shared" si="27"/>
        <v>#REF!</v>
      </c>
      <c r="O115" s="20">
        <f t="shared" si="38"/>
        <v>37</v>
      </c>
      <c r="P115" s="54">
        <f t="shared" si="39"/>
        <v>19140.5</v>
      </c>
      <c r="Q115" s="63">
        <f t="shared" si="40"/>
        <v>18518.146309092215</v>
      </c>
      <c r="R115" s="63" t="e">
        <f t="shared" si="45"/>
        <v>#REF!</v>
      </c>
      <c r="S115" s="63" t="e">
        <f t="shared" si="41"/>
        <v>#REF!</v>
      </c>
      <c r="T115" s="63"/>
      <c r="U115" s="63">
        <f t="shared" si="42"/>
        <v>-925.90731545461085</v>
      </c>
      <c r="V115" s="77">
        <f t="shared" si="46"/>
        <v>-231.265625</v>
      </c>
      <c r="W115" s="83" t="e">
        <f t="shared" si="31"/>
        <v>#REF!</v>
      </c>
      <c r="X115" s="85" t="e">
        <f t="shared" si="43"/>
        <v>#REF!</v>
      </c>
      <c r="Z115" s="92">
        <f t="shared" si="44"/>
        <v>111007.5</v>
      </c>
      <c r="AA115" s="5">
        <f t="shared" si="32"/>
        <v>0</v>
      </c>
      <c r="AB115" s="92">
        <f t="shared" si="33"/>
        <v>111007.5</v>
      </c>
    </row>
    <row r="116" spans="1:28" x14ac:dyDescent="0.45">
      <c r="I116" s="20">
        <f t="shared" si="35"/>
        <v>38</v>
      </c>
      <c r="J116" s="79" t="e">
        <f t="shared" si="48"/>
        <v>#REF!</v>
      </c>
      <c r="K116" s="79" t="e">
        <f t="shared" si="29"/>
        <v>#REF!</v>
      </c>
      <c r="L116" s="79" t="e">
        <f t="shared" si="51"/>
        <v>#REF!</v>
      </c>
      <c r="M116" s="80" t="e">
        <f t="shared" si="27"/>
        <v>#REF!</v>
      </c>
      <c r="O116" s="20">
        <f t="shared" si="38"/>
        <v>38</v>
      </c>
      <c r="P116" s="54">
        <f t="shared" si="39"/>
        <v>19660.625</v>
      </c>
      <c r="Q116" s="63">
        <f t="shared" si="40"/>
        <v>18518.146309092215</v>
      </c>
      <c r="R116" s="63" t="e">
        <f t="shared" si="45"/>
        <v>#REF!</v>
      </c>
      <c r="S116" s="63" t="e">
        <f t="shared" si="41"/>
        <v>#REF!</v>
      </c>
      <c r="T116" s="63"/>
      <c r="U116" s="63">
        <f t="shared" si="42"/>
        <v>-925.90731545461085</v>
      </c>
      <c r="V116" s="77">
        <f t="shared" si="46"/>
        <v>-221.46875</v>
      </c>
      <c r="W116" s="83" t="e">
        <f t="shared" si="31"/>
        <v>#REF!</v>
      </c>
      <c r="X116" s="85" t="e">
        <f t="shared" si="43"/>
        <v>#REF!</v>
      </c>
      <c r="Z116" s="92">
        <f t="shared" si="44"/>
        <v>106305</v>
      </c>
      <c r="AA116" s="5">
        <f t="shared" si="32"/>
        <v>0</v>
      </c>
      <c r="AB116" s="92">
        <f t="shared" si="33"/>
        <v>106305</v>
      </c>
    </row>
    <row r="117" spans="1:28" x14ac:dyDescent="0.45">
      <c r="I117" s="20">
        <f t="shared" si="35"/>
        <v>39</v>
      </c>
      <c r="J117" s="79" t="e">
        <f t="shared" si="48"/>
        <v>#REF!</v>
      </c>
      <c r="K117" s="79" t="e">
        <f t="shared" si="29"/>
        <v>#REF!</v>
      </c>
      <c r="L117" s="79" t="e">
        <f t="shared" si="51"/>
        <v>#REF!</v>
      </c>
      <c r="M117" s="80" t="e">
        <f t="shared" si="27"/>
        <v>#REF!</v>
      </c>
      <c r="O117" s="20">
        <f t="shared" si="38"/>
        <v>39</v>
      </c>
      <c r="P117" s="54">
        <f t="shared" si="39"/>
        <v>20180.75</v>
      </c>
      <c r="Q117" s="63">
        <f t="shared" si="40"/>
        <v>18518.146309092215</v>
      </c>
      <c r="R117" s="63" t="e">
        <f t="shared" si="45"/>
        <v>#REF!</v>
      </c>
      <c r="S117" s="63" t="e">
        <f t="shared" si="41"/>
        <v>#REF!</v>
      </c>
      <c r="T117" s="63"/>
      <c r="U117" s="63">
        <f t="shared" si="42"/>
        <v>-925.90731545461085</v>
      </c>
      <c r="V117" s="77">
        <f t="shared" si="46"/>
        <v>-211.671875</v>
      </c>
      <c r="W117" s="83" t="e">
        <f t="shared" si="31"/>
        <v>#REF!</v>
      </c>
      <c r="X117" s="85" t="e">
        <f t="shared" si="43"/>
        <v>#REF!</v>
      </c>
      <c r="Z117" s="92">
        <f t="shared" si="44"/>
        <v>101602.5</v>
      </c>
      <c r="AA117" s="5">
        <f t="shared" si="32"/>
        <v>0</v>
      </c>
      <c r="AB117" s="92">
        <f t="shared" si="33"/>
        <v>101602.5</v>
      </c>
    </row>
    <row r="118" spans="1:28" x14ac:dyDescent="0.45">
      <c r="I118" s="20">
        <f t="shared" si="35"/>
        <v>40</v>
      </c>
      <c r="J118" s="79" t="e">
        <f t="shared" si="48"/>
        <v>#REF!</v>
      </c>
      <c r="K118" s="79" t="e">
        <f t="shared" si="29"/>
        <v>#REF!</v>
      </c>
      <c r="L118" s="79" t="e">
        <f t="shared" si="51"/>
        <v>#REF!</v>
      </c>
      <c r="M118" s="80" t="e">
        <f t="shared" si="27"/>
        <v>#REF!</v>
      </c>
      <c r="O118" s="20">
        <f t="shared" si="38"/>
        <v>40</v>
      </c>
      <c r="P118" s="54">
        <f t="shared" si="39"/>
        <v>20700.875</v>
      </c>
      <c r="Q118" s="63">
        <f t="shared" si="40"/>
        <v>18518.146309092215</v>
      </c>
      <c r="R118" s="63" t="e">
        <f t="shared" si="45"/>
        <v>#REF!</v>
      </c>
      <c r="S118" s="63" t="e">
        <f t="shared" si="41"/>
        <v>#REF!</v>
      </c>
      <c r="T118" s="63"/>
      <c r="U118" s="63">
        <f t="shared" si="42"/>
        <v>-925.90731545461085</v>
      </c>
      <c r="V118" s="77">
        <f t="shared" si="46"/>
        <v>-201.875</v>
      </c>
      <c r="W118" s="83" t="e">
        <f t="shared" si="31"/>
        <v>#REF!</v>
      </c>
      <c r="X118" s="85" t="e">
        <f t="shared" si="43"/>
        <v>#REF!</v>
      </c>
      <c r="Z118" s="92">
        <f t="shared" si="44"/>
        <v>96900</v>
      </c>
      <c r="AA118" s="5">
        <f t="shared" si="32"/>
        <v>0</v>
      </c>
      <c r="AB118" s="92">
        <f t="shared" si="33"/>
        <v>96900</v>
      </c>
    </row>
    <row r="119" spans="1:28" x14ac:dyDescent="0.45">
      <c r="I119" s="20">
        <f t="shared" si="35"/>
        <v>41</v>
      </c>
      <c r="J119" s="79" t="e">
        <f t="shared" si="48"/>
        <v>#REF!</v>
      </c>
      <c r="K119" s="79" t="e">
        <f t="shared" si="29"/>
        <v>#REF!</v>
      </c>
      <c r="L119" s="79" t="e">
        <f t="shared" si="51"/>
        <v>#REF!</v>
      </c>
      <c r="M119" s="80" t="e">
        <f t="shared" si="27"/>
        <v>#REF!</v>
      </c>
      <c r="O119" s="20">
        <f t="shared" si="38"/>
        <v>41</v>
      </c>
      <c r="P119" s="54">
        <f t="shared" si="39"/>
        <v>21221</v>
      </c>
      <c r="Q119" s="63">
        <f t="shared" si="40"/>
        <v>18518.146309092215</v>
      </c>
      <c r="R119" s="63" t="e">
        <f t="shared" si="45"/>
        <v>#REF!</v>
      </c>
      <c r="S119" s="63" t="e">
        <f t="shared" si="41"/>
        <v>#REF!</v>
      </c>
      <c r="T119" s="63"/>
      <c r="U119" s="63">
        <f t="shared" si="42"/>
        <v>-925.90731545461085</v>
      </c>
      <c r="V119" s="77">
        <f t="shared" si="46"/>
        <v>-192.078125</v>
      </c>
      <c r="W119" s="83" t="e">
        <f t="shared" si="31"/>
        <v>#REF!</v>
      </c>
      <c r="X119" s="85" t="e">
        <f t="shared" si="43"/>
        <v>#REF!</v>
      </c>
      <c r="Z119" s="92">
        <f t="shared" si="44"/>
        <v>92197.5</v>
      </c>
      <c r="AA119" s="5">
        <f t="shared" si="32"/>
        <v>0</v>
      </c>
      <c r="AB119" s="92">
        <f t="shared" si="33"/>
        <v>92197.5</v>
      </c>
    </row>
    <row r="120" spans="1:28" x14ac:dyDescent="0.45">
      <c r="I120" s="20">
        <f t="shared" si="35"/>
        <v>42</v>
      </c>
      <c r="J120" s="79" t="e">
        <f t="shared" si="48"/>
        <v>#REF!</v>
      </c>
      <c r="K120" s="79" t="e">
        <f t="shared" si="29"/>
        <v>#REF!</v>
      </c>
      <c r="L120" s="79" t="e">
        <f t="shared" si="51"/>
        <v>#REF!</v>
      </c>
      <c r="M120" s="80" t="e">
        <f t="shared" si="27"/>
        <v>#REF!</v>
      </c>
      <c r="O120" s="20">
        <f t="shared" si="38"/>
        <v>42</v>
      </c>
      <c r="P120" s="54">
        <f t="shared" si="39"/>
        <v>21741.125</v>
      </c>
      <c r="Q120" s="63">
        <f t="shared" si="40"/>
        <v>18518.146309092215</v>
      </c>
      <c r="R120" s="63" t="e">
        <f t="shared" si="45"/>
        <v>#REF!</v>
      </c>
      <c r="S120" s="63" t="e">
        <f t="shared" si="41"/>
        <v>#REF!</v>
      </c>
      <c r="T120" s="63"/>
      <c r="U120" s="63">
        <f t="shared" si="42"/>
        <v>-925.90731545461085</v>
      </c>
      <c r="V120" s="77">
        <f t="shared" si="46"/>
        <v>-182.28125</v>
      </c>
      <c r="W120" s="83" t="e">
        <f t="shared" si="31"/>
        <v>#REF!</v>
      </c>
      <c r="X120" s="85" t="e">
        <f t="shared" si="43"/>
        <v>#REF!</v>
      </c>
      <c r="Z120" s="92">
        <f t="shared" si="44"/>
        <v>87495</v>
      </c>
      <c r="AA120" s="5">
        <f t="shared" si="32"/>
        <v>0</v>
      </c>
      <c r="AB120" s="92">
        <f t="shared" si="33"/>
        <v>87495</v>
      </c>
    </row>
    <row r="121" spans="1:28" x14ac:dyDescent="0.45">
      <c r="I121" s="20">
        <f t="shared" si="35"/>
        <v>43</v>
      </c>
      <c r="J121" s="79" t="e">
        <f t="shared" si="48"/>
        <v>#REF!</v>
      </c>
      <c r="K121" s="79" t="e">
        <f t="shared" si="29"/>
        <v>#REF!</v>
      </c>
      <c r="L121" s="79" t="e">
        <f t="shared" si="51"/>
        <v>#REF!</v>
      </c>
      <c r="M121" s="80" t="e">
        <f t="shared" si="27"/>
        <v>#REF!</v>
      </c>
      <c r="O121" s="20">
        <f t="shared" si="38"/>
        <v>43</v>
      </c>
      <c r="P121" s="54">
        <f t="shared" si="39"/>
        <v>22261.25</v>
      </c>
      <c r="Q121" s="63">
        <f t="shared" si="40"/>
        <v>18518.146309092215</v>
      </c>
      <c r="R121" s="63" t="e">
        <f t="shared" si="45"/>
        <v>#REF!</v>
      </c>
      <c r="S121" s="63" t="e">
        <f t="shared" si="41"/>
        <v>#REF!</v>
      </c>
      <c r="T121" s="63"/>
      <c r="U121" s="63">
        <f t="shared" si="42"/>
        <v>-925.90731545461085</v>
      </c>
      <c r="V121" s="77">
        <f t="shared" si="46"/>
        <v>-172.484375</v>
      </c>
      <c r="W121" s="83" t="e">
        <f t="shared" si="31"/>
        <v>#REF!</v>
      </c>
      <c r="X121" s="85" t="e">
        <f t="shared" si="43"/>
        <v>#REF!</v>
      </c>
      <c r="Z121" s="92">
        <f t="shared" si="44"/>
        <v>82792.5</v>
      </c>
      <c r="AA121" s="5">
        <f t="shared" si="32"/>
        <v>0</v>
      </c>
      <c r="AB121" s="92">
        <f t="shared" si="33"/>
        <v>82792.5</v>
      </c>
    </row>
    <row r="122" spans="1:28" x14ac:dyDescent="0.45">
      <c r="I122" s="20">
        <f t="shared" si="35"/>
        <v>44</v>
      </c>
      <c r="J122" s="79" t="e">
        <f t="shared" si="48"/>
        <v>#REF!</v>
      </c>
      <c r="K122" s="79" t="e">
        <f t="shared" si="29"/>
        <v>#REF!</v>
      </c>
      <c r="L122" s="79" t="e">
        <f t="shared" si="51"/>
        <v>#REF!</v>
      </c>
      <c r="M122" s="80" t="e">
        <f t="shared" si="27"/>
        <v>#REF!</v>
      </c>
      <c r="O122" s="20">
        <f t="shared" si="38"/>
        <v>44</v>
      </c>
      <c r="P122" s="54">
        <f t="shared" si="39"/>
        <v>22781.375</v>
      </c>
      <c r="Q122" s="63">
        <f t="shared" si="40"/>
        <v>18518.146309092215</v>
      </c>
      <c r="R122" s="63" t="e">
        <f t="shared" si="45"/>
        <v>#REF!</v>
      </c>
      <c r="S122" s="63" t="e">
        <f t="shared" si="41"/>
        <v>#REF!</v>
      </c>
      <c r="T122" s="63"/>
      <c r="U122" s="63">
        <f t="shared" si="42"/>
        <v>-925.90731545461085</v>
      </c>
      <c r="V122" s="77">
        <f t="shared" si="46"/>
        <v>-162.6875</v>
      </c>
      <c r="W122" s="83" t="e">
        <f t="shared" si="31"/>
        <v>#REF!</v>
      </c>
      <c r="X122" s="85" t="e">
        <f t="shared" si="43"/>
        <v>#REF!</v>
      </c>
      <c r="Z122" s="92">
        <f t="shared" si="44"/>
        <v>78090</v>
      </c>
      <c r="AA122" s="5">
        <f t="shared" si="32"/>
        <v>0</v>
      </c>
      <c r="AB122" s="92">
        <f t="shared" si="33"/>
        <v>78090</v>
      </c>
    </row>
    <row r="123" spans="1:28" x14ac:dyDescent="0.45">
      <c r="I123" s="20">
        <f t="shared" si="35"/>
        <v>45</v>
      </c>
      <c r="J123" s="79" t="e">
        <f t="shared" si="48"/>
        <v>#REF!</v>
      </c>
      <c r="K123" s="79" t="e">
        <f t="shared" si="29"/>
        <v>#REF!</v>
      </c>
      <c r="L123" s="79" t="e">
        <f t="shared" si="51"/>
        <v>#REF!</v>
      </c>
      <c r="M123" s="80" t="e">
        <f t="shared" si="27"/>
        <v>#REF!</v>
      </c>
      <c r="O123" s="20">
        <f t="shared" si="38"/>
        <v>45</v>
      </c>
      <c r="P123" s="54">
        <f t="shared" si="39"/>
        <v>23301.5</v>
      </c>
      <c r="Q123" s="63">
        <f t="shared" si="40"/>
        <v>18518.146309092215</v>
      </c>
      <c r="R123" s="63" t="e">
        <f t="shared" si="45"/>
        <v>#REF!</v>
      </c>
      <c r="S123" s="63" t="e">
        <f t="shared" si="41"/>
        <v>#REF!</v>
      </c>
      <c r="T123" s="63"/>
      <c r="U123" s="63">
        <f t="shared" si="42"/>
        <v>-925.90731545461085</v>
      </c>
      <c r="V123" s="77">
        <f t="shared" si="46"/>
        <v>-152.890625</v>
      </c>
      <c r="W123" s="83" t="e">
        <f t="shared" si="31"/>
        <v>#REF!</v>
      </c>
      <c r="X123" s="85" t="e">
        <f t="shared" si="43"/>
        <v>#REF!</v>
      </c>
      <c r="Z123" s="92">
        <f t="shared" si="44"/>
        <v>73387.5</v>
      </c>
      <c r="AA123" s="5">
        <f t="shared" si="32"/>
        <v>0</v>
      </c>
      <c r="AB123" s="92">
        <f t="shared" si="33"/>
        <v>73387.5</v>
      </c>
    </row>
    <row r="124" spans="1:28" x14ac:dyDescent="0.45">
      <c r="I124" s="20">
        <f t="shared" si="35"/>
        <v>46</v>
      </c>
      <c r="J124" s="79" t="e">
        <f t="shared" si="48"/>
        <v>#REF!</v>
      </c>
      <c r="K124" s="79" t="e">
        <f t="shared" si="29"/>
        <v>#REF!</v>
      </c>
      <c r="L124" s="79" t="e">
        <f t="shared" si="51"/>
        <v>#REF!</v>
      </c>
      <c r="M124" s="80" t="e">
        <f t="shared" si="27"/>
        <v>#REF!</v>
      </c>
      <c r="O124" s="20">
        <f t="shared" si="38"/>
        <v>46</v>
      </c>
      <c r="P124" s="54">
        <f t="shared" si="39"/>
        <v>23821.625</v>
      </c>
      <c r="Q124" s="63">
        <f t="shared" si="40"/>
        <v>18518.146309092215</v>
      </c>
      <c r="R124" s="63" t="e">
        <f t="shared" si="45"/>
        <v>#REF!</v>
      </c>
      <c r="S124" s="63" t="e">
        <f t="shared" si="41"/>
        <v>#REF!</v>
      </c>
      <c r="T124" s="63"/>
      <c r="U124" s="63">
        <f t="shared" si="42"/>
        <v>-925.90731545461085</v>
      </c>
      <c r="V124" s="77">
        <f t="shared" si="46"/>
        <v>-143.09375</v>
      </c>
      <c r="W124" s="83" t="e">
        <f t="shared" si="31"/>
        <v>#REF!</v>
      </c>
      <c r="X124" s="85" t="e">
        <f t="shared" si="43"/>
        <v>#REF!</v>
      </c>
      <c r="Z124" s="92">
        <f t="shared" si="44"/>
        <v>68685</v>
      </c>
      <c r="AA124" s="5">
        <f t="shared" si="32"/>
        <v>0</v>
      </c>
      <c r="AB124" s="92">
        <f t="shared" si="33"/>
        <v>68685</v>
      </c>
    </row>
    <row r="125" spans="1:28" x14ac:dyDescent="0.45">
      <c r="I125" s="20">
        <f t="shared" si="35"/>
        <v>47</v>
      </c>
      <c r="J125" s="79" t="e">
        <f t="shared" si="48"/>
        <v>#REF!</v>
      </c>
      <c r="K125" s="79" t="e">
        <f t="shared" si="29"/>
        <v>#REF!</v>
      </c>
      <c r="L125" s="79" t="e">
        <f t="shared" si="51"/>
        <v>#REF!</v>
      </c>
      <c r="M125" s="80" t="e">
        <f t="shared" si="27"/>
        <v>#REF!</v>
      </c>
      <c r="O125" s="20">
        <f t="shared" si="38"/>
        <v>47</v>
      </c>
      <c r="P125" s="54">
        <f t="shared" si="39"/>
        <v>24341.75</v>
      </c>
      <c r="Q125" s="63">
        <f t="shared" si="40"/>
        <v>18518.146309092215</v>
      </c>
      <c r="R125" s="63" t="e">
        <f t="shared" si="45"/>
        <v>#REF!</v>
      </c>
      <c r="S125" s="63" t="e">
        <f t="shared" si="41"/>
        <v>#REF!</v>
      </c>
      <c r="T125" s="63"/>
      <c r="U125" s="63">
        <f t="shared" si="42"/>
        <v>-925.90731545461085</v>
      </c>
      <c r="V125" s="77">
        <f t="shared" si="46"/>
        <v>-133.296875</v>
      </c>
      <c r="W125" s="83" t="e">
        <f t="shared" si="31"/>
        <v>#REF!</v>
      </c>
      <c r="X125" s="85" t="e">
        <f t="shared" si="43"/>
        <v>#REF!</v>
      </c>
      <c r="Z125" s="92">
        <f t="shared" si="44"/>
        <v>63982.5</v>
      </c>
      <c r="AA125" s="5">
        <f t="shared" si="32"/>
        <v>0</v>
      </c>
      <c r="AB125" s="92">
        <f t="shared" si="33"/>
        <v>63982.5</v>
      </c>
    </row>
    <row r="126" spans="1:28" ht="14.65" thickBot="1" x14ac:dyDescent="0.5">
      <c r="I126" s="20">
        <f t="shared" si="35"/>
        <v>48</v>
      </c>
      <c r="J126" s="79" t="e">
        <f t="shared" si="48"/>
        <v>#REF!</v>
      </c>
      <c r="K126" s="79" t="e">
        <f t="shared" si="29"/>
        <v>#REF!</v>
      </c>
      <c r="L126" s="79" t="e">
        <f>+L129</f>
        <v>#REF!</v>
      </c>
      <c r="M126" s="80" t="e">
        <f t="shared" si="27"/>
        <v>#REF!</v>
      </c>
      <c r="O126" s="20">
        <f t="shared" si="38"/>
        <v>48</v>
      </c>
      <c r="P126" s="54">
        <f t="shared" si="39"/>
        <v>24861.875</v>
      </c>
      <c r="Q126" s="63">
        <f t="shared" si="40"/>
        <v>18518.146309092215</v>
      </c>
      <c r="R126" s="63" t="e">
        <f t="shared" si="45"/>
        <v>#REF!</v>
      </c>
      <c r="S126" s="63" t="e">
        <f t="shared" si="41"/>
        <v>#REF!</v>
      </c>
      <c r="T126" s="63" t="e">
        <f>-T128*0.5</f>
        <v>#REF!</v>
      </c>
      <c r="U126" s="63">
        <f t="shared" si="42"/>
        <v>-925.90731545461085</v>
      </c>
      <c r="V126" s="77">
        <f t="shared" si="46"/>
        <v>-123.5</v>
      </c>
      <c r="W126" s="83" t="e">
        <f t="shared" si="31"/>
        <v>#REF!</v>
      </c>
      <c r="X126" s="86" t="e">
        <f t="shared" si="43"/>
        <v>#REF!</v>
      </c>
      <c r="Z126" s="92">
        <f t="shared" si="44"/>
        <v>59280</v>
      </c>
      <c r="AA126" s="5">
        <f t="shared" si="32"/>
        <v>0</v>
      </c>
      <c r="AB126" s="92">
        <f t="shared" si="33"/>
        <v>59280</v>
      </c>
    </row>
    <row r="127" spans="1:28" ht="14.65" thickBot="1" x14ac:dyDescent="0.5">
      <c r="I127" s="21" t="s">
        <v>20</v>
      </c>
      <c r="J127" s="69" t="e">
        <f>C79*C83</f>
        <v>#REF!</v>
      </c>
      <c r="K127" s="69" t="e">
        <f>SUM(K79:K126)</f>
        <v>#REF!</v>
      </c>
      <c r="L127" s="81"/>
      <c r="M127" s="82"/>
      <c r="O127" s="58"/>
      <c r="P127" s="59"/>
      <c r="Q127" s="81"/>
      <c r="R127" s="69" t="e">
        <f>SUM(R79:R126)</f>
        <v>#REF!</v>
      </c>
      <c r="S127" s="87" t="e">
        <f>SUM(S79:S126)</f>
        <v>#REF!</v>
      </c>
      <c r="T127" s="87" t="e">
        <f>SUM(T79:T126)</f>
        <v>#REF!</v>
      </c>
      <c r="U127" s="69">
        <f>SUM(U79:U126)</f>
        <v>-44443.551141821328</v>
      </c>
      <c r="V127" s="69">
        <f>SUM(V79:V126)</f>
        <v>-16978.875</v>
      </c>
      <c r="W127" s="88"/>
      <c r="X127" s="82"/>
    </row>
    <row r="128" spans="1:28" x14ac:dyDescent="0.45">
      <c r="Q128" s="89"/>
      <c r="R128" s="89"/>
      <c r="S128" s="90" t="e">
        <f>D103</f>
        <v>#REF!</v>
      </c>
      <c r="T128" s="60" t="e">
        <f>D104</f>
        <v>#REF!</v>
      </c>
      <c r="U128" s="89"/>
      <c r="V128" s="89"/>
      <c r="W128" s="89"/>
      <c r="X128" s="89"/>
    </row>
    <row r="129" spans="12:24" ht="14.65" thickBot="1" x14ac:dyDescent="0.5">
      <c r="L129" s="129" t="e">
        <f>+PMT(C80/12,C84,(C79),,)</f>
        <v>#REF!</v>
      </c>
      <c r="Q129" s="89"/>
      <c r="R129" s="89"/>
      <c r="S129" s="91" t="e">
        <f>S127+S128</f>
        <v>#REF!</v>
      </c>
      <c r="T129" s="66" t="e">
        <f>T127+T128</f>
        <v>#REF!</v>
      </c>
      <c r="U129" s="89"/>
      <c r="V129" s="89"/>
      <c r="W129" s="89"/>
      <c r="X129" s="89"/>
    </row>
  </sheetData>
  <mergeCells count="21">
    <mergeCell ref="A75:C75"/>
    <mergeCell ref="D75:X75"/>
    <mergeCell ref="A1:X1"/>
    <mergeCell ref="A3:C3"/>
    <mergeCell ref="D3:X3"/>
    <mergeCell ref="A5:C5"/>
    <mergeCell ref="I5:M5"/>
    <mergeCell ref="O5:X5"/>
    <mergeCell ref="A16:E16"/>
    <mergeCell ref="A25:G25"/>
    <mergeCell ref="A41:G41"/>
    <mergeCell ref="B42:E42"/>
    <mergeCell ref="B43:E43"/>
    <mergeCell ref="B114:E114"/>
    <mergeCell ref="B115:E115"/>
    <mergeCell ref="A77:C77"/>
    <mergeCell ref="I77:M77"/>
    <mergeCell ref="O77:X77"/>
    <mergeCell ref="A88:E88"/>
    <mergeCell ref="A97:G97"/>
    <mergeCell ref="A113:G113"/>
  </mergeCells>
  <printOptions horizontalCentered="1"/>
  <pageMargins left="0.70866141732283505" right="0.70866141732283505" top="0.74803149606299202" bottom="0.74803149606299202" header="0.31496062992126" footer="0.31496062992126"/>
  <headerFooter>
    <oddHeader>&amp;R&amp;A</oddHeader>
    <oddFooter>&amp;L&amp;D&amp;C&amp;P&amp;R&amp;A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E5543-275D-4F47-92D6-74B91BE5DD64}">
  <sheetPr>
    <tabColor theme="9" tint="-0.249977111117893"/>
    <pageSetUpPr fitToPage="1"/>
  </sheetPr>
  <dimension ref="A1:AE129"/>
  <sheetViews>
    <sheetView topLeftCell="A20" workbookViewId="0">
      <selection activeCell="G16" sqref="G16"/>
    </sheetView>
  </sheetViews>
  <sheetFormatPr defaultColWidth="9.1328125" defaultRowHeight="14.25" x14ac:dyDescent="0.45"/>
  <cols>
    <col min="1" max="1" width="6.265625" style="3" customWidth="1"/>
    <col min="2" max="2" width="18.265625" style="3" bestFit="1" customWidth="1"/>
    <col min="3" max="4" width="15" style="3" bestFit="1" customWidth="1"/>
    <col min="5" max="5" width="14" style="3" bestFit="1" customWidth="1"/>
    <col min="6" max="6" width="17.3984375" style="3" bestFit="1" customWidth="1"/>
    <col min="7" max="7" width="15.1328125" style="3" bestFit="1" customWidth="1"/>
    <col min="8" max="8" width="9.1328125" style="3"/>
    <col min="9" max="9" width="7.3984375" style="3" bestFit="1" customWidth="1"/>
    <col min="10" max="10" width="15" style="3" bestFit="1" customWidth="1"/>
    <col min="11" max="11" width="14" style="3" bestFit="1" customWidth="1"/>
    <col min="12" max="12" width="13.1328125" style="3" bestFit="1" customWidth="1"/>
    <col min="13" max="13" width="15" style="3" bestFit="1" customWidth="1"/>
    <col min="14" max="16" width="9.1328125" style="3"/>
    <col min="17" max="19" width="15.86328125" style="3" bestFit="1" customWidth="1"/>
    <col min="20" max="21" width="14.73046875" style="3" customWidth="1"/>
    <col min="22" max="22" width="13.265625" style="3" bestFit="1" customWidth="1"/>
    <col min="23" max="23" width="14.86328125" style="3" bestFit="1" customWidth="1"/>
    <col min="24" max="24" width="15.1328125" style="3" bestFit="1" customWidth="1"/>
    <col min="25" max="25" width="9.1328125" style="3"/>
    <col min="26" max="26" width="12.73046875" style="3" bestFit="1" customWidth="1"/>
    <col min="27" max="27" width="9.1328125" style="3"/>
    <col min="28" max="29" width="16.265625" style="3" customWidth="1"/>
    <col min="30" max="30" width="16.3984375" style="3" customWidth="1"/>
    <col min="31" max="16384" width="9.1328125" style="3"/>
  </cols>
  <sheetData>
    <row r="1" spans="1:31" ht="62.25" customHeight="1" thickBot="1" x14ac:dyDescent="0.5">
      <c r="A1" s="676">
        <f>+ASSUMPTIONS!B1</f>
        <v>0</v>
      </c>
      <c r="B1" s="677"/>
      <c r="C1" s="677"/>
      <c r="D1" s="677"/>
      <c r="E1" s="677"/>
      <c r="F1" s="677"/>
      <c r="G1" s="677"/>
      <c r="H1" s="677"/>
      <c r="I1" s="677"/>
      <c r="J1" s="677"/>
      <c r="K1" s="677"/>
      <c r="L1" s="677"/>
      <c r="M1" s="677"/>
      <c r="N1" s="677"/>
      <c r="O1" s="677"/>
      <c r="P1" s="677"/>
      <c r="Q1" s="677"/>
      <c r="R1" s="677"/>
      <c r="S1" s="677"/>
      <c r="T1" s="677"/>
      <c r="U1" s="677"/>
      <c r="V1" s="677"/>
      <c r="W1" s="677"/>
      <c r="X1" s="678"/>
    </row>
    <row r="2" spans="1:31" ht="16.149999999999999" thickBot="1" x14ac:dyDescent="0.5">
      <c r="A2" s="308"/>
      <c r="B2" s="308"/>
      <c r="C2" s="309"/>
      <c r="D2" s="309"/>
      <c r="E2" s="309"/>
      <c r="F2" s="309"/>
      <c r="G2" s="309"/>
      <c r="H2" s="309"/>
      <c r="I2" s="310"/>
      <c r="J2" s="309"/>
      <c r="K2" s="309"/>
      <c r="L2" s="309"/>
      <c r="M2" s="309"/>
    </row>
    <row r="3" spans="1:31" ht="32.25" customHeight="1" thickBot="1" x14ac:dyDescent="0.5">
      <c r="A3" s="679" t="s">
        <v>313</v>
      </c>
      <c r="B3" s="680"/>
      <c r="C3" s="681"/>
      <c r="D3" s="682" t="s">
        <v>2</v>
      </c>
      <c r="E3" s="683"/>
      <c r="F3" s="683"/>
      <c r="G3" s="683"/>
      <c r="H3" s="683"/>
      <c r="I3" s="683"/>
      <c r="J3" s="683"/>
      <c r="K3" s="683"/>
      <c r="L3" s="683"/>
      <c r="M3" s="683"/>
      <c r="N3" s="683"/>
      <c r="O3" s="683"/>
      <c r="P3" s="683"/>
      <c r="Q3" s="683"/>
      <c r="R3" s="683"/>
      <c r="S3" s="683"/>
      <c r="T3" s="683"/>
      <c r="U3" s="683"/>
      <c r="V3" s="683"/>
      <c r="W3" s="683"/>
      <c r="X3" s="684"/>
    </row>
    <row r="4" spans="1:31" ht="14.65" thickBot="1" x14ac:dyDescent="0.5">
      <c r="C4" s="11"/>
      <c r="D4" s="11"/>
      <c r="E4" s="11"/>
      <c r="F4" s="11"/>
      <c r="G4" s="11"/>
      <c r="H4" s="11"/>
      <c r="I4" s="12"/>
      <c r="J4" s="11"/>
      <c r="K4" s="11"/>
      <c r="L4" s="11"/>
      <c r="M4" s="11"/>
      <c r="Q4" s="368">
        <f>+'Summary Equip'!AC9</f>
        <v>520.125</v>
      </c>
      <c r="U4" s="57">
        <v>0.05</v>
      </c>
    </row>
    <row r="5" spans="1:31" ht="23.25" customHeight="1" thickBot="1" x14ac:dyDescent="0.5">
      <c r="A5" s="685" t="s">
        <v>9</v>
      </c>
      <c r="B5" s="686"/>
      <c r="C5" s="687"/>
      <c r="D5" s="11"/>
      <c r="E5" s="11"/>
      <c r="F5" s="11"/>
      <c r="G5" s="11"/>
      <c r="H5" s="11"/>
      <c r="I5" s="688" t="s">
        <v>34</v>
      </c>
      <c r="J5" s="689"/>
      <c r="K5" s="689"/>
      <c r="L5" s="689"/>
      <c r="M5" s="690"/>
      <c r="O5" s="688" t="s">
        <v>35</v>
      </c>
      <c r="P5" s="691"/>
      <c r="Q5" s="689"/>
      <c r="R5" s="689"/>
      <c r="S5" s="689"/>
      <c r="T5" s="689"/>
      <c r="U5" s="689"/>
      <c r="V5" s="689"/>
      <c r="W5" s="692"/>
      <c r="X5" s="693"/>
      <c r="AA5" s="145">
        <v>0</v>
      </c>
    </row>
    <row r="6" spans="1:31" ht="28.9" thickBot="1" x14ac:dyDescent="0.5">
      <c r="A6" s="29" t="s">
        <v>0</v>
      </c>
      <c r="B6" s="28" t="s">
        <v>1</v>
      </c>
      <c r="C6" s="50" t="s">
        <v>10</v>
      </c>
      <c r="D6" s="11"/>
      <c r="E6" s="11"/>
      <c r="F6" s="11"/>
      <c r="G6" s="11"/>
      <c r="H6" s="11"/>
      <c r="I6" s="16" t="s">
        <v>15</v>
      </c>
      <c r="J6" s="17" t="s">
        <v>70</v>
      </c>
      <c r="K6" s="17" t="s">
        <v>17</v>
      </c>
      <c r="L6" s="17" t="s">
        <v>18</v>
      </c>
      <c r="M6" s="18" t="s">
        <v>19</v>
      </c>
      <c r="O6" s="16" t="s">
        <v>15</v>
      </c>
      <c r="P6" s="52" t="s">
        <v>39</v>
      </c>
      <c r="Q6" s="17" t="s">
        <v>36</v>
      </c>
      <c r="R6" s="17" t="s">
        <v>37</v>
      </c>
      <c r="S6" s="17" t="s">
        <v>27</v>
      </c>
      <c r="T6" s="17" t="s">
        <v>38</v>
      </c>
      <c r="U6" s="17" t="s">
        <v>7</v>
      </c>
      <c r="V6" s="17" t="s">
        <v>41</v>
      </c>
      <c r="W6" s="18" t="s">
        <v>40</v>
      </c>
      <c r="X6" s="55" t="s">
        <v>42</v>
      </c>
      <c r="Z6" s="5" t="s">
        <v>71</v>
      </c>
      <c r="AA6" s="5" t="s">
        <v>46</v>
      </c>
      <c r="AB6" s="5" t="s">
        <v>47</v>
      </c>
    </row>
    <row r="7" spans="1:31" x14ac:dyDescent="0.45">
      <c r="A7" s="8">
        <v>1</v>
      </c>
      <c r="B7" s="9" t="s">
        <v>11</v>
      </c>
      <c r="C7" s="152">
        <f>+F11*(1+'Summary Equip'!$N$3)</f>
        <v>231000</v>
      </c>
      <c r="D7" s="11"/>
      <c r="E7" s="8" t="s">
        <v>61</v>
      </c>
      <c r="F7" s="150">
        <f>+'Summary Equip'!J10</f>
        <v>220000</v>
      </c>
      <c r="G7" s="106"/>
      <c r="H7" s="383">
        <v>1</v>
      </c>
      <c r="I7" s="15">
        <v>1</v>
      </c>
      <c r="J7" s="77">
        <f>C7</f>
        <v>231000</v>
      </c>
      <c r="K7" s="77">
        <f>J7*$C$8*30.44/365.25</f>
        <v>1020.3337987679672</v>
      </c>
      <c r="L7" s="77">
        <f>+L69</f>
        <v>-4391.0755978286179</v>
      </c>
      <c r="M7" s="78">
        <f t="shared" ref="M7:M66" si="0">J7+K7+L7</f>
        <v>227629.25820093934</v>
      </c>
      <c r="O7" s="15">
        <v>1</v>
      </c>
      <c r="P7" s="53">
        <f>Q4</f>
        <v>520.125</v>
      </c>
      <c r="Q7" s="77">
        <f>$F$42+($Q$4*$G$42)</f>
        <v>14294.709431579955</v>
      </c>
      <c r="R7" s="77">
        <f>+L7</f>
        <v>-4391.0755978286179</v>
      </c>
      <c r="S7" s="77">
        <f>+IF(R7=0,,-S68/C12)</f>
        <v>-1833.3333333333333</v>
      </c>
      <c r="T7" s="77"/>
      <c r="U7" s="77">
        <f>-Q7*U4</f>
        <v>-714.73547157899782</v>
      </c>
      <c r="V7" s="77">
        <f>-(AB7*$C$9/12)</f>
        <v>-450.77083333333331</v>
      </c>
      <c r="W7" s="83">
        <f>SUM(Q7:V7)</f>
        <v>6904.7941955056731</v>
      </c>
      <c r="X7" s="84">
        <f>W7</f>
        <v>6904.7941955056731</v>
      </c>
      <c r="Z7" s="92">
        <f>+$D$27-(($D$27+$D$28)*O7/$B$22)</f>
        <v>216370</v>
      </c>
      <c r="AA7" s="5">
        <f>+Z7*$AA$5</f>
        <v>0</v>
      </c>
      <c r="AB7" s="92">
        <f>+Z7+AA7</f>
        <v>216370</v>
      </c>
      <c r="AC7" s="132"/>
      <c r="AD7" s="132">
        <f>+S7</f>
        <v>-1833.3333333333333</v>
      </c>
      <c r="AE7" s="3">
        <f>+IF(AD7=0,0,1)</f>
        <v>1</v>
      </c>
    </row>
    <row r="8" spans="1:31" ht="28.5" x14ac:dyDescent="0.45">
      <c r="A8" s="4">
        <f>A7+1</f>
        <v>2</v>
      </c>
      <c r="B8" s="5" t="s">
        <v>3</v>
      </c>
      <c r="C8" s="156">
        <f>+'Summary Equip'!R10</f>
        <v>5.2999999999999999E-2</v>
      </c>
      <c r="D8" s="11"/>
      <c r="E8" s="107" t="s">
        <v>64</v>
      </c>
      <c r="F8" s="311">
        <f>+'Summary Equip'!D10</f>
        <v>0</v>
      </c>
      <c r="G8" s="108"/>
      <c r="H8" s="383">
        <f>+'Summary Equip'!C9</f>
        <v>1</v>
      </c>
      <c r="I8" s="14">
        <f>I7+1</f>
        <v>2</v>
      </c>
      <c r="J8" s="63">
        <f>+IF(M7&lt;0,,M7)</f>
        <v>227629.25820093934</v>
      </c>
      <c r="K8" s="63">
        <f t="shared" ref="K8:K54" si="1">J8*$C$8*30.44/365.25</f>
        <v>1005.4451330341942</v>
      </c>
      <c r="L8" s="63">
        <f>IF(M7&lt;0,,L7)</f>
        <v>-4391.0755978286179</v>
      </c>
      <c r="M8" s="65">
        <f t="shared" si="0"/>
        <v>224243.62773614493</v>
      </c>
      <c r="O8" s="14">
        <f>O7+1</f>
        <v>2</v>
      </c>
      <c r="P8" s="54">
        <f>P7+$Q$4</f>
        <v>1040.25</v>
      </c>
      <c r="Q8" s="63">
        <f>$F$42+($Q$4*$G$42)</f>
        <v>14294.709431579955</v>
      </c>
      <c r="R8" s="77">
        <f t="shared" ref="R8:R66" si="2">+L8</f>
        <v>-4391.0755978286179</v>
      </c>
      <c r="S8" s="63">
        <f>+IF(R8=0,,S7)</f>
        <v>-1833.3333333333333</v>
      </c>
      <c r="T8" s="63"/>
      <c r="U8" s="63">
        <f>U7</f>
        <v>-714.73547157899782</v>
      </c>
      <c r="V8" s="77">
        <f t="shared" ref="V8:V14" si="3">-(AB8*$C$9/12)</f>
        <v>-443.20833333333331</v>
      </c>
      <c r="W8" s="83">
        <f t="shared" ref="W8:W66" si="4">SUM(Q8:V8)</f>
        <v>6912.3566955056731</v>
      </c>
      <c r="X8" s="85">
        <f>X7+W8</f>
        <v>13817.150891011346</v>
      </c>
      <c r="Z8" s="92">
        <f>+$D$27-(($D$27+$D$28)*O8/$B$22)</f>
        <v>212740</v>
      </c>
      <c r="AA8" s="5">
        <f t="shared" ref="AA8:AA66" si="5">+Z8*$AA$5</f>
        <v>0</v>
      </c>
      <c r="AB8" s="92">
        <f t="shared" ref="AB8:AB66" si="6">+Z8+AA8</f>
        <v>212740</v>
      </c>
      <c r="AD8" s="133">
        <f t="shared" ref="AD8:AD53" si="7">IF(AD7=0,0,IF(+S8+AD7&lt;-$S$72,0,+S8+AD7))</f>
        <v>-3666.6666666666665</v>
      </c>
      <c r="AE8" s="3">
        <f t="shared" ref="AE8:AE66" si="8">+IF(AD8=0,0,1)</f>
        <v>1</v>
      </c>
    </row>
    <row r="9" spans="1:31" x14ac:dyDescent="0.45">
      <c r="A9" s="4">
        <f t="shared" ref="A9:A14" si="9">A8+1</f>
        <v>3</v>
      </c>
      <c r="B9" s="5" t="s">
        <v>4</v>
      </c>
      <c r="C9" s="157">
        <f>+'Summary Equip'!S10</f>
        <v>2.5000000000000001E-2</v>
      </c>
      <c r="D9" s="11"/>
      <c r="E9" s="109" t="s">
        <v>69</v>
      </c>
      <c r="F9" s="311">
        <f>'Summary Equip'!F10</f>
        <v>11000</v>
      </c>
      <c r="G9" s="110"/>
      <c r="H9" s="383">
        <f>+'Summary Equip'!E9</f>
        <v>1</v>
      </c>
      <c r="I9" s="14">
        <f t="shared" ref="I9:I66" si="10">I8+1</f>
        <v>3</v>
      </c>
      <c r="J9" s="63">
        <f t="shared" ref="J9:J66" si="11">+IF(M8&lt;0,,M8)</f>
        <v>224243.62773614493</v>
      </c>
      <c r="K9" s="63">
        <f t="shared" si="1"/>
        <v>990.49070362567363</v>
      </c>
      <c r="L9" s="63">
        <f t="shared" ref="L9:L66" si="12">IF(M8&lt;0,,L8)</f>
        <v>-4391.0755978286179</v>
      </c>
      <c r="M9" s="65">
        <f t="shared" si="0"/>
        <v>220843.04284194199</v>
      </c>
      <c r="O9" s="14">
        <f t="shared" ref="O9:O66" si="13">O8+1</f>
        <v>3</v>
      </c>
      <c r="P9" s="54">
        <f t="shared" ref="P9:P66" si="14">P8+$Q$4</f>
        <v>1560.375</v>
      </c>
      <c r="Q9" s="63">
        <f t="shared" ref="Q9:Q66" si="15">$F$42+($Q$4*$G$42)</f>
        <v>14294.709431579955</v>
      </c>
      <c r="R9" s="77">
        <f t="shared" si="2"/>
        <v>-4391.0755978286179</v>
      </c>
      <c r="S9" s="63">
        <f t="shared" ref="S9:S62" si="16">+S8</f>
        <v>-1833.3333333333333</v>
      </c>
      <c r="T9" s="63"/>
      <c r="U9" s="63">
        <f t="shared" ref="U9:U62" si="17">U8</f>
        <v>-714.73547157899782</v>
      </c>
      <c r="V9" s="77">
        <f t="shared" si="3"/>
        <v>-435.64583333333331</v>
      </c>
      <c r="W9" s="83">
        <f t="shared" si="4"/>
        <v>6919.9191955056731</v>
      </c>
      <c r="X9" s="85">
        <f t="shared" ref="X9:X62" si="18">X8+W9</f>
        <v>20737.070086517018</v>
      </c>
      <c r="Z9" s="92">
        <f t="shared" ref="Z9:Z66" si="19">+$D$27-(($D$27+$D$28)*O9/$B$22)</f>
        <v>209110</v>
      </c>
      <c r="AA9" s="5">
        <f t="shared" si="5"/>
        <v>0</v>
      </c>
      <c r="AB9" s="92">
        <f t="shared" si="6"/>
        <v>209110</v>
      </c>
      <c r="AD9" s="133">
        <f t="shared" si="7"/>
        <v>-5500</v>
      </c>
      <c r="AE9" s="3">
        <f t="shared" si="8"/>
        <v>1</v>
      </c>
    </row>
    <row r="10" spans="1:31" ht="14.65" thickBot="1" x14ac:dyDescent="0.5">
      <c r="A10" s="4">
        <f t="shared" si="9"/>
        <v>4</v>
      </c>
      <c r="B10" s="5" t="s">
        <v>5</v>
      </c>
      <c r="C10" s="158">
        <f>+'Summary Equip'!T10</f>
        <v>0.05</v>
      </c>
      <c r="D10" s="11"/>
      <c r="E10" s="111" t="s">
        <v>52</v>
      </c>
      <c r="F10" s="312">
        <f>SUM(F7:F8)*G10</f>
        <v>0</v>
      </c>
      <c r="G10" s="151">
        <f>+'Summary Equip'!H10</f>
        <v>0</v>
      </c>
      <c r="H10" s="383">
        <f>+'Summary Equip'!G9</f>
        <v>0</v>
      </c>
      <c r="I10" s="14">
        <f t="shared" si="10"/>
        <v>4</v>
      </c>
      <c r="J10" s="63">
        <f t="shared" si="11"/>
        <v>220843.04284194199</v>
      </c>
      <c r="K10" s="63">
        <f t="shared" si="1"/>
        <v>975.4702200623185</v>
      </c>
      <c r="L10" s="63">
        <f t="shared" si="12"/>
        <v>-4391.0755978286179</v>
      </c>
      <c r="M10" s="65">
        <f t="shared" si="0"/>
        <v>217427.43746417569</v>
      </c>
      <c r="O10" s="14">
        <f t="shared" si="13"/>
        <v>4</v>
      </c>
      <c r="P10" s="54">
        <f t="shared" si="14"/>
        <v>2080.5</v>
      </c>
      <c r="Q10" s="63">
        <f t="shared" si="15"/>
        <v>14294.709431579955</v>
      </c>
      <c r="R10" s="77">
        <f t="shared" si="2"/>
        <v>-4391.0755978286179</v>
      </c>
      <c r="S10" s="63">
        <f t="shared" si="16"/>
        <v>-1833.3333333333333</v>
      </c>
      <c r="T10" s="63"/>
      <c r="U10" s="63">
        <f t="shared" si="17"/>
        <v>-714.73547157899782</v>
      </c>
      <c r="V10" s="77">
        <f t="shared" si="3"/>
        <v>-428.08333333333331</v>
      </c>
      <c r="W10" s="83">
        <f t="shared" si="4"/>
        <v>6927.4816955056731</v>
      </c>
      <c r="X10" s="85">
        <f t="shared" si="18"/>
        <v>27664.551782022692</v>
      </c>
      <c r="Z10" s="92">
        <f t="shared" si="19"/>
        <v>205480</v>
      </c>
      <c r="AA10" s="5">
        <f t="shared" si="5"/>
        <v>0</v>
      </c>
      <c r="AB10" s="92">
        <f t="shared" si="6"/>
        <v>205480</v>
      </c>
      <c r="AD10" s="133">
        <f t="shared" si="7"/>
        <v>-7333.333333333333</v>
      </c>
      <c r="AE10" s="3">
        <f t="shared" si="8"/>
        <v>1</v>
      </c>
    </row>
    <row r="11" spans="1:31" ht="14.65" thickBot="1" x14ac:dyDescent="0.5">
      <c r="A11" s="4">
        <f t="shared" si="9"/>
        <v>5</v>
      </c>
      <c r="B11" s="5" t="s">
        <v>12</v>
      </c>
      <c r="C11" s="159">
        <f>+'Summary Equip'!U10</f>
        <v>0.01</v>
      </c>
      <c r="D11" s="11"/>
      <c r="E11" s="112" t="s">
        <v>28</v>
      </c>
      <c r="F11" s="313">
        <f>SUMPRODUCT(F7:F10,H7:H10)</f>
        <v>231000</v>
      </c>
      <c r="G11" s="113"/>
      <c r="H11" s="11"/>
      <c r="I11" s="14">
        <f t="shared" si="10"/>
        <v>5</v>
      </c>
      <c r="J11" s="63">
        <f t="shared" si="11"/>
        <v>217427.43746417569</v>
      </c>
      <c r="K11" s="63">
        <f t="shared" si="1"/>
        <v>960.38339058098268</v>
      </c>
      <c r="L11" s="63">
        <f t="shared" si="12"/>
        <v>-4391.0755978286179</v>
      </c>
      <c r="M11" s="65">
        <f t="shared" si="0"/>
        <v>213996.74525692803</v>
      </c>
      <c r="O11" s="14">
        <f t="shared" si="13"/>
        <v>5</v>
      </c>
      <c r="P11" s="54">
        <f t="shared" si="14"/>
        <v>2600.625</v>
      </c>
      <c r="Q11" s="63">
        <f t="shared" si="15"/>
        <v>14294.709431579955</v>
      </c>
      <c r="R11" s="77">
        <f t="shared" si="2"/>
        <v>-4391.0755978286179</v>
      </c>
      <c r="S11" s="63">
        <f t="shared" si="16"/>
        <v>-1833.3333333333333</v>
      </c>
      <c r="T11" s="63"/>
      <c r="U11" s="63">
        <f t="shared" si="17"/>
        <v>-714.73547157899782</v>
      </c>
      <c r="V11" s="77">
        <f t="shared" si="3"/>
        <v>-420.52083333333331</v>
      </c>
      <c r="W11" s="83">
        <f t="shared" si="4"/>
        <v>6935.0441955056731</v>
      </c>
      <c r="X11" s="85">
        <f t="shared" si="18"/>
        <v>34599.595977528363</v>
      </c>
      <c r="Z11" s="92">
        <f t="shared" si="19"/>
        <v>201850</v>
      </c>
      <c r="AA11" s="5">
        <f t="shared" si="5"/>
        <v>0</v>
      </c>
      <c r="AB11" s="92">
        <f t="shared" si="6"/>
        <v>201850</v>
      </c>
      <c r="AD11" s="133">
        <f t="shared" si="7"/>
        <v>-9166.6666666666661</v>
      </c>
      <c r="AE11" s="3">
        <f t="shared" si="8"/>
        <v>1</v>
      </c>
    </row>
    <row r="12" spans="1:31" x14ac:dyDescent="0.45">
      <c r="A12" s="4">
        <f t="shared" si="9"/>
        <v>6</v>
      </c>
      <c r="B12" s="5" t="s">
        <v>13</v>
      </c>
      <c r="C12" s="160">
        <f>+'Summary Equip'!V10</f>
        <v>60</v>
      </c>
      <c r="D12" s="11"/>
      <c r="E12" s="11"/>
      <c r="F12" s="11"/>
      <c r="G12" s="11"/>
      <c r="H12" s="11"/>
      <c r="I12" s="14">
        <f t="shared" si="10"/>
        <v>6</v>
      </c>
      <c r="J12" s="63">
        <f t="shared" si="11"/>
        <v>213996.74525692803</v>
      </c>
      <c r="K12" s="63">
        <f t="shared" si="1"/>
        <v>945.22992212979364</v>
      </c>
      <c r="L12" s="63">
        <f t="shared" si="12"/>
        <v>-4391.0755978286179</v>
      </c>
      <c r="M12" s="65">
        <f t="shared" si="0"/>
        <v>210550.8995812292</v>
      </c>
      <c r="O12" s="14">
        <f t="shared" si="13"/>
        <v>6</v>
      </c>
      <c r="P12" s="54">
        <f t="shared" si="14"/>
        <v>3120.75</v>
      </c>
      <c r="Q12" s="63">
        <f t="shared" si="15"/>
        <v>14294.709431579955</v>
      </c>
      <c r="R12" s="77">
        <f t="shared" si="2"/>
        <v>-4391.0755978286179</v>
      </c>
      <c r="S12" s="63">
        <f t="shared" si="16"/>
        <v>-1833.3333333333333</v>
      </c>
      <c r="T12" s="63"/>
      <c r="U12" s="63">
        <f t="shared" si="17"/>
        <v>-714.73547157899782</v>
      </c>
      <c r="V12" s="77">
        <f t="shared" si="3"/>
        <v>-412.95833333333331</v>
      </c>
      <c r="W12" s="83">
        <f t="shared" si="4"/>
        <v>6942.6066955056731</v>
      </c>
      <c r="X12" s="85">
        <f t="shared" si="18"/>
        <v>41542.202673034037</v>
      </c>
      <c r="Z12" s="92">
        <f t="shared" si="19"/>
        <v>198220</v>
      </c>
      <c r="AA12" s="5">
        <f t="shared" si="5"/>
        <v>0</v>
      </c>
      <c r="AB12" s="92">
        <f t="shared" si="6"/>
        <v>198220</v>
      </c>
      <c r="AD12" s="133">
        <f t="shared" si="7"/>
        <v>-11000</v>
      </c>
      <c r="AE12" s="3">
        <f t="shared" si="8"/>
        <v>1</v>
      </c>
    </row>
    <row r="13" spans="1:31" x14ac:dyDescent="0.45">
      <c r="A13" s="4">
        <f t="shared" si="9"/>
        <v>7</v>
      </c>
      <c r="B13" s="5" t="s">
        <v>14</v>
      </c>
      <c r="C13" s="161">
        <f>+'Summary Equip'!W10</f>
        <v>12000</v>
      </c>
      <c r="D13" s="176">
        <f>+C13*C14</f>
        <v>10800</v>
      </c>
      <c r="E13" s="11"/>
      <c r="F13" s="11"/>
      <c r="G13" s="11"/>
      <c r="H13" s="11"/>
      <c r="I13" s="14">
        <f t="shared" si="10"/>
        <v>7</v>
      </c>
      <c r="J13" s="63">
        <f t="shared" si="11"/>
        <v>210550.8995812292</v>
      </c>
      <c r="K13" s="63">
        <f t="shared" si="1"/>
        <v>930.00952036246042</v>
      </c>
      <c r="L13" s="63">
        <f t="shared" si="12"/>
        <v>-4391.0755978286179</v>
      </c>
      <c r="M13" s="65">
        <f t="shared" si="0"/>
        <v>207089.83350376302</v>
      </c>
      <c r="O13" s="14">
        <f t="shared" si="13"/>
        <v>7</v>
      </c>
      <c r="P13" s="54">
        <f t="shared" si="14"/>
        <v>3640.875</v>
      </c>
      <c r="Q13" s="63">
        <f t="shared" si="15"/>
        <v>14294.709431579955</v>
      </c>
      <c r="R13" s="77">
        <f t="shared" si="2"/>
        <v>-4391.0755978286179</v>
      </c>
      <c r="S13" s="63">
        <f t="shared" si="16"/>
        <v>-1833.3333333333333</v>
      </c>
      <c r="T13" s="63"/>
      <c r="U13" s="63">
        <f t="shared" si="17"/>
        <v>-714.73547157899782</v>
      </c>
      <c r="V13" s="77">
        <f t="shared" si="3"/>
        <v>-405.39583333333331</v>
      </c>
      <c r="W13" s="83">
        <f t="shared" si="4"/>
        <v>6950.1691955056731</v>
      </c>
      <c r="X13" s="85">
        <f t="shared" si="18"/>
        <v>48492.371868539711</v>
      </c>
      <c r="Z13" s="92">
        <f t="shared" si="19"/>
        <v>194590</v>
      </c>
      <c r="AA13" s="5">
        <f t="shared" si="5"/>
        <v>0</v>
      </c>
      <c r="AB13" s="92">
        <f t="shared" si="6"/>
        <v>194590</v>
      </c>
      <c r="AD13" s="133">
        <f t="shared" si="7"/>
        <v>-12833.333333333334</v>
      </c>
      <c r="AE13" s="3">
        <f t="shared" si="8"/>
        <v>1</v>
      </c>
    </row>
    <row r="14" spans="1:31" ht="14.65" thickBot="1" x14ac:dyDescent="0.5">
      <c r="A14" s="6">
        <f t="shared" si="9"/>
        <v>8</v>
      </c>
      <c r="B14" s="7" t="s">
        <v>33</v>
      </c>
      <c r="C14" s="162">
        <f>+'Summary Equip'!X10</f>
        <v>0.9</v>
      </c>
      <c r="D14" s="11">
        <f>+D13/C12</f>
        <v>180</v>
      </c>
      <c r="E14" s="11"/>
      <c r="F14" s="11"/>
      <c r="G14" s="11"/>
      <c r="H14" s="11"/>
      <c r="I14" s="14">
        <f t="shared" si="10"/>
        <v>8</v>
      </c>
      <c r="J14" s="63">
        <f t="shared" si="11"/>
        <v>207089.83350376302</v>
      </c>
      <c r="K14" s="63">
        <f t="shared" si="1"/>
        <v>914.72188963255564</v>
      </c>
      <c r="L14" s="63">
        <f t="shared" si="12"/>
        <v>-4391.0755978286179</v>
      </c>
      <c r="M14" s="65">
        <f t="shared" si="0"/>
        <v>203613.47979556693</v>
      </c>
      <c r="O14" s="14">
        <f t="shared" si="13"/>
        <v>8</v>
      </c>
      <c r="P14" s="54">
        <f t="shared" si="14"/>
        <v>4161</v>
      </c>
      <c r="Q14" s="63">
        <f t="shared" si="15"/>
        <v>14294.709431579955</v>
      </c>
      <c r="R14" s="77">
        <f t="shared" si="2"/>
        <v>-4391.0755978286179</v>
      </c>
      <c r="S14" s="63">
        <f t="shared" si="16"/>
        <v>-1833.3333333333333</v>
      </c>
      <c r="T14" s="63"/>
      <c r="U14" s="63">
        <f t="shared" si="17"/>
        <v>-714.73547157899782</v>
      </c>
      <c r="V14" s="77">
        <f t="shared" si="3"/>
        <v>-397.83333333333331</v>
      </c>
      <c r="W14" s="83">
        <f t="shared" si="4"/>
        <v>6957.7316955056731</v>
      </c>
      <c r="X14" s="85">
        <f t="shared" si="18"/>
        <v>55450.103564045385</v>
      </c>
      <c r="Z14" s="92">
        <f t="shared" si="19"/>
        <v>190960</v>
      </c>
      <c r="AA14" s="5">
        <f t="shared" si="5"/>
        <v>0</v>
      </c>
      <c r="AB14" s="92">
        <f t="shared" si="6"/>
        <v>190960</v>
      </c>
      <c r="AD14" s="133">
        <f t="shared" si="7"/>
        <v>-14666.666666666668</v>
      </c>
      <c r="AE14" s="3">
        <f t="shared" si="8"/>
        <v>1</v>
      </c>
    </row>
    <row r="15" spans="1:31" ht="14.65" thickBot="1" x14ac:dyDescent="0.5">
      <c r="C15" s="11"/>
      <c r="D15" s="11"/>
      <c r="E15" s="11"/>
      <c r="F15" s="11"/>
      <c r="G15" s="11"/>
      <c r="H15" s="11"/>
      <c r="I15" s="14">
        <f t="shared" si="10"/>
        <v>9</v>
      </c>
      <c r="J15" s="63">
        <f t="shared" si="11"/>
        <v>203613.47979556693</v>
      </c>
      <c r="K15" s="63">
        <f t="shared" si="1"/>
        <v>899.36673298777282</v>
      </c>
      <c r="L15" s="63">
        <f t="shared" si="12"/>
        <v>-4391.0755978286179</v>
      </c>
      <c r="M15" s="65">
        <f t="shared" si="0"/>
        <v>200121.77093072608</v>
      </c>
      <c r="O15" s="14">
        <f t="shared" si="13"/>
        <v>9</v>
      </c>
      <c r="P15" s="54">
        <f t="shared" si="14"/>
        <v>4681.125</v>
      </c>
      <c r="Q15" s="63">
        <f t="shared" si="15"/>
        <v>14294.709431579955</v>
      </c>
      <c r="R15" s="77">
        <f t="shared" si="2"/>
        <v>-4391.0755978286179</v>
      </c>
      <c r="S15" s="63">
        <f t="shared" si="16"/>
        <v>-1833.3333333333333</v>
      </c>
      <c r="T15" s="63"/>
      <c r="U15" s="63">
        <f t="shared" si="17"/>
        <v>-714.73547157899782</v>
      </c>
      <c r="V15" s="77">
        <f>-(AB15*$C$9/12)</f>
        <v>-390.27083333333331</v>
      </c>
      <c r="W15" s="83">
        <f t="shared" si="4"/>
        <v>6965.2941955056731</v>
      </c>
      <c r="X15" s="85">
        <f t="shared" si="18"/>
        <v>62415.397759551059</v>
      </c>
      <c r="Z15" s="92">
        <f t="shared" si="19"/>
        <v>187330</v>
      </c>
      <c r="AA15" s="5">
        <f t="shared" si="5"/>
        <v>0</v>
      </c>
      <c r="AB15" s="92">
        <f t="shared" si="6"/>
        <v>187330</v>
      </c>
      <c r="AD15" s="133">
        <f t="shared" si="7"/>
        <v>-16500</v>
      </c>
      <c r="AE15" s="3">
        <f t="shared" si="8"/>
        <v>1</v>
      </c>
    </row>
    <row r="16" spans="1:31" ht="16.149999999999999" thickBot="1" x14ac:dyDescent="0.5">
      <c r="A16" s="661" t="s">
        <v>43</v>
      </c>
      <c r="B16" s="662"/>
      <c r="C16" s="662"/>
      <c r="D16" s="662"/>
      <c r="E16" s="663"/>
      <c r="F16" s="1"/>
      <c r="G16" s="1"/>
      <c r="H16" s="117"/>
      <c r="I16" s="14">
        <f t="shared" si="10"/>
        <v>10</v>
      </c>
      <c r="J16" s="63">
        <f t="shared" si="11"/>
        <v>200121.77093072608</v>
      </c>
      <c r="K16" s="63">
        <f t="shared" si="1"/>
        <v>883.94375216415881</v>
      </c>
      <c r="L16" s="63">
        <f t="shared" si="12"/>
        <v>-4391.0755978286179</v>
      </c>
      <c r="M16" s="65">
        <f t="shared" si="0"/>
        <v>196614.63908506162</v>
      </c>
      <c r="O16" s="14">
        <f t="shared" si="13"/>
        <v>10</v>
      </c>
      <c r="P16" s="54">
        <f t="shared" si="14"/>
        <v>5201.25</v>
      </c>
      <c r="Q16" s="63">
        <f t="shared" si="15"/>
        <v>14294.709431579955</v>
      </c>
      <c r="R16" s="77">
        <f t="shared" si="2"/>
        <v>-4391.0755978286179</v>
      </c>
      <c r="S16" s="63">
        <f t="shared" si="16"/>
        <v>-1833.3333333333333</v>
      </c>
      <c r="T16" s="63"/>
      <c r="U16" s="63">
        <f t="shared" si="17"/>
        <v>-714.73547157899782</v>
      </c>
      <c r="V16" s="77">
        <f t="shared" ref="V16:V66" si="20">-(AB16*$C$9/12)</f>
        <v>-382.70833333333331</v>
      </c>
      <c r="W16" s="83">
        <f t="shared" si="4"/>
        <v>6972.8566955056731</v>
      </c>
      <c r="X16" s="85">
        <f t="shared" si="18"/>
        <v>69388.254455056725</v>
      </c>
      <c r="Z16" s="92">
        <f t="shared" si="19"/>
        <v>183700</v>
      </c>
      <c r="AA16" s="5">
        <f t="shared" si="5"/>
        <v>0</v>
      </c>
      <c r="AB16" s="92">
        <f t="shared" si="6"/>
        <v>183700</v>
      </c>
      <c r="AD16" s="133">
        <f t="shared" si="7"/>
        <v>-18333.333333333332</v>
      </c>
      <c r="AE16" s="3">
        <f t="shared" si="8"/>
        <v>1</v>
      </c>
    </row>
    <row r="17" spans="1:31" ht="14.65" thickBot="1" x14ac:dyDescent="0.5">
      <c r="A17" s="97" t="s">
        <v>44</v>
      </c>
      <c r="B17" s="98" t="s">
        <v>48</v>
      </c>
      <c r="C17" s="98" t="s">
        <v>45</v>
      </c>
      <c r="D17" s="99" t="s">
        <v>46</v>
      </c>
      <c r="E17" s="55" t="s">
        <v>47</v>
      </c>
      <c r="F17" s="1"/>
      <c r="G17" s="1"/>
      <c r="H17" s="117"/>
      <c r="I17" s="14">
        <f t="shared" si="10"/>
        <v>11</v>
      </c>
      <c r="J17" s="63">
        <f t="shared" si="11"/>
        <v>196614.63908506162</v>
      </c>
      <c r="K17" s="63">
        <f t="shared" si="1"/>
        <v>868.45264758031931</v>
      </c>
      <c r="L17" s="63">
        <f t="shared" si="12"/>
        <v>-4391.0755978286179</v>
      </c>
      <c r="M17" s="65">
        <f t="shared" si="0"/>
        <v>193092.01613481331</v>
      </c>
      <c r="O17" s="14">
        <f t="shared" si="13"/>
        <v>11</v>
      </c>
      <c r="P17" s="54">
        <f t="shared" si="14"/>
        <v>5721.375</v>
      </c>
      <c r="Q17" s="63">
        <f t="shared" si="15"/>
        <v>14294.709431579955</v>
      </c>
      <c r="R17" s="77">
        <f t="shared" si="2"/>
        <v>-4391.0755978286179</v>
      </c>
      <c r="S17" s="63">
        <f t="shared" si="16"/>
        <v>-1833.3333333333333</v>
      </c>
      <c r="T17" s="63"/>
      <c r="U17" s="63">
        <f t="shared" si="17"/>
        <v>-714.73547157899782</v>
      </c>
      <c r="V17" s="77">
        <f t="shared" si="20"/>
        <v>-375.14583333333331</v>
      </c>
      <c r="W17" s="83">
        <f t="shared" si="4"/>
        <v>6980.4191955056731</v>
      </c>
      <c r="X17" s="85">
        <f t="shared" si="18"/>
        <v>76368.673650562399</v>
      </c>
      <c r="Z17" s="92">
        <f t="shared" si="19"/>
        <v>180070</v>
      </c>
      <c r="AA17" s="5">
        <f t="shared" si="5"/>
        <v>0</v>
      </c>
      <c r="AB17" s="92">
        <f t="shared" si="6"/>
        <v>180070</v>
      </c>
      <c r="AD17" s="133">
        <f t="shared" si="7"/>
        <v>-20166.666666666664</v>
      </c>
      <c r="AE17" s="3">
        <f t="shared" si="8"/>
        <v>1</v>
      </c>
    </row>
    <row r="18" spans="1:31" x14ac:dyDescent="0.45">
      <c r="A18" s="94">
        <v>1</v>
      </c>
      <c r="B18" s="95">
        <v>12</v>
      </c>
      <c r="C18" s="96">
        <f>D$27-(D$27+D$28)*B18/60</f>
        <v>176440</v>
      </c>
      <c r="D18" s="100">
        <v>0.1</v>
      </c>
      <c r="E18" s="103">
        <f t="shared" ref="E18:E23" si="21">C18/(100%-D18)</f>
        <v>196044.44444444444</v>
      </c>
      <c r="F18" s="11"/>
      <c r="G18" s="11"/>
      <c r="H18" s="11"/>
      <c r="I18" s="14">
        <f t="shared" si="10"/>
        <v>12</v>
      </c>
      <c r="J18" s="63">
        <f t="shared" si="11"/>
        <v>193092.01613481331</v>
      </c>
      <c r="K18" s="63">
        <f t="shared" si="1"/>
        <v>852.89311833160025</v>
      </c>
      <c r="L18" s="63">
        <f t="shared" si="12"/>
        <v>-4391.0755978286179</v>
      </c>
      <c r="M18" s="65">
        <f t="shared" si="0"/>
        <v>189553.83365531627</v>
      </c>
      <c r="O18" s="14">
        <f t="shared" si="13"/>
        <v>12</v>
      </c>
      <c r="P18" s="54">
        <f t="shared" si="14"/>
        <v>6241.5</v>
      </c>
      <c r="Q18" s="63">
        <f t="shared" si="15"/>
        <v>14294.709431579955</v>
      </c>
      <c r="R18" s="77">
        <f t="shared" si="2"/>
        <v>-4391.0755978286179</v>
      </c>
      <c r="S18" s="63">
        <f t="shared" si="16"/>
        <v>-1833.3333333333333</v>
      </c>
      <c r="T18" s="63"/>
      <c r="U18" s="63">
        <f t="shared" si="17"/>
        <v>-714.73547157899782</v>
      </c>
      <c r="V18" s="77">
        <f t="shared" si="20"/>
        <v>-367.58333333333331</v>
      </c>
      <c r="W18" s="83">
        <f t="shared" si="4"/>
        <v>6987.9816955056731</v>
      </c>
      <c r="X18" s="85">
        <f t="shared" si="18"/>
        <v>83356.655346068073</v>
      </c>
      <c r="Z18" s="92">
        <f t="shared" si="19"/>
        <v>176440</v>
      </c>
      <c r="AA18" s="5">
        <f t="shared" si="5"/>
        <v>0</v>
      </c>
      <c r="AB18" s="92">
        <f t="shared" si="6"/>
        <v>176440</v>
      </c>
      <c r="AD18" s="133">
        <f t="shared" si="7"/>
        <v>-21999.999999999996</v>
      </c>
      <c r="AE18" s="3">
        <f t="shared" si="8"/>
        <v>1</v>
      </c>
    </row>
    <row r="19" spans="1:31" x14ac:dyDescent="0.45">
      <c r="A19" s="4">
        <f>A18+1</f>
        <v>2</v>
      </c>
      <c r="B19" s="5">
        <f>B18+12</f>
        <v>24</v>
      </c>
      <c r="C19" s="92">
        <f>D$27-(D$27+D$28)*B19/60</f>
        <v>132880</v>
      </c>
      <c r="D19" s="101">
        <f>D18</f>
        <v>0.1</v>
      </c>
      <c r="E19" s="104">
        <f t="shared" si="21"/>
        <v>147644.44444444444</v>
      </c>
      <c r="F19" s="11"/>
      <c r="G19" s="11"/>
      <c r="H19" s="11"/>
      <c r="I19" s="14">
        <f t="shared" si="10"/>
        <v>13</v>
      </c>
      <c r="J19" s="63">
        <f t="shared" si="11"/>
        <v>189553.83365531627</v>
      </c>
      <c r="K19" s="63">
        <f t="shared" si="1"/>
        <v>837.26486218424327</v>
      </c>
      <c r="L19" s="63">
        <f t="shared" si="12"/>
        <v>-4391.0755978286179</v>
      </c>
      <c r="M19" s="65">
        <f t="shared" si="0"/>
        <v>186000.0229196719</v>
      </c>
      <c r="O19" s="14">
        <f t="shared" si="13"/>
        <v>13</v>
      </c>
      <c r="P19" s="54">
        <f t="shared" si="14"/>
        <v>6761.625</v>
      </c>
      <c r="Q19" s="63">
        <f t="shared" si="15"/>
        <v>14294.709431579955</v>
      </c>
      <c r="R19" s="77">
        <f t="shared" si="2"/>
        <v>-4391.0755978286179</v>
      </c>
      <c r="S19" s="63">
        <f t="shared" si="16"/>
        <v>-1833.3333333333333</v>
      </c>
      <c r="T19" s="63"/>
      <c r="U19" s="63">
        <f t="shared" si="17"/>
        <v>-714.73547157899782</v>
      </c>
      <c r="V19" s="77">
        <f t="shared" si="20"/>
        <v>-360.02083333333331</v>
      </c>
      <c r="W19" s="83">
        <f t="shared" si="4"/>
        <v>6995.5441955056731</v>
      </c>
      <c r="X19" s="85">
        <f t="shared" si="18"/>
        <v>90352.199541573747</v>
      </c>
      <c r="Z19" s="92">
        <f t="shared" si="19"/>
        <v>172810</v>
      </c>
      <c r="AA19" s="5">
        <f t="shared" si="5"/>
        <v>0</v>
      </c>
      <c r="AB19" s="92">
        <f t="shared" si="6"/>
        <v>172810</v>
      </c>
      <c r="AD19" s="133">
        <f t="shared" si="7"/>
        <v>-23833.333333333328</v>
      </c>
      <c r="AE19" s="3">
        <f t="shared" si="8"/>
        <v>1</v>
      </c>
    </row>
    <row r="20" spans="1:31" x14ac:dyDescent="0.45">
      <c r="A20" s="4">
        <f>A19+1</f>
        <v>3</v>
      </c>
      <c r="B20" s="5">
        <f>B19+12</f>
        <v>36</v>
      </c>
      <c r="C20" s="92">
        <f>D$27-(D$27+D$28)*B20/60</f>
        <v>89320</v>
      </c>
      <c r="D20" s="101">
        <f>D19</f>
        <v>0.1</v>
      </c>
      <c r="E20" s="104">
        <f t="shared" si="21"/>
        <v>99244.444444444438</v>
      </c>
      <c r="F20" s="11"/>
      <c r="G20" s="11"/>
      <c r="H20" s="11"/>
      <c r="I20" s="14">
        <f t="shared" si="10"/>
        <v>14</v>
      </c>
      <c r="J20" s="63">
        <f t="shared" si="11"/>
        <v>186000.0229196719</v>
      </c>
      <c r="K20" s="63">
        <f t="shared" si="1"/>
        <v>821.56757556951413</v>
      </c>
      <c r="L20" s="63">
        <f t="shared" si="12"/>
        <v>-4391.0755978286179</v>
      </c>
      <c r="M20" s="65">
        <f t="shared" si="0"/>
        <v>182430.5148974128</v>
      </c>
      <c r="O20" s="14">
        <f t="shared" si="13"/>
        <v>14</v>
      </c>
      <c r="P20" s="54">
        <f t="shared" si="14"/>
        <v>7281.75</v>
      </c>
      <c r="Q20" s="63">
        <f t="shared" si="15"/>
        <v>14294.709431579955</v>
      </c>
      <c r="R20" s="77">
        <f t="shared" si="2"/>
        <v>-4391.0755978286179</v>
      </c>
      <c r="S20" s="63">
        <f t="shared" si="16"/>
        <v>-1833.3333333333333</v>
      </c>
      <c r="T20" s="63"/>
      <c r="U20" s="63">
        <f t="shared" si="17"/>
        <v>-714.73547157899782</v>
      </c>
      <c r="V20" s="77">
        <f t="shared" si="20"/>
        <v>-352.45833333333331</v>
      </c>
      <c r="W20" s="83">
        <f t="shared" si="4"/>
        <v>7003.1066955056731</v>
      </c>
      <c r="X20" s="85">
        <f t="shared" si="18"/>
        <v>97355.306237079421</v>
      </c>
      <c r="Z20" s="92">
        <f t="shared" si="19"/>
        <v>169180</v>
      </c>
      <c r="AA20" s="5">
        <f t="shared" si="5"/>
        <v>0</v>
      </c>
      <c r="AB20" s="92">
        <f t="shared" si="6"/>
        <v>169180</v>
      </c>
      <c r="AD20" s="133">
        <f t="shared" si="7"/>
        <v>-25666.666666666661</v>
      </c>
      <c r="AE20" s="3">
        <f t="shared" si="8"/>
        <v>1</v>
      </c>
    </row>
    <row r="21" spans="1:31" x14ac:dyDescent="0.45">
      <c r="A21" s="4">
        <f>A20+1</f>
        <v>4</v>
      </c>
      <c r="B21" s="5">
        <f>B20+12</f>
        <v>48</v>
      </c>
      <c r="C21" s="92">
        <f>D$27-(D$27+D$28)*B21/60</f>
        <v>45760</v>
      </c>
      <c r="D21" s="101">
        <f>D20</f>
        <v>0.1</v>
      </c>
      <c r="E21" s="104">
        <f t="shared" si="21"/>
        <v>50844.444444444445</v>
      </c>
      <c r="F21" s="11"/>
      <c r="G21" s="11"/>
      <c r="H21" s="11"/>
      <c r="I21" s="14">
        <f t="shared" si="10"/>
        <v>15</v>
      </c>
      <c r="J21" s="63">
        <f t="shared" si="11"/>
        <v>182430.5148974128</v>
      </c>
      <c r="K21" s="63">
        <f t="shared" si="1"/>
        <v>805.80095357780692</v>
      </c>
      <c r="L21" s="63">
        <f t="shared" si="12"/>
        <v>-4391.0755978286179</v>
      </c>
      <c r="M21" s="65">
        <f t="shared" si="0"/>
        <v>178845.24025316199</v>
      </c>
      <c r="O21" s="14">
        <f t="shared" si="13"/>
        <v>15</v>
      </c>
      <c r="P21" s="54">
        <f t="shared" si="14"/>
        <v>7801.875</v>
      </c>
      <c r="Q21" s="63">
        <f t="shared" si="15"/>
        <v>14294.709431579955</v>
      </c>
      <c r="R21" s="77">
        <f t="shared" si="2"/>
        <v>-4391.0755978286179</v>
      </c>
      <c r="S21" s="63">
        <f t="shared" si="16"/>
        <v>-1833.3333333333333</v>
      </c>
      <c r="T21" s="63"/>
      <c r="U21" s="63">
        <f t="shared" si="17"/>
        <v>-714.73547157899782</v>
      </c>
      <c r="V21" s="77">
        <f t="shared" si="20"/>
        <v>-344.89583333333331</v>
      </c>
      <c r="W21" s="83">
        <f t="shared" si="4"/>
        <v>7010.6691955056731</v>
      </c>
      <c r="X21" s="85">
        <f t="shared" si="18"/>
        <v>104365.9754325851</v>
      </c>
      <c r="Z21" s="92">
        <f t="shared" si="19"/>
        <v>165550</v>
      </c>
      <c r="AA21" s="5">
        <f t="shared" si="5"/>
        <v>0</v>
      </c>
      <c r="AB21" s="92">
        <f t="shared" si="6"/>
        <v>165550</v>
      </c>
      <c r="AD21" s="133">
        <f t="shared" si="7"/>
        <v>-27499.999999999993</v>
      </c>
      <c r="AE21" s="3">
        <f t="shared" si="8"/>
        <v>1</v>
      </c>
    </row>
    <row r="22" spans="1:31" x14ac:dyDescent="0.45">
      <c r="A22" s="4">
        <f>A21+1</f>
        <v>5</v>
      </c>
      <c r="B22" s="5">
        <f>B21+12</f>
        <v>60</v>
      </c>
      <c r="C22" s="92">
        <f>D$27-(D$27+D$28)*B22/60</f>
        <v>2200</v>
      </c>
      <c r="D22" s="101">
        <f>D21</f>
        <v>0.1</v>
      </c>
      <c r="E22" s="104">
        <f t="shared" si="21"/>
        <v>2444.4444444444443</v>
      </c>
      <c r="F22" s="11"/>
      <c r="G22" s="11"/>
      <c r="H22" s="11"/>
      <c r="I22" s="14">
        <f t="shared" si="10"/>
        <v>16</v>
      </c>
      <c r="J22" s="63">
        <f t="shared" si="11"/>
        <v>178845.24025316199</v>
      </c>
      <c r="K22" s="63">
        <f t="shared" si="1"/>
        <v>789.96468995272085</v>
      </c>
      <c r="L22" s="63">
        <f t="shared" si="12"/>
        <v>-4391.0755978286179</v>
      </c>
      <c r="M22" s="65">
        <f t="shared" si="0"/>
        <v>175244.12934528611</v>
      </c>
      <c r="O22" s="14">
        <f t="shared" si="13"/>
        <v>16</v>
      </c>
      <c r="P22" s="54">
        <f t="shared" si="14"/>
        <v>8322</v>
      </c>
      <c r="Q22" s="63">
        <f t="shared" si="15"/>
        <v>14294.709431579955</v>
      </c>
      <c r="R22" s="77">
        <f t="shared" si="2"/>
        <v>-4391.0755978286179</v>
      </c>
      <c r="S22" s="63">
        <f t="shared" si="16"/>
        <v>-1833.3333333333333</v>
      </c>
      <c r="T22" s="63"/>
      <c r="U22" s="63">
        <f t="shared" si="17"/>
        <v>-714.73547157899782</v>
      </c>
      <c r="V22" s="77">
        <f t="shared" si="20"/>
        <v>-337.33333333333331</v>
      </c>
      <c r="W22" s="83">
        <f t="shared" si="4"/>
        <v>7018.2316955056731</v>
      </c>
      <c r="X22" s="85">
        <f t="shared" si="18"/>
        <v>111384.20712809077</v>
      </c>
      <c r="Z22" s="92">
        <f t="shared" si="19"/>
        <v>161920</v>
      </c>
      <c r="AA22" s="5">
        <f t="shared" si="5"/>
        <v>0</v>
      </c>
      <c r="AB22" s="92">
        <f t="shared" si="6"/>
        <v>161920</v>
      </c>
      <c r="AD22" s="133">
        <f t="shared" si="7"/>
        <v>-29333.333333333325</v>
      </c>
      <c r="AE22" s="3">
        <f t="shared" si="8"/>
        <v>1</v>
      </c>
    </row>
    <row r="23" spans="1:31" ht="14.65" thickBot="1" x14ac:dyDescent="0.5">
      <c r="A23" s="6">
        <f>A22+1</f>
        <v>6</v>
      </c>
      <c r="B23" s="7">
        <f>B22+12</f>
        <v>72</v>
      </c>
      <c r="C23" s="93">
        <v>1</v>
      </c>
      <c r="D23" s="102">
        <f>D22</f>
        <v>0.1</v>
      </c>
      <c r="E23" s="105">
        <f t="shared" si="21"/>
        <v>1.1111111111111112</v>
      </c>
      <c r="H23" s="11"/>
      <c r="I23" s="14">
        <f t="shared" si="10"/>
        <v>17</v>
      </c>
      <c r="J23" s="63">
        <f t="shared" si="11"/>
        <v>175244.12934528611</v>
      </c>
      <c r="K23" s="63">
        <f t="shared" si="1"/>
        <v>774.05847708511158</v>
      </c>
      <c r="L23" s="63">
        <f t="shared" si="12"/>
        <v>-4391.0755978286179</v>
      </c>
      <c r="M23" s="65">
        <f t="shared" si="0"/>
        <v>171627.11222454259</v>
      </c>
      <c r="O23" s="14">
        <f t="shared" si="13"/>
        <v>17</v>
      </c>
      <c r="P23" s="54">
        <f t="shared" si="14"/>
        <v>8842.125</v>
      </c>
      <c r="Q23" s="63">
        <f t="shared" si="15"/>
        <v>14294.709431579955</v>
      </c>
      <c r="R23" s="77">
        <f t="shared" si="2"/>
        <v>-4391.0755978286179</v>
      </c>
      <c r="S23" s="63">
        <f t="shared" si="16"/>
        <v>-1833.3333333333333</v>
      </c>
      <c r="T23" s="63"/>
      <c r="U23" s="63">
        <f t="shared" si="17"/>
        <v>-714.73547157899782</v>
      </c>
      <c r="V23" s="77">
        <f t="shared" si="20"/>
        <v>-329.77083333333331</v>
      </c>
      <c r="W23" s="83">
        <f t="shared" si="4"/>
        <v>7025.7941955056731</v>
      </c>
      <c r="X23" s="85">
        <f t="shared" si="18"/>
        <v>118410.00132359644</v>
      </c>
      <c r="Z23" s="92">
        <f t="shared" si="19"/>
        <v>158290</v>
      </c>
      <c r="AA23" s="5">
        <f t="shared" si="5"/>
        <v>0</v>
      </c>
      <c r="AB23" s="92">
        <f t="shared" si="6"/>
        <v>158290</v>
      </c>
      <c r="AD23" s="133">
        <f t="shared" si="7"/>
        <v>-31166.666666666657</v>
      </c>
      <c r="AE23" s="3">
        <f t="shared" si="8"/>
        <v>1</v>
      </c>
    </row>
    <row r="24" spans="1:31" ht="14.65" thickBot="1" x14ac:dyDescent="0.5">
      <c r="H24" s="11"/>
      <c r="I24" s="14">
        <f>I23+1</f>
        <v>18</v>
      </c>
      <c r="J24" s="63">
        <f t="shared" si="11"/>
        <v>171627.11222454259</v>
      </c>
      <c r="K24" s="63">
        <f t="shared" si="1"/>
        <v>758.08200600711575</v>
      </c>
      <c r="L24" s="63">
        <f t="shared" si="12"/>
        <v>-4391.0755978286179</v>
      </c>
      <c r="M24" s="65">
        <f t="shared" si="0"/>
        <v>167994.11863272107</v>
      </c>
      <c r="O24" s="14">
        <f>O23+1</f>
        <v>18</v>
      </c>
      <c r="P24" s="54">
        <f t="shared" si="14"/>
        <v>9362.25</v>
      </c>
      <c r="Q24" s="63">
        <f t="shared" si="15"/>
        <v>14294.709431579955</v>
      </c>
      <c r="R24" s="77">
        <f t="shared" si="2"/>
        <v>-4391.0755978286179</v>
      </c>
      <c r="S24" s="63">
        <f t="shared" si="16"/>
        <v>-1833.3333333333333</v>
      </c>
      <c r="T24" s="63"/>
      <c r="U24" s="63">
        <f t="shared" si="17"/>
        <v>-714.73547157899782</v>
      </c>
      <c r="V24" s="77">
        <f t="shared" si="20"/>
        <v>-322.20833333333331</v>
      </c>
      <c r="W24" s="83">
        <f t="shared" si="4"/>
        <v>7033.3566955056731</v>
      </c>
      <c r="X24" s="85">
        <f t="shared" si="18"/>
        <v>125443.35801910212</v>
      </c>
      <c r="Z24" s="92">
        <f t="shared" si="19"/>
        <v>154660</v>
      </c>
      <c r="AA24" s="5">
        <f t="shared" si="5"/>
        <v>0</v>
      </c>
      <c r="AB24" s="92">
        <f t="shared" si="6"/>
        <v>154660</v>
      </c>
      <c r="AD24" s="133">
        <f t="shared" si="7"/>
        <v>-32999.999999999993</v>
      </c>
      <c r="AE24" s="3">
        <f t="shared" si="8"/>
        <v>1</v>
      </c>
    </row>
    <row r="25" spans="1:31" ht="32.25" customHeight="1" thickBot="1" x14ac:dyDescent="0.5">
      <c r="A25" s="664" t="s">
        <v>21</v>
      </c>
      <c r="B25" s="665"/>
      <c r="C25" s="665"/>
      <c r="D25" s="665"/>
      <c r="E25" s="665"/>
      <c r="F25" s="665"/>
      <c r="G25" s="666"/>
      <c r="H25" s="11"/>
      <c r="I25" s="14">
        <f t="shared" si="10"/>
        <v>19</v>
      </c>
      <c r="J25" s="63">
        <f t="shared" si="11"/>
        <v>167994.11863272107</v>
      </c>
      <c r="K25" s="63">
        <f t="shared" si="1"/>
        <v>742.0349663861507</v>
      </c>
      <c r="L25" s="63">
        <f t="shared" si="12"/>
        <v>-4391.0755978286179</v>
      </c>
      <c r="M25" s="65">
        <f t="shared" si="0"/>
        <v>164345.07800127863</v>
      </c>
      <c r="O25" s="14">
        <f t="shared" si="13"/>
        <v>19</v>
      </c>
      <c r="P25" s="54">
        <f t="shared" si="14"/>
        <v>9882.375</v>
      </c>
      <c r="Q25" s="63">
        <f t="shared" si="15"/>
        <v>14294.709431579955</v>
      </c>
      <c r="R25" s="77">
        <f t="shared" si="2"/>
        <v>-4391.0755978286179</v>
      </c>
      <c r="S25" s="63">
        <f t="shared" si="16"/>
        <v>-1833.3333333333333</v>
      </c>
      <c r="T25" s="63"/>
      <c r="U25" s="63">
        <f t="shared" si="17"/>
        <v>-714.73547157899782</v>
      </c>
      <c r="V25" s="77">
        <f t="shared" si="20"/>
        <v>-314.64583333333331</v>
      </c>
      <c r="W25" s="83">
        <f t="shared" si="4"/>
        <v>7040.9191955056731</v>
      </c>
      <c r="X25" s="85">
        <f t="shared" si="18"/>
        <v>132484.27721460778</v>
      </c>
      <c r="Z25" s="92">
        <f t="shared" si="19"/>
        <v>151030</v>
      </c>
      <c r="AA25" s="5">
        <f t="shared" si="5"/>
        <v>0</v>
      </c>
      <c r="AB25" s="92">
        <f t="shared" si="6"/>
        <v>151030</v>
      </c>
      <c r="AD25" s="133">
        <f t="shared" si="7"/>
        <v>-34833.333333333328</v>
      </c>
      <c r="AE25" s="3">
        <f t="shared" si="8"/>
        <v>1</v>
      </c>
    </row>
    <row r="26" spans="1:31" ht="28.9" thickBot="1" x14ac:dyDescent="0.5">
      <c r="A26" s="26" t="s">
        <v>0</v>
      </c>
      <c r="B26" s="27" t="s">
        <v>1</v>
      </c>
      <c r="C26" s="43" t="s">
        <v>22</v>
      </c>
      <c r="D26" s="43" t="s">
        <v>10</v>
      </c>
      <c r="E26" s="43" t="s">
        <v>23</v>
      </c>
      <c r="F26" s="43" t="s">
        <v>24</v>
      </c>
      <c r="G26" s="44" t="s">
        <v>25</v>
      </c>
      <c r="H26" s="11"/>
      <c r="I26" s="14">
        <f t="shared" si="10"/>
        <v>20</v>
      </c>
      <c r="J26" s="63">
        <f t="shared" si="11"/>
        <v>164345.07800127863</v>
      </c>
      <c r="K26" s="63">
        <f t="shared" si="1"/>
        <v>725.91704651888529</v>
      </c>
      <c r="L26" s="63">
        <f t="shared" si="12"/>
        <v>-4391.0755978286179</v>
      </c>
      <c r="M26" s="65">
        <f t="shared" si="0"/>
        <v>160679.9194499689</v>
      </c>
      <c r="O26" s="14">
        <f t="shared" si="13"/>
        <v>20</v>
      </c>
      <c r="P26" s="54">
        <f t="shared" si="14"/>
        <v>10402.5</v>
      </c>
      <c r="Q26" s="63">
        <f t="shared" si="15"/>
        <v>14294.709431579955</v>
      </c>
      <c r="R26" s="77">
        <f t="shared" si="2"/>
        <v>-4391.0755978286179</v>
      </c>
      <c r="S26" s="63">
        <f t="shared" si="16"/>
        <v>-1833.3333333333333</v>
      </c>
      <c r="T26" s="63"/>
      <c r="U26" s="63">
        <f t="shared" si="17"/>
        <v>-714.73547157899782</v>
      </c>
      <c r="V26" s="77">
        <f t="shared" si="20"/>
        <v>-307.08333333333331</v>
      </c>
      <c r="W26" s="83">
        <f t="shared" si="4"/>
        <v>7048.4816955056731</v>
      </c>
      <c r="X26" s="85">
        <f t="shared" si="18"/>
        <v>139532.75891011345</v>
      </c>
      <c r="Z26" s="92">
        <f t="shared" si="19"/>
        <v>147400</v>
      </c>
      <c r="AA26" s="5">
        <f t="shared" si="5"/>
        <v>0</v>
      </c>
      <c r="AB26" s="92">
        <f t="shared" si="6"/>
        <v>147400</v>
      </c>
      <c r="AD26" s="133">
        <f t="shared" si="7"/>
        <v>-36666.666666666664</v>
      </c>
      <c r="AE26" s="3">
        <f t="shared" si="8"/>
        <v>1</v>
      </c>
    </row>
    <row r="27" spans="1:31" x14ac:dyDescent="0.45">
      <c r="A27" s="8">
        <v>1</v>
      </c>
      <c r="B27" s="9" t="s">
        <v>16</v>
      </c>
      <c r="C27" s="48">
        <v>1</v>
      </c>
      <c r="D27" s="153">
        <f>+F7</f>
        <v>220000</v>
      </c>
      <c r="E27" s="342">
        <f>+'Summary Equip'!AE10</f>
        <v>0.8</v>
      </c>
      <c r="F27" s="62">
        <f>E27*D27</f>
        <v>176000</v>
      </c>
      <c r="G27" s="60">
        <f>D27-F27</f>
        <v>44000</v>
      </c>
      <c r="H27" s="11"/>
      <c r="I27" s="14">
        <f t="shared" si="10"/>
        <v>21</v>
      </c>
      <c r="J27" s="63">
        <f t="shared" si="11"/>
        <v>160679.9194499689</v>
      </c>
      <c r="K27" s="63">
        <f t="shared" si="1"/>
        <v>709.72793332518495</v>
      </c>
      <c r="L27" s="63">
        <f t="shared" si="12"/>
        <v>-4391.0755978286179</v>
      </c>
      <c r="M27" s="65">
        <f t="shared" si="0"/>
        <v>156998.57178546546</v>
      </c>
      <c r="O27" s="14">
        <f t="shared" si="13"/>
        <v>21</v>
      </c>
      <c r="P27" s="54">
        <f t="shared" si="14"/>
        <v>10922.625</v>
      </c>
      <c r="Q27" s="63">
        <f t="shared" si="15"/>
        <v>14294.709431579955</v>
      </c>
      <c r="R27" s="77">
        <f t="shared" si="2"/>
        <v>-4391.0755978286179</v>
      </c>
      <c r="S27" s="63">
        <f t="shared" si="16"/>
        <v>-1833.3333333333333</v>
      </c>
      <c r="T27" s="63"/>
      <c r="U27" s="63">
        <f t="shared" si="17"/>
        <v>-714.73547157899782</v>
      </c>
      <c r="V27" s="77">
        <f t="shared" si="20"/>
        <v>-299.52083333333331</v>
      </c>
      <c r="W27" s="83">
        <f t="shared" si="4"/>
        <v>7056.0441955056731</v>
      </c>
      <c r="X27" s="85">
        <f t="shared" si="18"/>
        <v>146588.80310561912</v>
      </c>
      <c r="Z27" s="92">
        <f t="shared" si="19"/>
        <v>143770</v>
      </c>
      <c r="AA27" s="5">
        <f t="shared" si="5"/>
        <v>0</v>
      </c>
      <c r="AB27" s="92">
        <f t="shared" si="6"/>
        <v>143770</v>
      </c>
      <c r="AD27" s="133">
        <f t="shared" si="7"/>
        <v>-38500</v>
      </c>
      <c r="AE27" s="3">
        <f t="shared" si="8"/>
        <v>1</v>
      </c>
    </row>
    <row r="28" spans="1:31" x14ac:dyDescent="0.45">
      <c r="A28" s="4">
        <f>A27+1</f>
        <v>2</v>
      </c>
      <c r="B28" s="5" t="s">
        <v>12</v>
      </c>
      <c r="C28" s="19">
        <f>C11</f>
        <v>0.01</v>
      </c>
      <c r="D28" s="300">
        <f>-C28*D27</f>
        <v>-2200</v>
      </c>
      <c r="E28" s="23">
        <f>E27</f>
        <v>0.8</v>
      </c>
      <c r="F28" s="63">
        <f t="shared" ref="F28:F33" si="22">E28*D28</f>
        <v>-1760</v>
      </c>
      <c r="G28" s="65">
        <f>D28-F28</f>
        <v>-440</v>
      </c>
      <c r="H28" s="11"/>
      <c r="I28" s="14">
        <f t="shared" si="10"/>
        <v>22</v>
      </c>
      <c r="J28" s="63">
        <f t="shared" si="11"/>
        <v>156998.57178546546</v>
      </c>
      <c r="K28" s="63">
        <f t="shared" si="1"/>
        <v>693.46731234203185</v>
      </c>
      <c r="L28" s="63">
        <f t="shared" si="12"/>
        <v>-4391.0755978286179</v>
      </c>
      <c r="M28" s="65">
        <f t="shared" si="0"/>
        <v>153300.96349997888</v>
      </c>
      <c r="O28" s="14">
        <f t="shared" si="13"/>
        <v>22</v>
      </c>
      <c r="P28" s="54">
        <f t="shared" si="14"/>
        <v>11442.75</v>
      </c>
      <c r="Q28" s="63">
        <f t="shared" si="15"/>
        <v>14294.709431579955</v>
      </c>
      <c r="R28" s="77">
        <f t="shared" si="2"/>
        <v>-4391.0755978286179</v>
      </c>
      <c r="S28" s="63">
        <f t="shared" si="16"/>
        <v>-1833.3333333333333</v>
      </c>
      <c r="T28" s="63"/>
      <c r="U28" s="63">
        <f t="shared" si="17"/>
        <v>-714.73547157899782</v>
      </c>
      <c r="V28" s="77">
        <f t="shared" si="20"/>
        <v>-291.95833333333331</v>
      </c>
      <c r="W28" s="83">
        <f t="shared" si="4"/>
        <v>7063.6066955056731</v>
      </c>
      <c r="X28" s="85">
        <f t="shared" si="18"/>
        <v>153652.4098011248</v>
      </c>
      <c r="Z28" s="92">
        <f t="shared" si="19"/>
        <v>140140</v>
      </c>
      <c r="AA28" s="5">
        <f t="shared" si="5"/>
        <v>0</v>
      </c>
      <c r="AB28" s="92">
        <f t="shared" si="6"/>
        <v>140140</v>
      </c>
      <c r="AD28" s="133">
        <f t="shared" si="7"/>
        <v>-40333.333333333336</v>
      </c>
      <c r="AE28" s="3">
        <f t="shared" si="8"/>
        <v>1</v>
      </c>
    </row>
    <row r="29" spans="1:31" x14ac:dyDescent="0.45">
      <c r="A29" s="4">
        <f t="shared" ref="A29:A34" si="23">A28+1</f>
        <v>3</v>
      </c>
      <c r="B29" s="5" t="s">
        <v>17</v>
      </c>
      <c r="C29" s="24">
        <f>C8</f>
        <v>5.2999999999999999E-2</v>
      </c>
      <c r="D29" s="63">
        <f>K67</f>
        <v>30985.368840051735</v>
      </c>
      <c r="E29" s="23">
        <v>1</v>
      </c>
      <c r="F29" s="63">
        <f t="shared" si="22"/>
        <v>30985.368840051735</v>
      </c>
      <c r="G29" s="65">
        <f>D29-F29</f>
        <v>0</v>
      </c>
      <c r="H29" s="11"/>
      <c r="I29" s="14">
        <f t="shared" si="10"/>
        <v>23</v>
      </c>
      <c r="J29" s="63">
        <f t="shared" si="11"/>
        <v>153300.96349997888</v>
      </c>
      <c r="K29" s="63">
        <f t="shared" si="1"/>
        <v>677.13486771741532</v>
      </c>
      <c r="L29" s="63">
        <f t="shared" si="12"/>
        <v>-4391.0755978286179</v>
      </c>
      <c r="M29" s="65">
        <f t="shared" si="0"/>
        <v>149587.02276986768</v>
      </c>
      <c r="O29" s="14">
        <f t="shared" si="13"/>
        <v>23</v>
      </c>
      <c r="P29" s="54">
        <f t="shared" si="14"/>
        <v>11962.875</v>
      </c>
      <c r="Q29" s="63">
        <f t="shared" si="15"/>
        <v>14294.709431579955</v>
      </c>
      <c r="R29" s="77">
        <f t="shared" si="2"/>
        <v>-4391.0755978286179</v>
      </c>
      <c r="S29" s="63">
        <f t="shared" si="16"/>
        <v>-1833.3333333333333</v>
      </c>
      <c r="T29" s="63"/>
      <c r="U29" s="63">
        <f t="shared" si="17"/>
        <v>-714.73547157899782</v>
      </c>
      <c r="V29" s="77">
        <f t="shared" si="20"/>
        <v>-284.39583333333331</v>
      </c>
      <c r="W29" s="83">
        <f t="shared" si="4"/>
        <v>7071.1691955056731</v>
      </c>
      <c r="X29" s="85">
        <f t="shared" si="18"/>
        <v>160723.57899663047</v>
      </c>
      <c r="Z29" s="92">
        <f t="shared" si="19"/>
        <v>136510</v>
      </c>
      <c r="AA29" s="5">
        <f t="shared" si="5"/>
        <v>0</v>
      </c>
      <c r="AB29" s="92">
        <f t="shared" si="6"/>
        <v>136510</v>
      </c>
      <c r="AD29" s="133">
        <f t="shared" si="7"/>
        <v>-42166.666666666672</v>
      </c>
      <c r="AE29" s="3">
        <f t="shared" si="8"/>
        <v>1</v>
      </c>
    </row>
    <row r="30" spans="1:31" x14ac:dyDescent="0.45">
      <c r="A30" s="4">
        <f t="shared" si="23"/>
        <v>4</v>
      </c>
      <c r="B30" s="5" t="s">
        <v>6</v>
      </c>
      <c r="C30" s="23">
        <f>C9</f>
        <v>2.5000000000000001E-2</v>
      </c>
      <c r="D30" s="63">
        <f>-V67</f>
        <v>13106.500000000013</v>
      </c>
      <c r="E30" s="23">
        <v>1</v>
      </c>
      <c r="F30" s="63">
        <f t="shared" si="22"/>
        <v>13106.500000000013</v>
      </c>
      <c r="G30" s="65">
        <f>D30-F30</f>
        <v>0</v>
      </c>
      <c r="H30" s="11"/>
      <c r="I30" s="14">
        <f t="shared" si="10"/>
        <v>24</v>
      </c>
      <c r="J30" s="63">
        <f t="shared" si="11"/>
        <v>149587.02276986768</v>
      </c>
      <c r="K30" s="63">
        <f t="shared" si="1"/>
        <v>660.7302822041969</v>
      </c>
      <c r="L30" s="63">
        <f t="shared" si="12"/>
        <v>-4391.0755978286179</v>
      </c>
      <c r="M30" s="65">
        <f t="shared" si="0"/>
        <v>145856.67745424324</v>
      </c>
      <c r="O30" s="14">
        <f t="shared" si="13"/>
        <v>24</v>
      </c>
      <c r="P30" s="54">
        <f t="shared" si="14"/>
        <v>12483</v>
      </c>
      <c r="Q30" s="63">
        <f t="shared" si="15"/>
        <v>14294.709431579955</v>
      </c>
      <c r="R30" s="77">
        <f t="shared" si="2"/>
        <v>-4391.0755978286179</v>
      </c>
      <c r="S30" s="63">
        <f t="shared" si="16"/>
        <v>-1833.3333333333333</v>
      </c>
      <c r="T30" s="63"/>
      <c r="U30" s="63">
        <f t="shared" si="17"/>
        <v>-714.73547157899782</v>
      </c>
      <c r="V30" s="77">
        <f t="shared" si="20"/>
        <v>-276.83333333333331</v>
      </c>
      <c r="W30" s="83">
        <f t="shared" si="4"/>
        <v>7078.7316955056731</v>
      </c>
      <c r="X30" s="85">
        <f t="shared" si="18"/>
        <v>167802.31069213615</v>
      </c>
      <c r="Z30" s="92">
        <f t="shared" si="19"/>
        <v>132880</v>
      </c>
      <c r="AA30" s="5">
        <f t="shared" si="5"/>
        <v>0</v>
      </c>
      <c r="AB30" s="92">
        <f t="shared" si="6"/>
        <v>132880</v>
      </c>
      <c r="AD30" s="133">
        <f t="shared" si="7"/>
        <v>-44000.000000000007</v>
      </c>
      <c r="AE30" s="3">
        <f t="shared" si="8"/>
        <v>1</v>
      </c>
    </row>
    <row r="31" spans="1:31" x14ac:dyDescent="0.45">
      <c r="A31" s="4">
        <f t="shared" si="23"/>
        <v>5</v>
      </c>
      <c r="B31" s="5" t="s">
        <v>27</v>
      </c>
      <c r="C31" s="334">
        <f>+'Summary Equip'!AH10</f>
        <v>0.5</v>
      </c>
      <c r="D31" s="63">
        <f>D27*C31</f>
        <v>110000</v>
      </c>
      <c r="E31" s="334">
        <f>+ASSUMPTIONS!B43</f>
        <v>0.1</v>
      </c>
      <c r="F31" s="63">
        <f t="shared" si="22"/>
        <v>11000</v>
      </c>
      <c r="G31" s="65">
        <f>D31</f>
        <v>110000</v>
      </c>
      <c r="H31" s="11"/>
      <c r="I31" s="14">
        <f t="shared" si="10"/>
        <v>25</v>
      </c>
      <c r="J31" s="63">
        <f t="shared" si="11"/>
        <v>145856.67745424324</v>
      </c>
      <c r="K31" s="63">
        <f t="shared" si="1"/>
        <v>644.25323715394859</v>
      </c>
      <c r="L31" s="63">
        <f t="shared" si="12"/>
        <v>-4391.0755978286179</v>
      </c>
      <c r="M31" s="65">
        <f t="shared" si="0"/>
        <v>142109.85509356856</v>
      </c>
      <c r="O31" s="14">
        <f t="shared" si="13"/>
        <v>25</v>
      </c>
      <c r="P31" s="54">
        <f t="shared" si="14"/>
        <v>13003.125</v>
      </c>
      <c r="Q31" s="63">
        <f t="shared" si="15"/>
        <v>14294.709431579955</v>
      </c>
      <c r="R31" s="77">
        <f t="shared" si="2"/>
        <v>-4391.0755978286179</v>
      </c>
      <c r="S31" s="63">
        <f t="shared" si="16"/>
        <v>-1833.3333333333333</v>
      </c>
      <c r="T31" s="63"/>
      <c r="U31" s="63">
        <f t="shared" si="17"/>
        <v>-714.73547157899782</v>
      </c>
      <c r="V31" s="77">
        <f t="shared" si="20"/>
        <v>-269.27083333333331</v>
      </c>
      <c r="W31" s="83">
        <f t="shared" si="4"/>
        <v>7086.2941955056731</v>
      </c>
      <c r="X31" s="85">
        <f t="shared" si="18"/>
        <v>174888.60488764182</v>
      </c>
      <c r="Z31" s="92">
        <f t="shared" si="19"/>
        <v>129250</v>
      </c>
      <c r="AA31" s="5">
        <f t="shared" si="5"/>
        <v>0</v>
      </c>
      <c r="AB31" s="92">
        <f t="shared" si="6"/>
        <v>129250</v>
      </c>
      <c r="AD31" s="133">
        <f t="shared" si="7"/>
        <v>-45833.333333333343</v>
      </c>
      <c r="AE31" s="3">
        <f t="shared" si="8"/>
        <v>1</v>
      </c>
    </row>
    <row r="32" spans="1:31" x14ac:dyDescent="0.45">
      <c r="A32" s="4">
        <f t="shared" si="23"/>
        <v>6</v>
      </c>
      <c r="B32" s="5" t="s">
        <v>26</v>
      </c>
      <c r="C32" s="335">
        <f>+'Summary Equip'!AI10</f>
        <v>0.15</v>
      </c>
      <c r="D32" s="63">
        <f>D27*C32</f>
        <v>33000</v>
      </c>
      <c r="E32" s="334">
        <f>+ASSUMPTIONS!B44</f>
        <v>0.05</v>
      </c>
      <c r="F32" s="63">
        <f t="shared" si="22"/>
        <v>1650</v>
      </c>
      <c r="G32" s="65">
        <f>D32</f>
        <v>33000</v>
      </c>
      <c r="H32" s="11"/>
      <c r="I32" s="14">
        <f t="shared" si="10"/>
        <v>26</v>
      </c>
      <c r="J32" s="63">
        <f t="shared" si="11"/>
        <v>142109.85509356856</v>
      </c>
      <c r="K32" s="63">
        <f t="shared" si="1"/>
        <v>627.70341251076263</v>
      </c>
      <c r="L32" s="63">
        <f t="shared" si="12"/>
        <v>-4391.0755978286179</v>
      </c>
      <c r="M32" s="65">
        <f t="shared" si="0"/>
        <v>138346.48290825071</v>
      </c>
      <c r="O32" s="14">
        <f t="shared" si="13"/>
        <v>26</v>
      </c>
      <c r="P32" s="54">
        <f t="shared" si="14"/>
        <v>13523.25</v>
      </c>
      <c r="Q32" s="63">
        <f t="shared" si="15"/>
        <v>14294.709431579955</v>
      </c>
      <c r="R32" s="77">
        <f t="shared" si="2"/>
        <v>-4391.0755978286179</v>
      </c>
      <c r="S32" s="63">
        <f t="shared" si="16"/>
        <v>-1833.3333333333333</v>
      </c>
      <c r="T32" s="63"/>
      <c r="U32" s="63">
        <f t="shared" si="17"/>
        <v>-714.73547157899782</v>
      </c>
      <c r="V32" s="77">
        <f t="shared" si="20"/>
        <v>-261.70833333333331</v>
      </c>
      <c r="W32" s="83">
        <f t="shared" si="4"/>
        <v>7093.8566955056731</v>
      </c>
      <c r="X32" s="85">
        <f t="shared" si="18"/>
        <v>181982.46158314749</v>
      </c>
      <c r="Z32" s="92">
        <f t="shared" si="19"/>
        <v>125620</v>
      </c>
      <c r="AA32" s="5">
        <f t="shared" si="5"/>
        <v>0</v>
      </c>
      <c r="AB32" s="92">
        <f t="shared" si="6"/>
        <v>125620</v>
      </c>
      <c r="AD32" s="133">
        <f t="shared" si="7"/>
        <v>-47666.666666666679</v>
      </c>
      <c r="AE32" s="3">
        <f t="shared" si="8"/>
        <v>1</v>
      </c>
    </row>
    <row r="33" spans="1:31" ht="14.65" thickBot="1" x14ac:dyDescent="0.5">
      <c r="A33" s="6">
        <f t="shared" si="23"/>
        <v>7</v>
      </c>
      <c r="B33" s="7" t="s">
        <v>32</v>
      </c>
      <c r="C33" s="336">
        <f>+'Summary Equip'!AJ10</f>
        <v>0.03</v>
      </c>
      <c r="D33" s="64">
        <f>D27*C33</f>
        <v>6600</v>
      </c>
      <c r="E33" s="334">
        <f>+ASSUMPTIONS!B45</f>
        <v>0</v>
      </c>
      <c r="F33" s="64">
        <f t="shared" si="22"/>
        <v>0</v>
      </c>
      <c r="G33" s="66">
        <f>D33</f>
        <v>6600</v>
      </c>
      <c r="H33" s="11"/>
      <c r="I33" s="14">
        <f t="shared" si="10"/>
        <v>27</v>
      </c>
      <c r="J33" s="63">
        <f t="shared" si="11"/>
        <v>138346.48290825071</v>
      </c>
      <c r="K33" s="63">
        <f t="shared" si="1"/>
        <v>611.08048680503498</v>
      </c>
      <c r="L33" s="63">
        <f t="shared" si="12"/>
        <v>-4391.0755978286179</v>
      </c>
      <c r="M33" s="65">
        <f t="shared" si="0"/>
        <v>134566.48779722711</v>
      </c>
      <c r="O33" s="14">
        <f t="shared" si="13"/>
        <v>27</v>
      </c>
      <c r="P33" s="54">
        <f t="shared" si="14"/>
        <v>14043.375</v>
      </c>
      <c r="Q33" s="63">
        <f t="shared" si="15"/>
        <v>14294.709431579955</v>
      </c>
      <c r="R33" s="77">
        <f t="shared" si="2"/>
        <v>-4391.0755978286179</v>
      </c>
      <c r="S33" s="63">
        <f t="shared" si="16"/>
        <v>-1833.3333333333333</v>
      </c>
      <c r="T33" s="63"/>
      <c r="U33" s="63">
        <f t="shared" si="17"/>
        <v>-714.73547157899782</v>
      </c>
      <c r="V33" s="77">
        <f t="shared" si="20"/>
        <v>-254.14583333333334</v>
      </c>
      <c r="W33" s="83">
        <f t="shared" si="4"/>
        <v>7101.4191955056731</v>
      </c>
      <c r="X33" s="85">
        <f t="shared" si="18"/>
        <v>189083.88077865317</v>
      </c>
      <c r="Z33" s="92">
        <f t="shared" si="19"/>
        <v>121990</v>
      </c>
      <c r="AA33" s="5">
        <f t="shared" si="5"/>
        <v>0</v>
      </c>
      <c r="AB33" s="92">
        <f t="shared" si="6"/>
        <v>121990</v>
      </c>
      <c r="AD33" s="133">
        <f t="shared" si="7"/>
        <v>-49500.000000000015</v>
      </c>
      <c r="AE33" s="3">
        <f t="shared" si="8"/>
        <v>1</v>
      </c>
    </row>
    <row r="34" spans="1:31" ht="14.65" thickBot="1" x14ac:dyDescent="0.5">
      <c r="A34" s="33">
        <f t="shared" si="23"/>
        <v>8</v>
      </c>
      <c r="B34" s="30" t="s">
        <v>8</v>
      </c>
      <c r="C34" s="45"/>
      <c r="D34" s="46"/>
      <c r="E34" s="47"/>
      <c r="F34" s="67">
        <f>SUM(F27:F33)</f>
        <v>230981.86884005173</v>
      </c>
      <c r="G34" s="68">
        <f>SUM(G27:G33)</f>
        <v>193160</v>
      </c>
      <c r="H34" s="11"/>
      <c r="I34" s="14">
        <f t="shared" si="10"/>
        <v>28</v>
      </c>
      <c r="J34" s="63">
        <f t="shared" si="11"/>
        <v>134566.48779722711</v>
      </c>
      <c r="K34" s="63">
        <f t="shared" si="1"/>
        <v>594.38413714722094</v>
      </c>
      <c r="L34" s="63">
        <f t="shared" si="12"/>
        <v>-4391.0755978286179</v>
      </c>
      <c r="M34" s="65">
        <f t="shared" si="0"/>
        <v>130769.79633654571</v>
      </c>
      <c r="O34" s="14">
        <f t="shared" si="13"/>
        <v>28</v>
      </c>
      <c r="P34" s="54">
        <f t="shared" si="14"/>
        <v>14563.5</v>
      </c>
      <c r="Q34" s="63">
        <f t="shared" si="15"/>
        <v>14294.709431579955</v>
      </c>
      <c r="R34" s="77">
        <f t="shared" si="2"/>
        <v>-4391.0755978286179</v>
      </c>
      <c r="S34" s="63">
        <f t="shared" si="16"/>
        <v>-1833.3333333333333</v>
      </c>
      <c r="T34" s="63"/>
      <c r="U34" s="63">
        <f t="shared" si="17"/>
        <v>-714.73547157899782</v>
      </c>
      <c r="V34" s="77">
        <f t="shared" si="20"/>
        <v>-246.58333333333334</v>
      </c>
      <c r="W34" s="83">
        <f t="shared" si="4"/>
        <v>7108.9816955056731</v>
      </c>
      <c r="X34" s="85">
        <f t="shared" si="18"/>
        <v>196192.86247415884</v>
      </c>
      <c r="Z34" s="92">
        <f t="shared" si="19"/>
        <v>118360</v>
      </c>
      <c r="AA34" s="5">
        <f t="shared" si="5"/>
        <v>0</v>
      </c>
      <c r="AB34" s="92">
        <f t="shared" si="6"/>
        <v>118360</v>
      </c>
      <c r="AD34" s="133">
        <f t="shared" si="7"/>
        <v>-51333.33333333335</v>
      </c>
      <c r="AE34" s="3">
        <f t="shared" si="8"/>
        <v>1</v>
      </c>
    </row>
    <row r="35" spans="1:31" ht="14.65" thickBot="1" x14ac:dyDescent="0.5">
      <c r="A35" s="31">
        <f>A34+1</f>
        <v>9</v>
      </c>
      <c r="B35" s="32" t="s">
        <v>7</v>
      </c>
      <c r="C35" s="42">
        <f>+C10</f>
        <v>0.05</v>
      </c>
      <c r="D35" s="22"/>
      <c r="E35" s="34"/>
      <c r="F35" s="69">
        <f>F36-F34</f>
        <v>12156.940465265885</v>
      </c>
      <c r="G35" s="70">
        <f>G36-G34</f>
        <v>10166.31578947368</v>
      </c>
      <c r="H35" s="11"/>
      <c r="I35" s="14">
        <f t="shared" si="10"/>
        <v>29</v>
      </c>
      <c r="J35" s="63">
        <f t="shared" si="11"/>
        <v>130769.79633654571</v>
      </c>
      <c r="K35" s="63">
        <f t="shared" si="1"/>
        <v>577.61403922156308</v>
      </c>
      <c r="L35" s="63">
        <f t="shared" si="12"/>
        <v>-4391.0755978286179</v>
      </c>
      <c r="M35" s="65">
        <f t="shared" si="0"/>
        <v>126956.33477793865</v>
      </c>
      <c r="O35" s="14">
        <f t="shared" si="13"/>
        <v>29</v>
      </c>
      <c r="P35" s="54">
        <f t="shared" si="14"/>
        <v>15083.625</v>
      </c>
      <c r="Q35" s="63">
        <f t="shared" si="15"/>
        <v>14294.709431579955</v>
      </c>
      <c r="R35" s="77">
        <f t="shared" si="2"/>
        <v>-4391.0755978286179</v>
      </c>
      <c r="S35" s="63">
        <f t="shared" si="16"/>
        <v>-1833.3333333333333</v>
      </c>
      <c r="T35" s="63"/>
      <c r="U35" s="63">
        <f t="shared" si="17"/>
        <v>-714.73547157899782</v>
      </c>
      <c r="V35" s="77">
        <f t="shared" si="20"/>
        <v>-239.02083333333334</v>
      </c>
      <c r="W35" s="83">
        <f t="shared" si="4"/>
        <v>7116.5441955056731</v>
      </c>
      <c r="X35" s="85">
        <f t="shared" si="18"/>
        <v>203309.40666966452</v>
      </c>
      <c r="Z35" s="92">
        <f t="shared" si="19"/>
        <v>114730</v>
      </c>
      <c r="AA35" s="5">
        <f t="shared" si="5"/>
        <v>0</v>
      </c>
      <c r="AB35" s="92">
        <f t="shared" si="6"/>
        <v>114730</v>
      </c>
      <c r="AD35" s="133">
        <f t="shared" si="7"/>
        <v>-53166.666666666686</v>
      </c>
      <c r="AE35" s="3">
        <f t="shared" si="8"/>
        <v>1</v>
      </c>
    </row>
    <row r="36" spans="1:31" ht="14.65" thickBot="1" x14ac:dyDescent="0.5">
      <c r="A36" s="37">
        <f>A35+1</f>
        <v>10</v>
      </c>
      <c r="B36" s="38" t="s">
        <v>28</v>
      </c>
      <c r="C36" s="39"/>
      <c r="D36" s="40"/>
      <c r="E36" s="41"/>
      <c r="F36" s="71">
        <f>F34/(100%-C35)</f>
        <v>243138.80930531761</v>
      </c>
      <c r="G36" s="72">
        <f>G34/(100%-C35)</f>
        <v>203326.31578947368</v>
      </c>
      <c r="H36" s="11"/>
      <c r="I36" s="14">
        <f t="shared" si="10"/>
        <v>30</v>
      </c>
      <c r="J36" s="63">
        <f t="shared" si="11"/>
        <v>126956.33477793865</v>
      </c>
      <c r="K36" s="63">
        <f t="shared" si="1"/>
        <v>560.76986727979192</v>
      </c>
      <c r="L36" s="63">
        <f t="shared" si="12"/>
        <v>-4391.0755978286179</v>
      </c>
      <c r="M36" s="65">
        <f t="shared" si="0"/>
        <v>123126.02904738982</v>
      </c>
      <c r="O36" s="14">
        <f t="shared" si="13"/>
        <v>30</v>
      </c>
      <c r="P36" s="54">
        <f t="shared" si="14"/>
        <v>15603.75</v>
      </c>
      <c r="Q36" s="63">
        <f t="shared" si="15"/>
        <v>14294.709431579955</v>
      </c>
      <c r="R36" s="77">
        <f t="shared" si="2"/>
        <v>-4391.0755978286179</v>
      </c>
      <c r="S36" s="63">
        <f t="shared" si="16"/>
        <v>-1833.3333333333333</v>
      </c>
      <c r="T36" s="63">
        <f>-T68*0.5</f>
        <v>-16500</v>
      </c>
      <c r="U36" s="63">
        <f t="shared" si="17"/>
        <v>-714.73547157899782</v>
      </c>
      <c r="V36" s="77">
        <f t="shared" si="20"/>
        <v>-231.45833333333334</v>
      </c>
      <c r="W36" s="83">
        <f t="shared" si="4"/>
        <v>-9375.893304494326</v>
      </c>
      <c r="X36" s="85">
        <f t="shared" si="18"/>
        <v>193933.51336517019</v>
      </c>
      <c r="Z36" s="92">
        <f t="shared" si="19"/>
        <v>111100</v>
      </c>
      <c r="AA36" s="5">
        <f t="shared" si="5"/>
        <v>0</v>
      </c>
      <c r="AB36" s="92">
        <f t="shared" si="6"/>
        <v>111100</v>
      </c>
      <c r="AD36" s="133">
        <f t="shared" si="7"/>
        <v>-55000.000000000022</v>
      </c>
      <c r="AE36" s="3">
        <f t="shared" si="8"/>
        <v>1</v>
      </c>
    </row>
    <row r="37" spans="1:31" x14ac:dyDescent="0.45">
      <c r="C37" s="11"/>
      <c r="D37" s="11"/>
      <c r="E37" s="11"/>
      <c r="F37" s="11"/>
      <c r="G37" s="11"/>
      <c r="H37" s="11"/>
      <c r="I37" s="14">
        <f t="shared" si="10"/>
        <v>31</v>
      </c>
      <c r="J37" s="63">
        <f t="shared" si="11"/>
        <v>123126.02904738982</v>
      </c>
      <c r="K37" s="63">
        <f t="shared" si="1"/>
        <v>543.85129413479797</v>
      </c>
      <c r="L37" s="63">
        <f t="shared" si="12"/>
        <v>-4391.0755978286179</v>
      </c>
      <c r="M37" s="65">
        <f t="shared" si="0"/>
        <v>119278.804743696</v>
      </c>
      <c r="O37" s="14">
        <f t="shared" si="13"/>
        <v>31</v>
      </c>
      <c r="P37" s="54">
        <f t="shared" si="14"/>
        <v>16123.875</v>
      </c>
      <c r="Q37" s="63">
        <f t="shared" si="15"/>
        <v>14294.709431579955</v>
      </c>
      <c r="R37" s="77">
        <f t="shared" si="2"/>
        <v>-4391.0755978286179</v>
      </c>
      <c r="S37" s="63">
        <f t="shared" si="16"/>
        <v>-1833.3333333333333</v>
      </c>
      <c r="T37" s="63"/>
      <c r="U37" s="63">
        <f t="shared" si="17"/>
        <v>-714.73547157899782</v>
      </c>
      <c r="V37" s="77">
        <f t="shared" si="20"/>
        <v>-223.89583333333334</v>
      </c>
      <c r="W37" s="83">
        <f t="shared" si="4"/>
        <v>7131.6691955056731</v>
      </c>
      <c r="X37" s="85">
        <f t="shared" si="18"/>
        <v>201065.18256067586</v>
      </c>
      <c r="Z37" s="92">
        <f t="shared" si="19"/>
        <v>107470</v>
      </c>
      <c r="AA37" s="5">
        <f t="shared" si="5"/>
        <v>0</v>
      </c>
      <c r="AB37" s="92">
        <f t="shared" si="6"/>
        <v>107470</v>
      </c>
      <c r="AD37" s="133">
        <f t="shared" si="7"/>
        <v>-56833.333333333358</v>
      </c>
      <c r="AE37" s="3">
        <f t="shared" si="8"/>
        <v>1</v>
      </c>
    </row>
    <row r="38" spans="1:31" x14ac:dyDescent="0.45">
      <c r="C38" s="11"/>
      <c r="D38" s="11"/>
      <c r="E38" s="11"/>
      <c r="F38" s="11"/>
      <c r="G38" s="11"/>
      <c r="H38" s="11"/>
      <c r="I38" s="14">
        <f t="shared" si="10"/>
        <v>32</v>
      </c>
      <c r="J38" s="63">
        <f t="shared" si="11"/>
        <v>119278.804743696</v>
      </c>
      <c r="K38" s="63">
        <f t="shared" si="1"/>
        <v>526.85799115427699</v>
      </c>
      <c r="L38" s="63">
        <f t="shared" si="12"/>
        <v>-4391.0755978286179</v>
      </c>
      <c r="M38" s="65">
        <f t="shared" si="0"/>
        <v>115414.58713702166</v>
      </c>
      <c r="O38" s="14">
        <f t="shared" si="13"/>
        <v>32</v>
      </c>
      <c r="P38" s="54">
        <f t="shared" si="14"/>
        <v>16644</v>
      </c>
      <c r="Q38" s="63">
        <f t="shared" si="15"/>
        <v>14294.709431579955</v>
      </c>
      <c r="R38" s="77">
        <f t="shared" si="2"/>
        <v>-4391.0755978286179</v>
      </c>
      <c r="S38" s="63">
        <f t="shared" si="16"/>
        <v>-1833.3333333333333</v>
      </c>
      <c r="T38" s="63"/>
      <c r="U38" s="63">
        <f t="shared" si="17"/>
        <v>-714.73547157899782</v>
      </c>
      <c r="V38" s="77">
        <f t="shared" si="20"/>
        <v>-216.33333333333334</v>
      </c>
      <c r="W38" s="83">
        <f t="shared" si="4"/>
        <v>7139.2316955056731</v>
      </c>
      <c r="X38" s="85">
        <f t="shared" si="18"/>
        <v>208204.41425618154</v>
      </c>
      <c r="Z38" s="92">
        <f t="shared" si="19"/>
        <v>103840</v>
      </c>
      <c r="AA38" s="5">
        <f t="shared" si="5"/>
        <v>0</v>
      </c>
      <c r="AB38" s="92">
        <f t="shared" si="6"/>
        <v>103840</v>
      </c>
      <c r="AD38" s="133">
        <f t="shared" si="7"/>
        <v>-58666.666666666693</v>
      </c>
      <c r="AE38" s="3">
        <f t="shared" si="8"/>
        <v>1</v>
      </c>
    </row>
    <row r="39" spans="1:31" x14ac:dyDescent="0.45">
      <c r="C39" s="11"/>
      <c r="D39" s="11"/>
      <c r="E39" s="11"/>
      <c r="F39" s="11"/>
      <c r="G39" s="11"/>
      <c r="H39" s="11"/>
      <c r="I39" s="14">
        <f t="shared" si="10"/>
        <v>33</v>
      </c>
      <c r="J39" s="63">
        <f t="shared" si="11"/>
        <v>115414.58713702166</v>
      </c>
      <c r="K39" s="63">
        <f t="shared" si="1"/>
        <v>509.78962825434581</v>
      </c>
      <c r="L39" s="63">
        <f t="shared" si="12"/>
        <v>-4391.0755978286179</v>
      </c>
      <c r="M39" s="65">
        <f t="shared" si="0"/>
        <v>111533.3011674474</v>
      </c>
      <c r="O39" s="14">
        <f t="shared" si="13"/>
        <v>33</v>
      </c>
      <c r="P39" s="54">
        <f t="shared" si="14"/>
        <v>17164.125</v>
      </c>
      <c r="Q39" s="63">
        <f t="shared" si="15"/>
        <v>14294.709431579955</v>
      </c>
      <c r="R39" s="77">
        <f t="shared" si="2"/>
        <v>-4391.0755978286179</v>
      </c>
      <c r="S39" s="63">
        <f t="shared" si="16"/>
        <v>-1833.3333333333333</v>
      </c>
      <c r="T39" s="63"/>
      <c r="U39" s="63">
        <f t="shared" si="17"/>
        <v>-714.73547157899782</v>
      </c>
      <c r="V39" s="77">
        <f t="shared" si="20"/>
        <v>-208.77083333333334</v>
      </c>
      <c r="W39" s="83">
        <f t="shared" si="4"/>
        <v>7146.7941955056731</v>
      </c>
      <c r="X39" s="85">
        <f t="shared" si="18"/>
        <v>215351.20845168721</v>
      </c>
      <c r="Z39" s="92">
        <f t="shared" si="19"/>
        <v>100210</v>
      </c>
      <c r="AA39" s="5">
        <f t="shared" si="5"/>
        <v>0</v>
      </c>
      <c r="AB39" s="92">
        <f t="shared" si="6"/>
        <v>100210</v>
      </c>
      <c r="AD39" s="133">
        <f t="shared" si="7"/>
        <v>-60500.000000000029</v>
      </c>
      <c r="AE39" s="3">
        <f t="shared" si="8"/>
        <v>1</v>
      </c>
    </row>
    <row r="40" spans="1:31" ht="14.65" thickBot="1" x14ac:dyDescent="0.5">
      <c r="C40" s="11"/>
      <c r="D40" s="11"/>
      <c r="E40" s="11"/>
      <c r="F40" s="11"/>
      <c r="G40" s="11"/>
      <c r="H40" s="11"/>
      <c r="I40" s="14">
        <f t="shared" si="10"/>
        <v>34</v>
      </c>
      <c r="J40" s="63">
        <f t="shared" si="11"/>
        <v>111533.3011674474</v>
      </c>
      <c r="K40" s="63">
        <f t="shared" si="1"/>
        <v>492.64587389313141</v>
      </c>
      <c r="L40" s="63">
        <f t="shared" si="12"/>
        <v>-4391.0755978286179</v>
      </c>
      <c r="M40" s="65">
        <f t="shared" si="0"/>
        <v>107634.8714435119</v>
      </c>
      <c r="O40" s="14">
        <f t="shared" si="13"/>
        <v>34</v>
      </c>
      <c r="P40" s="54">
        <f t="shared" si="14"/>
        <v>17684.25</v>
      </c>
      <c r="Q40" s="63">
        <f t="shared" si="15"/>
        <v>14294.709431579955</v>
      </c>
      <c r="R40" s="77">
        <f t="shared" si="2"/>
        <v>-4391.0755978286179</v>
      </c>
      <c r="S40" s="63">
        <f t="shared" si="16"/>
        <v>-1833.3333333333333</v>
      </c>
      <c r="T40" s="63"/>
      <c r="U40" s="63">
        <f t="shared" si="17"/>
        <v>-714.73547157899782</v>
      </c>
      <c r="V40" s="77">
        <f t="shared" si="20"/>
        <v>-201.20833333333334</v>
      </c>
      <c r="W40" s="83">
        <f t="shared" si="4"/>
        <v>7154.3566955056731</v>
      </c>
      <c r="X40" s="85">
        <f t="shared" si="18"/>
        <v>222505.56514719289</v>
      </c>
      <c r="Z40" s="92">
        <f t="shared" si="19"/>
        <v>96580</v>
      </c>
      <c r="AA40" s="5">
        <f t="shared" si="5"/>
        <v>0</v>
      </c>
      <c r="AB40" s="92">
        <f t="shared" si="6"/>
        <v>96580</v>
      </c>
      <c r="AD40" s="133">
        <f t="shared" si="7"/>
        <v>-62333.333333333365</v>
      </c>
      <c r="AE40" s="3">
        <f t="shared" si="8"/>
        <v>1</v>
      </c>
    </row>
    <row r="41" spans="1:31" ht="32.25" customHeight="1" thickBot="1" x14ac:dyDescent="0.5">
      <c r="A41" s="667" t="s">
        <v>29</v>
      </c>
      <c r="B41" s="668"/>
      <c r="C41" s="668"/>
      <c r="D41" s="668"/>
      <c r="E41" s="668"/>
      <c r="F41" s="668"/>
      <c r="G41" s="669"/>
      <c r="H41" s="11"/>
      <c r="I41" s="14">
        <f t="shared" si="10"/>
        <v>35</v>
      </c>
      <c r="J41" s="63">
        <f t="shared" si="11"/>
        <v>107634.8714435119</v>
      </c>
      <c r="K41" s="63">
        <f t="shared" si="1"/>
        <v>475.42639506433028</v>
      </c>
      <c r="L41" s="63">
        <f t="shared" si="12"/>
        <v>-4391.0755978286179</v>
      </c>
      <c r="M41" s="65">
        <f t="shared" si="0"/>
        <v>103719.22224074762</v>
      </c>
      <c r="O41" s="14">
        <f t="shared" si="13"/>
        <v>35</v>
      </c>
      <c r="P41" s="54">
        <f t="shared" si="14"/>
        <v>18204.375</v>
      </c>
      <c r="Q41" s="63">
        <f t="shared" si="15"/>
        <v>14294.709431579955</v>
      </c>
      <c r="R41" s="77">
        <f t="shared" si="2"/>
        <v>-4391.0755978286179</v>
      </c>
      <c r="S41" s="63">
        <f t="shared" si="16"/>
        <v>-1833.3333333333333</v>
      </c>
      <c r="T41" s="63"/>
      <c r="U41" s="63">
        <f t="shared" si="17"/>
        <v>-714.73547157899782</v>
      </c>
      <c r="V41" s="77">
        <f t="shared" si="20"/>
        <v>-193.64583333333334</v>
      </c>
      <c r="W41" s="83">
        <f t="shared" si="4"/>
        <v>7161.9191955056731</v>
      </c>
      <c r="X41" s="85">
        <f t="shared" si="18"/>
        <v>229667.48434269856</v>
      </c>
      <c r="Z41" s="92">
        <f t="shared" si="19"/>
        <v>92950</v>
      </c>
      <c r="AA41" s="5">
        <f t="shared" si="5"/>
        <v>0</v>
      </c>
      <c r="AB41" s="92">
        <f t="shared" si="6"/>
        <v>92950</v>
      </c>
      <c r="AD41" s="133">
        <f t="shared" si="7"/>
        <v>-64166.666666666701</v>
      </c>
      <c r="AE41" s="3">
        <f t="shared" si="8"/>
        <v>1</v>
      </c>
    </row>
    <row r="42" spans="1:31" ht="19.5" customHeight="1" x14ac:dyDescent="0.45">
      <c r="A42" s="35">
        <v>1</v>
      </c>
      <c r="B42" s="670" t="s">
        <v>30</v>
      </c>
      <c r="C42" s="671"/>
      <c r="D42" s="671"/>
      <c r="E42" s="672"/>
      <c r="F42" s="73">
        <f>F36/C12/C14</f>
        <v>4502.5705426910672</v>
      </c>
      <c r="G42" s="74">
        <f>G36/C13/C14</f>
        <v>18.826510721247562</v>
      </c>
      <c r="H42" s="11"/>
      <c r="I42" s="20">
        <f t="shared" si="10"/>
        <v>36</v>
      </c>
      <c r="J42" s="63">
        <f t="shared" si="11"/>
        <v>103719.22224074762</v>
      </c>
      <c r="K42" s="79">
        <f t="shared" si="1"/>
        <v>458.13085729074049</v>
      </c>
      <c r="L42" s="63">
        <f t="shared" si="12"/>
        <v>-4391.0755978286179</v>
      </c>
      <c r="M42" s="80">
        <f t="shared" si="0"/>
        <v>99786.277500209748</v>
      </c>
      <c r="O42" s="20">
        <f t="shared" si="13"/>
        <v>36</v>
      </c>
      <c r="P42" s="54">
        <f t="shared" si="14"/>
        <v>18724.5</v>
      </c>
      <c r="Q42" s="63">
        <f t="shared" si="15"/>
        <v>14294.709431579955</v>
      </c>
      <c r="R42" s="77">
        <f t="shared" si="2"/>
        <v>-4391.0755978286179</v>
      </c>
      <c r="S42" s="63">
        <f t="shared" si="16"/>
        <v>-1833.3333333333333</v>
      </c>
      <c r="T42" s="63"/>
      <c r="U42" s="63">
        <f t="shared" si="17"/>
        <v>-714.73547157899782</v>
      </c>
      <c r="V42" s="77">
        <f t="shared" si="20"/>
        <v>-186.08333333333334</v>
      </c>
      <c r="W42" s="83">
        <f t="shared" si="4"/>
        <v>7169.4816955056731</v>
      </c>
      <c r="X42" s="85">
        <f t="shared" si="18"/>
        <v>236836.96603820423</v>
      </c>
      <c r="Z42" s="92">
        <f t="shared" si="19"/>
        <v>89320</v>
      </c>
      <c r="AA42" s="5">
        <f t="shared" si="5"/>
        <v>0</v>
      </c>
      <c r="AB42" s="92">
        <f t="shared" si="6"/>
        <v>89320</v>
      </c>
      <c r="AD42" s="133">
        <f t="shared" si="7"/>
        <v>-66000.000000000029</v>
      </c>
      <c r="AE42" s="3">
        <f t="shared" si="8"/>
        <v>1</v>
      </c>
    </row>
    <row r="43" spans="1:31" ht="19.5" customHeight="1" thickBot="1" x14ac:dyDescent="0.5">
      <c r="A43" s="36">
        <f>A42+1</f>
        <v>2</v>
      </c>
      <c r="B43" s="673" t="s">
        <v>31</v>
      </c>
      <c r="C43" s="674"/>
      <c r="D43" s="674"/>
      <c r="E43" s="675"/>
      <c r="F43" s="75"/>
      <c r="G43" s="76">
        <f>+(F42*C12+D13*G42)/D13</f>
        <v>43.840791513975709</v>
      </c>
      <c r="H43" s="11"/>
      <c r="I43" s="20">
        <f t="shared" si="10"/>
        <v>37</v>
      </c>
      <c r="J43" s="63">
        <f t="shared" si="11"/>
        <v>99786.277500209748</v>
      </c>
      <c r="K43" s="79">
        <f t="shared" si="1"/>
        <v>440.75892461776425</v>
      </c>
      <c r="L43" s="63">
        <f t="shared" si="12"/>
        <v>-4391.0755978286179</v>
      </c>
      <c r="M43" s="80">
        <f t="shared" si="0"/>
        <v>95835.960826998897</v>
      </c>
      <c r="O43" s="20">
        <f t="shared" si="13"/>
        <v>37</v>
      </c>
      <c r="P43" s="54">
        <f t="shared" si="14"/>
        <v>19244.625</v>
      </c>
      <c r="Q43" s="63">
        <f t="shared" si="15"/>
        <v>14294.709431579955</v>
      </c>
      <c r="R43" s="77">
        <f t="shared" si="2"/>
        <v>-4391.0755978286179</v>
      </c>
      <c r="S43" s="63">
        <f t="shared" si="16"/>
        <v>-1833.3333333333333</v>
      </c>
      <c r="T43" s="63"/>
      <c r="U43" s="63">
        <f t="shared" si="17"/>
        <v>-714.73547157899782</v>
      </c>
      <c r="V43" s="77">
        <f t="shared" si="20"/>
        <v>-178.52083333333334</v>
      </c>
      <c r="W43" s="83">
        <f t="shared" si="4"/>
        <v>7177.0441955056731</v>
      </c>
      <c r="X43" s="85">
        <f t="shared" si="18"/>
        <v>244014.01023370991</v>
      </c>
      <c r="Z43" s="92">
        <f t="shared" si="19"/>
        <v>85690</v>
      </c>
      <c r="AA43" s="5">
        <f t="shared" si="5"/>
        <v>0</v>
      </c>
      <c r="AB43" s="92">
        <f t="shared" si="6"/>
        <v>85690</v>
      </c>
      <c r="AD43" s="133">
        <f t="shared" si="7"/>
        <v>-67833.333333333358</v>
      </c>
      <c r="AE43" s="3">
        <f t="shared" si="8"/>
        <v>1</v>
      </c>
    </row>
    <row r="44" spans="1:31" x14ac:dyDescent="0.45">
      <c r="I44" s="20">
        <f t="shared" si="10"/>
        <v>38</v>
      </c>
      <c r="J44" s="63">
        <f t="shared" si="11"/>
        <v>95835.960826998897</v>
      </c>
      <c r="K44" s="79">
        <f t="shared" si="1"/>
        <v>423.3102596068826</v>
      </c>
      <c r="L44" s="63">
        <f t="shared" si="12"/>
        <v>-4391.0755978286179</v>
      </c>
      <c r="M44" s="80">
        <f t="shared" si="0"/>
        <v>91868.195488777157</v>
      </c>
      <c r="O44" s="20">
        <f t="shared" si="13"/>
        <v>38</v>
      </c>
      <c r="P44" s="54">
        <f t="shared" si="14"/>
        <v>19764.75</v>
      </c>
      <c r="Q44" s="63">
        <f t="shared" si="15"/>
        <v>14294.709431579955</v>
      </c>
      <c r="R44" s="77">
        <f t="shared" si="2"/>
        <v>-4391.0755978286179</v>
      </c>
      <c r="S44" s="63">
        <f t="shared" si="16"/>
        <v>-1833.3333333333333</v>
      </c>
      <c r="T44" s="63"/>
      <c r="U44" s="63">
        <f t="shared" si="17"/>
        <v>-714.73547157899782</v>
      </c>
      <c r="V44" s="77">
        <f t="shared" si="20"/>
        <v>-170.95833333333334</v>
      </c>
      <c r="W44" s="83">
        <f t="shared" si="4"/>
        <v>7184.6066955056731</v>
      </c>
      <c r="X44" s="85">
        <f t="shared" si="18"/>
        <v>251198.61692921558</v>
      </c>
      <c r="Z44" s="92">
        <f t="shared" si="19"/>
        <v>82060</v>
      </c>
      <c r="AA44" s="5">
        <f t="shared" si="5"/>
        <v>0</v>
      </c>
      <c r="AB44" s="92">
        <f t="shared" si="6"/>
        <v>82060</v>
      </c>
      <c r="AD44" s="133">
        <f t="shared" si="7"/>
        <v>-69666.666666666686</v>
      </c>
      <c r="AE44" s="3">
        <f t="shared" si="8"/>
        <v>1</v>
      </c>
    </row>
    <row r="45" spans="1:31" x14ac:dyDescent="0.45">
      <c r="I45" s="20">
        <f t="shared" si="10"/>
        <v>39</v>
      </c>
      <c r="J45" s="63">
        <f t="shared" si="11"/>
        <v>91868.195488777157</v>
      </c>
      <c r="K45" s="79">
        <f t="shared" si="1"/>
        <v>405.78452332910047</v>
      </c>
      <c r="L45" s="63">
        <f t="shared" si="12"/>
        <v>-4391.0755978286179</v>
      </c>
      <c r="M45" s="80">
        <f t="shared" si="0"/>
        <v>87882.90441427764</v>
      </c>
      <c r="O45" s="20">
        <f t="shared" si="13"/>
        <v>39</v>
      </c>
      <c r="P45" s="54">
        <f t="shared" si="14"/>
        <v>20284.875</v>
      </c>
      <c r="Q45" s="63">
        <f t="shared" si="15"/>
        <v>14294.709431579955</v>
      </c>
      <c r="R45" s="77">
        <f t="shared" si="2"/>
        <v>-4391.0755978286179</v>
      </c>
      <c r="S45" s="63">
        <f t="shared" si="16"/>
        <v>-1833.3333333333333</v>
      </c>
      <c r="T45" s="63"/>
      <c r="U45" s="63">
        <f t="shared" si="17"/>
        <v>-714.73547157899782</v>
      </c>
      <c r="V45" s="77">
        <f t="shared" si="20"/>
        <v>-163.39583333333334</v>
      </c>
      <c r="W45" s="83">
        <f t="shared" si="4"/>
        <v>7192.1691955056731</v>
      </c>
      <c r="X45" s="85">
        <f t="shared" si="18"/>
        <v>258390.78612472126</v>
      </c>
      <c r="Z45" s="92">
        <f t="shared" si="19"/>
        <v>78430</v>
      </c>
      <c r="AA45" s="5">
        <f t="shared" si="5"/>
        <v>0</v>
      </c>
      <c r="AB45" s="92">
        <f t="shared" si="6"/>
        <v>78430</v>
      </c>
      <c r="AD45" s="133">
        <f t="shared" si="7"/>
        <v>-71500.000000000015</v>
      </c>
      <c r="AE45" s="3">
        <f t="shared" si="8"/>
        <v>1</v>
      </c>
    </row>
    <row r="46" spans="1:31" x14ac:dyDescent="0.45">
      <c r="I46" s="20">
        <f t="shared" si="10"/>
        <v>40</v>
      </c>
      <c r="J46" s="63">
        <f t="shared" si="11"/>
        <v>87882.90441427764</v>
      </c>
      <c r="K46" s="79">
        <f t="shared" si="1"/>
        <v>388.18137535836382</v>
      </c>
      <c r="L46" s="63">
        <f t="shared" si="12"/>
        <v>-4391.0755978286179</v>
      </c>
      <c r="M46" s="80">
        <f t="shared" si="0"/>
        <v>83880.010191807392</v>
      </c>
      <c r="O46" s="20">
        <f t="shared" si="13"/>
        <v>40</v>
      </c>
      <c r="P46" s="54">
        <f t="shared" si="14"/>
        <v>20805</v>
      </c>
      <c r="Q46" s="63">
        <f t="shared" si="15"/>
        <v>14294.709431579955</v>
      </c>
      <c r="R46" s="77">
        <f t="shared" si="2"/>
        <v>-4391.0755978286179</v>
      </c>
      <c r="S46" s="63">
        <f t="shared" si="16"/>
        <v>-1833.3333333333333</v>
      </c>
      <c r="T46" s="63"/>
      <c r="U46" s="63">
        <f t="shared" si="17"/>
        <v>-714.73547157899782</v>
      </c>
      <c r="V46" s="77">
        <f t="shared" si="20"/>
        <v>-155.83333333333334</v>
      </c>
      <c r="W46" s="83">
        <f t="shared" si="4"/>
        <v>7199.7316955056731</v>
      </c>
      <c r="X46" s="85">
        <f t="shared" si="18"/>
        <v>265590.5178202269</v>
      </c>
      <c r="Z46" s="92">
        <f t="shared" si="19"/>
        <v>74800</v>
      </c>
      <c r="AA46" s="5">
        <f t="shared" si="5"/>
        <v>0</v>
      </c>
      <c r="AB46" s="92">
        <f t="shared" si="6"/>
        <v>74800</v>
      </c>
      <c r="AD46" s="133">
        <f t="shared" si="7"/>
        <v>-73333.333333333343</v>
      </c>
      <c r="AE46" s="3">
        <f t="shared" si="8"/>
        <v>1</v>
      </c>
    </row>
    <row r="47" spans="1:31" x14ac:dyDescent="0.45">
      <c r="I47" s="20">
        <f t="shared" si="10"/>
        <v>41</v>
      </c>
      <c r="J47" s="63">
        <f t="shared" si="11"/>
        <v>83880.010191807392</v>
      </c>
      <c r="K47" s="79">
        <f t="shared" si="1"/>
        <v>370.50047376494655</v>
      </c>
      <c r="L47" s="63">
        <f t="shared" si="12"/>
        <v>-4391.0755978286179</v>
      </c>
      <c r="M47" s="80">
        <f t="shared" si="0"/>
        <v>79859.435067743718</v>
      </c>
      <c r="O47" s="20">
        <f t="shared" si="13"/>
        <v>41</v>
      </c>
      <c r="P47" s="54">
        <f t="shared" si="14"/>
        <v>21325.125</v>
      </c>
      <c r="Q47" s="63">
        <f t="shared" si="15"/>
        <v>14294.709431579955</v>
      </c>
      <c r="R47" s="77">
        <f t="shared" si="2"/>
        <v>-4391.0755978286179</v>
      </c>
      <c r="S47" s="63">
        <f t="shared" si="16"/>
        <v>-1833.3333333333333</v>
      </c>
      <c r="T47" s="63"/>
      <c r="U47" s="63">
        <f t="shared" si="17"/>
        <v>-714.73547157899782</v>
      </c>
      <c r="V47" s="77">
        <f t="shared" si="20"/>
        <v>-148.27083333333334</v>
      </c>
      <c r="W47" s="83">
        <f t="shared" si="4"/>
        <v>7207.2941955056731</v>
      </c>
      <c r="X47" s="85">
        <f t="shared" si="18"/>
        <v>272797.81201573258</v>
      </c>
      <c r="Z47" s="92">
        <f t="shared" si="19"/>
        <v>71170</v>
      </c>
      <c r="AA47" s="5">
        <f t="shared" si="5"/>
        <v>0</v>
      </c>
      <c r="AB47" s="92">
        <f t="shared" si="6"/>
        <v>71170</v>
      </c>
      <c r="AD47" s="133">
        <f t="shared" si="7"/>
        <v>-75166.666666666672</v>
      </c>
      <c r="AE47" s="3">
        <f t="shared" si="8"/>
        <v>1</v>
      </c>
    </row>
    <row r="48" spans="1:31" x14ac:dyDescent="0.45">
      <c r="I48" s="20">
        <f t="shared" si="10"/>
        <v>42</v>
      </c>
      <c r="J48" s="63">
        <f t="shared" si="11"/>
        <v>79859.435067743718</v>
      </c>
      <c r="K48" s="79">
        <f t="shared" si="1"/>
        <v>352.7414751088084</v>
      </c>
      <c r="L48" s="63">
        <f t="shared" si="12"/>
        <v>-4391.0755978286179</v>
      </c>
      <c r="M48" s="80">
        <f t="shared" si="0"/>
        <v>75821.100945023907</v>
      </c>
      <c r="O48" s="20">
        <f t="shared" si="13"/>
        <v>42</v>
      </c>
      <c r="P48" s="54">
        <f t="shared" si="14"/>
        <v>21845.25</v>
      </c>
      <c r="Q48" s="63">
        <f t="shared" si="15"/>
        <v>14294.709431579955</v>
      </c>
      <c r="R48" s="77">
        <f t="shared" si="2"/>
        <v>-4391.0755978286179</v>
      </c>
      <c r="S48" s="63">
        <f t="shared" si="16"/>
        <v>-1833.3333333333333</v>
      </c>
      <c r="T48" s="63"/>
      <c r="U48" s="63">
        <f t="shared" si="17"/>
        <v>-714.73547157899782</v>
      </c>
      <c r="V48" s="77">
        <f t="shared" si="20"/>
        <v>-140.70833333333334</v>
      </c>
      <c r="W48" s="83">
        <f t="shared" si="4"/>
        <v>7214.8566955056731</v>
      </c>
      <c r="X48" s="85">
        <f t="shared" si="18"/>
        <v>280012.66871123825</v>
      </c>
      <c r="Z48" s="92">
        <f t="shared" si="19"/>
        <v>67540</v>
      </c>
      <c r="AA48" s="5">
        <f t="shared" si="5"/>
        <v>0</v>
      </c>
      <c r="AB48" s="92">
        <f t="shared" si="6"/>
        <v>67540</v>
      </c>
      <c r="AD48" s="133">
        <f t="shared" si="7"/>
        <v>-77000</v>
      </c>
      <c r="AE48" s="3">
        <f t="shared" si="8"/>
        <v>1</v>
      </c>
    </row>
    <row r="49" spans="9:31" x14ac:dyDescent="0.45">
      <c r="I49" s="20">
        <f t="shared" si="10"/>
        <v>43</v>
      </c>
      <c r="J49" s="63">
        <f t="shared" si="11"/>
        <v>75821.100945023907</v>
      </c>
      <c r="K49" s="79">
        <f t="shared" si="1"/>
        <v>334.9040344329253</v>
      </c>
      <c r="L49" s="63">
        <f t="shared" si="12"/>
        <v>-4391.0755978286179</v>
      </c>
      <c r="M49" s="80">
        <f t="shared" si="0"/>
        <v>71764.929381628215</v>
      </c>
      <c r="O49" s="20">
        <f t="shared" si="13"/>
        <v>43</v>
      </c>
      <c r="P49" s="54">
        <f t="shared" si="14"/>
        <v>22365.375</v>
      </c>
      <c r="Q49" s="63">
        <f t="shared" si="15"/>
        <v>14294.709431579955</v>
      </c>
      <c r="R49" s="77">
        <f t="shared" si="2"/>
        <v>-4391.0755978286179</v>
      </c>
      <c r="S49" s="63">
        <f t="shared" si="16"/>
        <v>-1833.3333333333333</v>
      </c>
      <c r="T49" s="63"/>
      <c r="U49" s="63">
        <f t="shared" si="17"/>
        <v>-714.73547157899782</v>
      </c>
      <c r="V49" s="77">
        <f t="shared" si="20"/>
        <v>-133.14583333333334</v>
      </c>
      <c r="W49" s="83">
        <f t="shared" si="4"/>
        <v>7222.4191955056731</v>
      </c>
      <c r="X49" s="85">
        <f t="shared" si="18"/>
        <v>287235.08790674392</v>
      </c>
      <c r="Z49" s="92">
        <f t="shared" si="19"/>
        <v>63910</v>
      </c>
      <c r="AA49" s="5">
        <f t="shared" si="5"/>
        <v>0</v>
      </c>
      <c r="AB49" s="92">
        <f t="shared" si="6"/>
        <v>63910</v>
      </c>
      <c r="AD49" s="133">
        <f t="shared" si="7"/>
        <v>-78833.333333333328</v>
      </c>
      <c r="AE49" s="3">
        <f t="shared" si="8"/>
        <v>1</v>
      </c>
    </row>
    <row r="50" spans="9:31" x14ac:dyDescent="0.45">
      <c r="I50" s="20">
        <f t="shared" si="10"/>
        <v>44</v>
      </c>
      <c r="J50" s="63">
        <f t="shared" si="11"/>
        <v>71764.929381628215</v>
      </c>
      <c r="K50" s="79">
        <f t="shared" si="1"/>
        <v>316.98780525658708</v>
      </c>
      <c r="L50" s="63">
        <f t="shared" si="12"/>
        <v>-4391.0755978286179</v>
      </c>
      <c r="M50" s="80">
        <f t="shared" si="0"/>
        <v>67690.841589056188</v>
      </c>
      <c r="O50" s="20">
        <f t="shared" si="13"/>
        <v>44</v>
      </c>
      <c r="P50" s="54">
        <f t="shared" si="14"/>
        <v>22885.5</v>
      </c>
      <c r="Q50" s="63">
        <f t="shared" si="15"/>
        <v>14294.709431579955</v>
      </c>
      <c r="R50" s="77">
        <f t="shared" si="2"/>
        <v>-4391.0755978286179</v>
      </c>
      <c r="S50" s="63">
        <f t="shared" si="16"/>
        <v>-1833.3333333333333</v>
      </c>
      <c r="T50" s="63"/>
      <c r="U50" s="63">
        <f t="shared" si="17"/>
        <v>-714.73547157899782</v>
      </c>
      <c r="V50" s="77">
        <f t="shared" si="20"/>
        <v>-125.58333333333333</v>
      </c>
      <c r="W50" s="83">
        <f t="shared" si="4"/>
        <v>7229.9816955056731</v>
      </c>
      <c r="X50" s="85">
        <f t="shared" si="18"/>
        <v>294465.0696022496</v>
      </c>
      <c r="Z50" s="92">
        <f t="shared" si="19"/>
        <v>60280</v>
      </c>
      <c r="AA50" s="5">
        <f t="shared" si="5"/>
        <v>0</v>
      </c>
      <c r="AB50" s="92">
        <f t="shared" si="6"/>
        <v>60280</v>
      </c>
      <c r="AD50" s="133">
        <f t="shared" si="7"/>
        <v>-80666.666666666657</v>
      </c>
      <c r="AE50" s="3">
        <f t="shared" si="8"/>
        <v>1</v>
      </c>
    </row>
    <row r="51" spans="9:31" x14ac:dyDescent="0.45">
      <c r="I51" s="20">
        <f t="shared" si="10"/>
        <v>45</v>
      </c>
      <c r="J51" s="63">
        <f t="shared" si="11"/>
        <v>67690.841589056188</v>
      </c>
      <c r="K51" s="79">
        <f t="shared" si="1"/>
        <v>298.99243956866843</v>
      </c>
      <c r="L51" s="63">
        <f t="shared" si="12"/>
        <v>-4391.0755978286179</v>
      </c>
      <c r="M51" s="80">
        <f t="shared" si="0"/>
        <v>63598.758430796239</v>
      </c>
      <c r="O51" s="20">
        <f t="shared" si="13"/>
        <v>45</v>
      </c>
      <c r="P51" s="54">
        <f t="shared" si="14"/>
        <v>23405.625</v>
      </c>
      <c r="Q51" s="63">
        <f t="shared" si="15"/>
        <v>14294.709431579955</v>
      </c>
      <c r="R51" s="77">
        <f t="shared" si="2"/>
        <v>-4391.0755978286179</v>
      </c>
      <c r="S51" s="63">
        <f t="shared" si="16"/>
        <v>-1833.3333333333333</v>
      </c>
      <c r="T51" s="63"/>
      <c r="U51" s="63">
        <f t="shared" si="17"/>
        <v>-714.73547157899782</v>
      </c>
      <c r="V51" s="77">
        <f t="shared" si="20"/>
        <v>-118.02083333333333</v>
      </c>
      <c r="W51" s="83">
        <f t="shared" si="4"/>
        <v>7237.5441955056731</v>
      </c>
      <c r="X51" s="85">
        <f t="shared" si="18"/>
        <v>301702.61379775527</v>
      </c>
      <c r="Z51" s="92">
        <f t="shared" si="19"/>
        <v>56650</v>
      </c>
      <c r="AA51" s="5">
        <f t="shared" si="5"/>
        <v>0</v>
      </c>
      <c r="AB51" s="92">
        <f t="shared" si="6"/>
        <v>56650</v>
      </c>
      <c r="AD51" s="133">
        <f t="shared" si="7"/>
        <v>-82499.999999999985</v>
      </c>
      <c r="AE51" s="3">
        <f t="shared" si="8"/>
        <v>1</v>
      </c>
    </row>
    <row r="52" spans="9:31" x14ac:dyDescent="0.45">
      <c r="I52" s="20">
        <f t="shared" si="10"/>
        <v>46</v>
      </c>
      <c r="J52" s="63">
        <f t="shared" si="11"/>
        <v>63598.758430796239</v>
      </c>
      <c r="K52" s="79">
        <f t="shared" si="1"/>
        <v>280.91758782086845</v>
      </c>
      <c r="L52" s="63">
        <f t="shared" si="12"/>
        <v>-4391.0755978286179</v>
      </c>
      <c r="M52" s="80">
        <f t="shared" si="0"/>
        <v>59488.600420788491</v>
      </c>
      <c r="O52" s="20">
        <f t="shared" si="13"/>
        <v>46</v>
      </c>
      <c r="P52" s="54">
        <f t="shared" si="14"/>
        <v>23925.75</v>
      </c>
      <c r="Q52" s="63">
        <f t="shared" si="15"/>
        <v>14294.709431579955</v>
      </c>
      <c r="R52" s="77">
        <f t="shared" si="2"/>
        <v>-4391.0755978286179</v>
      </c>
      <c r="S52" s="63">
        <f t="shared" si="16"/>
        <v>-1833.3333333333333</v>
      </c>
      <c r="T52" s="63"/>
      <c r="U52" s="63">
        <f t="shared" si="17"/>
        <v>-714.73547157899782</v>
      </c>
      <c r="V52" s="77">
        <f t="shared" si="20"/>
        <v>-110.45833333333333</v>
      </c>
      <c r="W52" s="83">
        <f t="shared" si="4"/>
        <v>7245.1066955056731</v>
      </c>
      <c r="X52" s="85">
        <f t="shared" si="18"/>
        <v>308947.72049326095</v>
      </c>
      <c r="Z52" s="92">
        <f t="shared" si="19"/>
        <v>53020</v>
      </c>
      <c r="AA52" s="5">
        <f t="shared" si="5"/>
        <v>0</v>
      </c>
      <c r="AB52" s="92">
        <f t="shared" si="6"/>
        <v>53020</v>
      </c>
      <c r="AD52" s="133">
        <f t="shared" si="7"/>
        <v>-84333.333333333314</v>
      </c>
      <c r="AE52" s="3">
        <f t="shared" si="8"/>
        <v>1</v>
      </c>
    </row>
    <row r="53" spans="9:31" x14ac:dyDescent="0.45">
      <c r="I53" s="20">
        <f t="shared" si="10"/>
        <v>47</v>
      </c>
      <c r="J53" s="63">
        <f t="shared" si="11"/>
        <v>59488.600420788491</v>
      </c>
      <c r="K53" s="79">
        <f t="shared" si="1"/>
        <v>262.76289892092126</v>
      </c>
      <c r="L53" s="63">
        <f t="shared" si="12"/>
        <v>-4391.0755978286179</v>
      </c>
      <c r="M53" s="80">
        <f t="shared" si="0"/>
        <v>55360.287721880792</v>
      </c>
      <c r="O53" s="20">
        <f t="shared" si="13"/>
        <v>47</v>
      </c>
      <c r="P53" s="54">
        <f t="shared" si="14"/>
        <v>24445.875</v>
      </c>
      <c r="Q53" s="63">
        <f t="shared" si="15"/>
        <v>14294.709431579955</v>
      </c>
      <c r="R53" s="77">
        <f t="shared" si="2"/>
        <v>-4391.0755978286179</v>
      </c>
      <c r="S53" s="63">
        <f t="shared" si="16"/>
        <v>-1833.3333333333333</v>
      </c>
      <c r="T53" s="63"/>
      <c r="U53" s="63">
        <f t="shared" si="17"/>
        <v>-714.73547157899782</v>
      </c>
      <c r="V53" s="77">
        <f t="shared" si="20"/>
        <v>-102.89583333333333</v>
      </c>
      <c r="W53" s="83">
        <f t="shared" si="4"/>
        <v>7252.6691955056731</v>
      </c>
      <c r="X53" s="85">
        <f t="shared" si="18"/>
        <v>316200.38968876662</v>
      </c>
      <c r="Z53" s="92">
        <f t="shared" si="19"/>
        <v>49390</v>
      </c>
      <c r="AA53" s="5">
        <f t="shared" si="5"/>
        <v>0</v>
      </c>
      <c r="AB53" s="92">
        <f t="shared" si="6"/>
        <v>49390</v>
      </c>
      <c r="AD53" s="133">
        <f t="shared" si="7"/>
        <v>-86166.666666666642</v>
      </c>
      <c r="AE53" s="3">
        <f t="shared" si="8"/>
        <v>1</v>
      </c>
    </row>
    <row r="54" spans="9:31" x14ac:dyDescent="0.45">
      <c r="I54" s="20">
        <f t="shared" si="10"/>
        <v>48</v>
      </c>
      <c r="J54" s="63">
        <f t="shared" si="11"/>
        <v>55360.287721880792</v>
      </c>
      <c r="K54" s="79">
        <f t="shared" si="1"/>
        <v>244.52802022577609</v>
      </c>
      <c r="L54" s="63">
        <f t="shared" si="12"/>
        <v>-4391.0755978286179</v>
      </c>
      <c r="M54" s="80">
        <f t="shared" si="0"/>
        <v>51213.740144277952</v>
      </c>
      <c r="O54" s="20">
        <f t="shared" si="13"/>
        <v>48</v>
      </c>
      <c r="P54" s="54">
        <f t="shared" si="14"/>
        <v>24966</v>
      </c>
      <c r="Q54" s="63">
        <f t="shared" si="15"/>
        <v>14294.709431579955</v>
      </c>
      <c r="R54" s="77">
        <f t="shared" si="2"/>
        <v>-4391.0755978286179</v>
      </c>
      <c r="S54" s="63">
        <f t="shared" si="16"/>
        <v>-1833.3333333333333</v>
      </c>
      <c r="T54" s="63">
        <f>-T68*0.5</f>
        <v>-16500</v>
      </c>
      <c r="U54" s="63">
        <f t="shared" si="17"/>
        <v>-714.73547157899782</v>
      </c>
      <c r="V54" s="77">
        <f t="shared" si="20"/>
        <v>-95.333333333333329</v>
      </c>
      <c r="W54" s="83">
        <f t="shared" si="4"/>
        <v>-9239.768304494326</v>
      </c>
      <c r="X54" s="85">
        <f t="shared" si="18"/>
        <v>306960.62138427229</v>
      </c>
      <c r="Z54" s="92">
        <f t="shared" si="19"/>
        <v>45760</v>
      </c>
      <c r="AA54" s="5">
        <f t="shared" si="5"/>
        <v>0</v>
      </c>
      <c r="AB54" s="92">
        <f t="shared" si="6"/>
        <v>45760</v>
      </c>
      <c r="AD54" s="133">
        <f t="shared" ref="AD54:AD62" si="24">IF(AD53=0,0,IF(+S54+AD53&lt;-$S$68,0,+S54+AD53))</f>
        <v>-87999.999999999971</v>
      </c>
      <c r="AE54" s="3">
        <f t="shared" si="8"/>
        <v>1</v>
      </c>
    </row>
    <row r="55" spans="9:31" x14ac:dyDescent="0.45">
      <c r="I55" s="20">
        <f t="shared" si="10"/>
        <v>49</v>
      </c>
      <c r="J55" s="63">
        <f t="shared" si="11"/>
        <v>51213.740144277952</v>
      </c>
      <c r="K55" s="79">
        <f>J55*$C$8*30.44/365.25</f>
        <v>226.2125975347474</v>
      </c>
      <c r="L55" s="63">
        <f t="shared" si="12"/>
        <v>-4391.0755978286179</v>
      </c>
      <c r="M55" s="80">
        <f t="shared" si="0"/>
        <v>47048.877143984078</v>
      </c>
      <c r="O55" s="20">
        <f t="shared" si="13"/>
        <v>49</v>
      </c>
      <c r="P55" s="54">
        <f t="shared" si="14"/>
        <v>25486.125</v>
      </c>
      <c r="Q55" s="63">
        <f t="shared" si="15"/>
        <v>14294.709431579955</v>
      </c>
      <c r="R55" s="77">
        <f t="shared" si="2"/>
        <v>-4391.0755978286179</v>
      </c>
      <c r="S55" s="63">
        <f t="shared" si="16"/>
        <v>-1833.3333333333333</v>
      </c>
      <c r="T55" s="63">
        <f>-T69*0.5</f>
        <v>0</v>
      </c>
      <c r="U55" s="63">
        <f t="shared" si="17"/>
        <v>-714.73547157899782</v>
      </c>
      <c r="V55" s="77">
        <f t="shared" si="20"/>
        <v>-87.770833333333329</v>
      </c>
      <c r="W55" s="83">
        <f t="shared" si="4"/>
        <v>7267.7941955056731</v>
      </c>
      <c r="X55" s="85">
        <f t="shared" si="18"/>
        <v>314228.41557977797</v>
      </c>
      <c r="Z55" s="92">
        <f t="shared" si="19"/>
        <v>42130</v>
      </c>
      <c r="AA55" s="5">
        <f t="shared" si="5"/>
        <v>0</v>
      </c>
      <c r="AB55" s="92">
        <f t="shared" si="6"/>
        <v>42130</v>
      </c>
      <c r="AD55" s="133">
        <f t="shared" si="24"/>
        <v>-89833.333333333299</v>
      </c>
      <c r="AE55" s="3">
        <f t="shared" si="8"/>
        <v>1</v>
      </c>
    </row>
    <row r="56" spans="9:31" x14ac:dyDescent="0.45">
      <c r="I56" s="20">
        <f t="shared" si="10"/>
        <v>50</v>
      </c>
      <c r="J56" s="63">
        <f t="shared" si="11"/>
        <v>47048.877143984078</v>
      </c>
      <c r="K56" s="79">
        <f>J56*$C$8*30.44/365.25</f>
        <v>207.81627508263489</v>
      </c>
      <c r="L56" s="63">
        <f t="shared" si="12"/>
        <v>-4391.0755978286179</v>
      </c>
      <c r="M56" s="80">
        <f t="shared" si="0"/>
        <v>42865.617821238098</v>
      </c>
      <c r="O56" s="20">
        <f t="shared" si="13"/>
        <v>50</v>
      </c>
      <c r="P56" s="54">
        <f t="shared" si="14"/>
        <v>26006.25</v>
      </c>
      <c r="Q56" s="63">
        <f t="shared" si="15"/>
        <v>14294.709431579955</v>
      </c>
      <c r="R56" s="77">
        <f t="shared" si="2"/>
        <v>-4391.0755978286179</v>
      </c>
      <c r="S56" s="63">
        <f t="shared" si="16"/>
        <v>-1833.3333333333333</v>
      </c>
      <c r="T56" s="63">
        <f>-T70*0.5</f>
        <v>0</v>
      </c>
      <c r="U56" s="63">
        <f t="shared" si="17"/>
        <v>-714.73547157899782</v>
      </c>
      <c r="V56" s="77">
        <f t="shared" si="20"/>
        <v>-80.208333333333329</v>
      </c>
      <c r="W56" s="83">
        <f t="shared" si="4"/>
        <v>7275.3566955056731</v>
      </c>
      <c r="X56" s="85">
        <f t="shared" si="18"/>
        <v>321503.77227528364</v>
      </c>
      <c r="Z56" s="92">
        <f t="shared" si="19"/>
        <v>38500</v>
      </c>
      <c r="AA56" s="5">
        <f t="shared" si="5"/>
        <v>0</v>
      </c>
      <c r="AB56" s="92">
        <f t="shared" si="6"/>
        <v>38500</v>
      </c>
      <c r="AD56" s="133">
        <f t="shared" si="24"/>
        <v>-91666.666666666628</v>
      </c>
      <c r="AE56" s="3">
        <f t="shared" si="8"/>
        <v>1</v>
      </c>
    </row>
    <row r="57" spans="9:31" x14ac:dyDescent="0.45">
      <c r="I57" s="20">
        <f t="shared" si="10"/>
        <v>51</v>
      </c>
      <c r="J57" s="63">
        <f t="shared" si="11"/>
        <v>42865.617821238098</v>
      </c>
      <c r="K57" s="79">
        <f t="shared" ref="K57:K66" si="25">J57*$C$8*30.44/365.25</f>
        <v>189.33869553281275</v>
      </c>
      <c r="L57" s="63">
        <f t="shared" si="12"/>
        <v>-4391.0755978286179</v>
      </c>
      <c r="M57" s="80">
        <f t="shared" si="0"/>
        <v>38663.88091894229</v>
      </c>
      <c r="O57" s="20">
        <f t="shared" si="13"/>
        <v>51</v>
      </c>
      <c r="P57" s="54">
        <f t="shared" si="14"/>
        <v>26526.375</v>
      </c>
      <c r="Q57" s="63">
        <f t="shared" si="15"/>
        <v>14294.709431579955</v>
      </c>
      <c r="R57" s="77">
        <f t="shared" si="2"/>
        <v>-4391.0755978286179</v>
      </c>
      <c r="S57" s="63">
        <f t="shared" si="16"/>
        <v>-1833.3333333333333</v>
      </c>
      <c r="T57" s="63">
        <f>-T71*0.5</f>
        <v>0</v>
      </c>
      <c r="U57" s="63">
        <f t="shared" si="17"/>
        <v>-714.73547157899782</v>
      </c>
      <c r="V57" s="77">
        <f t="shared" si="20"/>
        <v>-72.645833333333329</v>
      </c>
      <c r="W57" s="83">
        <f t="shared" si="4"/>
        <v>7282.9191955056731</v>
      </c>
      <c r="X57" s="85">
        <f t="shared" si="18"/>
        <v>328786.69147078932</v>
      </c>
      <c r="Z57" s="92">
        <f t="shared" si="19"/>
        <v>34870</v>
      </c>
      <c r="AA57" s="5">
        <f t="shared" si="5"/>
        <v>0</v>
      </c>
      <c r="AB57" s="92">
        <f t="shared" si="6"/>
        <v>34870</v>
      </c>
      <c r="AD57" s="133">
        <f t="shared" si="24"/>
        <v>-93499.999999999956</v>
      </c>
      <c r="AE57" s="3">
        <f t="shared" si="8"/>
        <v>1</v>
      </c>
    </row>
    <row r="58" spans="9:31" x14ac:dyDescent="0.45">
      <c r="I58" s="20">
        <f t="shared" si="10"/>
        <v>52</v>
      </c>
      <c r="J58" s="63">
        <f t="shared" si="11"/>
        <v>38663.88091894229</v>
      </c>
      <c r="K58" s="79">
        <f t="shared" si="25"/>
        <v>170.77949997028875</v>
      </c>
      <c r="L58" s="63">
        <f t="shared" si="12"/>
        <v>-4391.0755978286179</v>
      </c>
      <c r="M58" s="80">
        <f t="shared" si="0"/>
        <v>34443.584821083961</v>
      </c>
      <c r="O58" s="20">
        <f t="shared" si="13"/>
        <v>52</v>
      </c>
      <c r="P58" s="54">
        <f t="shared" si="14"/>
        <v>27046.5</v>
      </c>
      <c r="Q58" s="63">
        <f t="shared" si="15"/>
        <v>14294.709431579955</v>
      </c>
      <c r="R58" s="77">
        <f t="shared" si="2"/>
        <v>-4391.0755978286179</v>
      </c>
      <c r="S58" s="63">
        <f t="shared" si="16"/>
        <v>-1833.3333333333333</v>
      </c>
      <c r="T58" s="63"/>
      <c r="U58" s="63">
        <f t="shared" si="17"/>
        <v>-714.73547157899782</v>
      </c>
      <c r="V58" s="77">
        <f t="shared" si="20"/>
        <v>-65.083333333333329</v>
      </c>
      <c r="W58" s="83">
        <f t="shared" si="4"/>
        <v>7290.4816955056731</v>
      </c>
      <c r="X58" s="85">
        <f t="shared" si="18"/>
        <v>336077.17316629499</v>
      </c>
      <c r="Z58" s="92">
        <f t="shared" si="19"/>
        <v>31240</v>
      </c>
      <c r="AA58" s="5">
        <f t="shared" si="5"/>
        <v>0</v>
      </c>
      <c r="AB58" s="92">
        <f t="shared" si="6"/>
        <v>31240</v>
      </c>
      <c r="AD58" s="133">
        <f t="shared" si="24"/>
        <v>-95333.333333333285</v>
      </c>
      <c r="AE58" s="3">
        <f t="shared" si="8"/>
        <v>1</v>
      </c>
    </row>
    <row r="59" spans="9:31" x14ac:dyDescent="0.45">
      <c r="I59" s="20">
        <f t="shared" si="10"/>
        <v>53</v>
      </c>
      <c r="J59" s="63">
        <f t="shared" si="11"/>
        <v>34443.584821083961</v>
      </c>
      <c r="K59" s="79">
        <f t="shared" si="25"/>
        <v>152.13832789473287</v>
      </c>
      <c r="L59" s="63">
        <f t="shared" si="12"/>
        <v>-4391.0755978286179</v>
      </c>
      <c r="M59" s="80">
        <f t="shared" si="0"/>
        <v>30204.647551150076</v>
      </c>
      <c r="O59" s="20">
        <f t="shared" si="13"/>
        <v>53</v>
      </c>
      <c r="P59" s="54">
        <f t="shared" si="14"/>
        <v>27566.625</v>
      </c>
      <c r="Q59" s="63">
        <f t="shared" si="15"/>
        <v>14294.709431579955</v>
      </c>
      <c r="R59" s="77">
        <f t="shared" si="2"/>
        <v>-4391.0755978286179</v>
      </c>
      <c r="S59" s="63">
        <f t="shared" si="16"/>
        <v>-1833.3333333333333</v>
      </c>
      <c r="T59" s="63"/>
      <c r="U59" s="63">
        <f t="shared" si="17"/>
        <v>-714.73547157899782</v>
      </c>
      <c r="V59" s="77">
        <f t="shared" si="20"/>
        <v>-57.520833333333336</v>
      </c>
      <c r="W59" s="83">
        <f t="shared" si="4"/>
        <v>7298.0441955056731</v>
      </c>
      <c r="X59" s="85">
        <f t="shared" si="18"/>
        <v>343375.21736180066</v>
      </c>
      <c r="Z59" s="92">
        <f t="shared" si="19"/>
        <v>27610</v>
      </c>
      <c r="AA59" s="5">
        <f t="shared" si="5"/>
        <v>0</v>
      </c>
      <c r="AB59" s="92">
        <f t="shared" si="6"/>
        <v>27610</v>
      </c>
      <c r="AD59" s="133">
        <f t="shared" si="24"/>
        <v>-97166.666666666613</v>
      </c>
      <c r="AE59" s="3">
        <f t="shared" si="8"/>
        <v>1</v>
      </c>
    </row>
    <row r="60" spans="9:31" x14ac:dyDescent="0.45">
      <c r="I60" s="20">
        <f t="shared" si="10"/>
        <v>54</v>
      </c>
      <c r="J60" s="63">
        <f t="shared" si="11"/>
        <v>30204.647551150076</v>
      </c>
      <c r="K60" s="79">
        <f t="shared" si="25"/>
        <v>133.41481721347418</v>
      </c>
      <c r="L60" s="63">
        <f t="shared" si="12"/>
        <v>-4391.0755978286179</v>
      </c>
      <c r="M60" s="80">
        <f t="shared" si="0"/>
        <v>25946.986770534932</v>
      </c>
      <c r="O60" s="20">
        <f t="shared" si="13"/>
        <v>54</v>
      </c>
      <c r="P60" s="54">
        <f t="shared" si="14"/>
        <v>28086.75</v>
      </c>
      <c r="Q60" s="63">
        <f t="shared" si="15"/>
        <v>14294.709431579955</v>
      </c>
      <c r="R60" s="77">
        <f t="shared" si="2"/>
        <v>-4391.0755978286179</v>
      </c>
      <c r="S60" s="63">
        <f t="shared" si="16"/>
        <v>-1833.3333333333333</v>
      </c>
      <c r="T60" s="63"/>
      <c r="U60" s="63">
        <f t="shared" si="17"/>
        <v>-714.73547157899782</v>
      </c>
      <c r="V60" s="77">
        <f t="shared" si="20"/>
        <v>-49.958333333333336</v>
      </c>
      <c r="W60" s="83">
        <f t="shared" si="4"/>
        <v>7305.6066955056731</v>
      </c>
      <c r="X60" s="85">
        <f t="shared" si="18"/>
        <v>350680.82405730634</v>
      </c>
      <c r="Z60" s="92">
        <f t="shared" si="19"/>
        <v>23980</v>
      </c>
      <c r="AA60" s="5">
        <f t="shared" si="5"/>
        <v>0</v>
      </c>
      <c r="AB60" s="92">
        <f t="shared" si="6"/>
        <v>23980</v>
      </c>
      <c r="AD60" s="133">
        <f t="shared" si="24"/>
        <v>-98999.999999999942</v>
      </c>
      <c r="AE60" s="3">
        <f t="shared" si="8"/>
        <v>1</v>
      </c>
    </row>
    <row r="61" spans="9:31" x14ac:dyDescent="0.45">
      <c r="I61" s="20">
        <f t="shared" si="10"/>
        <v>55</v>
      </c>
      <c r="J61" s="63">
        <f t="shared" si="11"/>
        <v>25946.986770534932</v>
      </c>
      <c r="K61" s="79">
        <f t="shared" si="25"/>
        <v>114.60860423446795</v>
      </c>
      <c r="L61" s="63">
        <f t="shared" si="12"/>
        <v>-4391.0755978286179</v>
      </c>
      <c r="M61" s="80">
        <f t="shared" si="0"/>
        <v>21670.519776940782</v>
      </c>
      <c r="O61" s="20">
        <f t="shared" si="13"/>
        <v>55</v>
      </c>
      <c r="P61" s="54">
        <f t="shared" si="14"/>
        <v>28606.875</v>
      </c>
      <c r="Q61" s="63">
        <f t="shared" si="15"/>
        <v>14294.709431579955</v>
      </c>
      <c r="R61" s="77">
        <f t="shared" si="2"/>
        <v>-4391.0755978286179</v>
      </c>
      <c r="S61" s="63">
        <f t="shared" si="16"/>
        <v>-1833.3333333333333</v>
      </c>
      <c r="T61" s="63">
        <f>-T75*0.5</f>
        <v>0</v>
      </c>
      <c r="U61" s="63">
        <f t="shared" si="17"/>
        <v>-714.73547157899782</v>
      </c>
      <c r="V61" s="77">
        <f t="shared" si="20"/>
        <v>-42.395833333333336</v>
      </c>
      <c r="W61" s="83">
        <f t="shared" si="4"/>
        <v>7313.1691955056731</v>
      </c>
      <c r="X61" s="85">
        <f t="shared" si="18"/>
        <v>357993.99325281201</v>
      </c>
      <c r="Z61" s="92">
        <f t="shared" si="19"/>
        <v>20350</v>
      </c>
      <c r="AA61" s="5">
        <f t="shared" si="5"/>
        <v>0</v>
      </c>
      <c r="AB61" s="92">
        <f t="shared" si="6"/>
        <v>20350</v>
      </c>
      <c r="AD61" s="133">
        <f t="shared" si="24"/>
        <v>-100833.33333333327</v>
      </c>
      <c r="AE61" s="3">
        <f t="shared" si="8"/>
        <v>1</v>
      </c>
    </row>
    <row r="62" spans="9:31" x14ac:dyDescent="0.45">
      <c r="I62" s="20">
        <f t="shared" si="10"/>
        <v>56</v>
      </c>
      <c r="J62" s="63">
        <f t="shared" si="11"/>
        <v>21670.519776940782</v>
      </c>
      <c r="K62" s="79">
        <f t="shared" si="25"/>
        <v>95.719323659230938</v>
      </c>
      <c r="L62" s="63">
        <f t="shared" si="12"/>
        <v>-4391.0755978286179</v>
      </c>
      <c r="M62" s="80">
        <f t="shared" si="0"/>
        <v>17375.163502771396</v>
      </c>
      <c r="O62" s="20">
        <f t="shared" si="13"/>
        <v>56</v>
      </c>
      <c r="P62" s="54">
        <f t="shared" si="14"/>
        <v>29127</v>
      </c>
      <c r="Q62" s="63">
        <f t="shared" si="15"/>
        <v>14294.709431579955</v>
      </c>
      <c r="R62" s="77">
        <f t="shared" si="2"/>
        <v>-4391.0755978286179</v>
      </c>
      <c r="S62" s="63">
        <f t="shared" si="16"/>
        <v>-1833.3333333333333</v>
      </c>
      <c r="T62" s="63">
        <f>-T76*0.5</f>
        <v>0</v>
      </c>
      <c r="U62" s="63">
        <f t="shared" si="17"/>
        <v>-714.73547157899782</v>
      </c>
      <c r="V62" s="77">
        <f t="shared" si="20"/>
        <v>-34.833333333333336</v>
      </c>
      <c r="W62" s="83">
        <f t="shared" si="4"/>
        <v>7320.7316955056731</v>
      </c>
      <c r="X62" s="85">
        <f t="shared" si="18"/>
        <v>365314.72494831769</v>
      </c>
      <c r="Z62" s="92">
        <f t="shared" si="19"/>
        <v>16720</v>
      </c>
      <c r="AA62" s="5">
        <f t="shared" si="5"/>
        <v>0</v>
      </c>
      <c r="AB62" s="92">
        <f t="shared" si="6"/>
        <v>16720</v>
      </c>
      <c r="AD62" s="133">
        <f t="shared" si="24"/>
        <v>-102666.6666666666</v>
      </c>
      <c r="AE62" s="3">
        <f t="shared" si="8"/>
        <v>1</v>
      </c>
    </row>
    <row r="63" spans="9:31" x14ac:dyDescent="0.45">
      <c r="I63" s="20">
        <f t="shared" si="10"/>
        <v>57</v>
      </c>
      <c r="J63" s="63">
        <f t="shared" si="11"/>
        <v>17375.163502771396</v>
      </c>
      <c r="K63" s="79">
        <f t="shared" si="25"/>
        <v>76.746608575745796</v>
      </c>
      <c r="L63" s="63">
        <f t="shared" si="12"/>
        <v>-4391.0755978286179</v>
      </c>
      <c r="M63" s="80">
        <f t="shared" si="0"/>
        <v>13060.834513518523</v>
      </c>
      <c r="O63" s="20">
        <f t="shared" si="13"/>
        <v>57</v>
      </c>
      <c r="P63" s="54">
        <f t="shared" si="14"/>
        <v>29647.125</v>
      </c>
      <c r="Q63" s="63">
        <f t="shared" si="15"/>
        <v>14294.709431579955</v>
      </c>
      <c r="R63" s="77">
        <f t="shared" si="2"/>
        <v>-4391.0755978286179</v>
      </c>
      <c r="S63" s="63">
        <f>+S61</f>
        <v>-1833.3333333333333</v>
      </c>
      <c r="T63" s="63">
        <f>-T76*0.5</f>
        <v>0</v>
      </c>
      <c r="U63" s="63">
        <f>U61</f>
        <v>-714.73547157899782</v>
      </c>
      <c r="V63" s="77">
        <f t="shared" si="20"/>
        <v>-27.270833333333332</v>
      </c>
      <c r="W63" s="83">
        <f t="shared" si="4"/>
        <v>7328.2941955056731</v>
      </c>
      <c r="X63" s="85">
        <f>X61+W63</f>
        <v>365322.28744831769</v>
      </c>
      <c r="Z63" s="92">
        <f t="shared" si="19"/>
        <v>13090</v>
      </c>
      <c r="AA63" s="5">
        <f t="shared" si="5"/>
        <v>0</v>
      </c>
      <c r="AB63" s="92">
        <f t="shared" si="6"/>
        <v>13090</v>
      </c>
      <c r="AD63" s="133">
        <f>IF(AD61=0,0,IF(+S63+AD61&lt;-$S$68,0,+S63+AD61))</f>
        <v>-102666.6666666666</v>
      </c>
      <c r="AE63" s="3">
        <f t="shared" si="8"/>
        <v>1</v>
      </c>
    </row>
    <row r="64" spans="9:31" x14ac:dyDescent="0.45">
      <c r="I64" s="20">
        <f t="shared" si="10"/>
        <v>58</v>
      </c>
      <c r="J64" s="63">
        <f t="shared" si="11"/>
        <v>13060.834513518523</v>
      </c>
      <c r="K64" s="79">
        <f t="shared" si="25"/>
        <v>57.690090451333894</v>
      </c>
      <c r="L64" s="63">
        <f t="shared" si="12"/>
        <v>-4391.0755978286179</v>
      </c>
      <c r="M64" s="80">
        <f t="shared" si="0"/>
        <v>8727.449006141238</v>
      </c>
      <c r="O64" s="20">
        <f t="shared" si="13"/>
        <v>58</v>
      </c>
      <c r="P64" s="54">
        <f t="shared" si="14"/>
        <v>30167.25</v>
      </c>
      <c r="Q64" s="63">
        <f t="shared" si="15"/>
        <v>14294.709431579955</v>
      </c>
      <c r="R64" s="77">
        <f t="shared" si="2"/>
        <v>-4391.0755978286179</v>
      </c>
      <c r="S64" s="63">
        <f>+S61</f>
        <v>-1833.3333333333333</v>
      </c>
      <c r="T64" s="63">
        <f>-T76*0.5</f>
        <v>0</v>
      </c>
      <c r="U64" s="63">
        <f>U61</f>
        <v>-714.73547157899782</v>
      </c>
      <c r="V64" s="77">
        <f t="shared" si="20"/>
        <v>-19.708333333333332</v>
      </c>
      <c r="W64" s="83">
        <f t="shared" si="4"/>
        <v>7335.8566955056731</v>
      </c>
      <c r="X64" s="85">
        <f>X61+W64</f>
        <v>365329.84994831769</v>
      </c>
      <c r="Z64" s="92">
        <f t="shared" si="19"/>
        <v>9460</v>
      </c>
      <c r="AA64" s="5">
        <f t="shared" si="5"/>
        <v>0</v>
      </c>
      <c r="AB64" s="92">
        <f t="shared" si="6"/>
        <v>9460</v>
      </c>
      <c r="AD64" s="133">
        <f>IF(AD61=0,0,IF(+S64+AD61&lt;-$S$68,0,+S64+AD61))</f>
        <v>-102666.6666666666</v>
      </c>
      <c r="AE64" s="3">
        <f t="shared" si="8"/>
        <v>1</v>
      </c>
    </row>
    <row r="65" spans="1:31" x14ac:dyDescent="0.45">
      <c r="I65" s="20">
        <f t="shared" si="10"/>
        <v>59</v>
      </c>
      <c r="J65" s="63">
        <f t="shared" si="11"/>
        <v>8727.449006141238</v>
      </c>
      <c r="K65" s="79">
        <f t="shared" si="25"/>
        <v>38.549399125497004</v>
      </c>
      <c r="L65" s="63">
        <f t="shared" si="12"/>
        <v>-4391.0755978286179</v>
      </c>
      <c r="M65" s="80">
        <f t="shared" si="0"/>
        <v>4374.9228074381172</v>
      </c>
      <c r="O65" s="20">
        <f t="shared" si="13"/>
        <v>59</v>
      </c>
      <c r="P65" s="54">
        <f t="shared" si="14"/>
        <v>30687.375</v>
      </c>
      <c r="Q65" s="63">
        <f t="shared" si="15"/>
        <v>14294.709431579955</v>
      </c>
      <c r="R65" s="77">
        <f t="shared" si="2"/>
        <v>-4391.0755978286179</v>
      </c>
      <c r="S65" s="63">
        <f>+S62</f>
        <v>-1833.3333333333333</v>
      </c>
      <c r="T65" s="63">
        <f>-T77*0.5</f>
        <v>0</v>
      </c>
      <c r="U65" s="63">
        <f>U62</f>
        <v>-714.73547157899782</v>
      </c>
      <c r="V65" s="77">
        <f t="shared" si="20"/>
        <v>-12.145833333333334</v>
      </c>
      <c r="W65" s="83">
        <f t="shared" si="4"/>
        <v>7343.4191955056731</v>
      </c>
      <c r="X65" s="85">
        <f>X62+W65</f>
        <v>372658.14414382336</v>
      </c>
      <c r="Z65" s="92">
        <f t="shared" si="19"/>
        <v>5830</v>
      </c>
      <c r="AA65" s="5">
        <f t="shared" si="5"/>
        <v>0</v>
      </c>
      <c r="AB65" s="92">
        <f t="shared" si="6"/>
        <v>5830</v>
      </c>
      <c r="AD65" s="133">
        <f>IF(AD62=0,0,IF(+S65+AD62&lt;-$S$68,0,+S65+AD62))</f>
        <v>-104499.99999999993</v>
      </c>
      <c r="AE65" s="3">
        <f t="shared" si="8"/>
        <v>1</v>
      </c>
    </row>
    <row r="66" spans="1:31" ht="14.65" thickBot="1" x14ac:dyDescent="0.5">
      <c r="I66" s="20">
        <f t="shared" si="10"/>
        <v>60</v>
      </c>
      <c r="J66" s="63">
        <f t="shared" si="11"/>
        <v>4374.9228074381172</v>
      </c>
      <c r="K66" s="79">
        <f t="shared" si="25"/>
        <v>19.324162802727074</v>
      </c>
      <c r="L66" s="63">
        <f t="shared" si="12"/>
        <v>-4391.0755978286179</v>
      </c>
      <c r="M66" s="80">
        <f t="shared" si="0"/>
        <v>3.1713724122264466</v>
      </c>
      <c r="O66" s="20">
        <f t="shared" si="13"/>
        <v>60</v>
      </c>
      <c r="P66" s="54">
        <f t="shared" si="14"/>
        <v>31207.5</v>
      </c>
      <c r="Q66" s="63">
        <f t="shared" si="15"/>
        <v>14294.709431579955</v>
      </c>
      <c r="R66" s="77">
        <f t="shared" si="2"/>
        <v>-4391.0755978286179</v>
      </c>
      <c r="S66" s="63">
        <f>+S62</f>
        <v>-1833.3333333333333</v>
      </c>
      <c r="T66" s="63">
        <f>-T77*0.5</f>
        <v>0</v>
      </c>
      <c r="U66" s="63">
        <f>U62</f>
        <v>-714.73547157899782</v>
      </c>
      <c r="V66" s="77">
        <f t="shared" si="20"/>
        <v>-4.583333333333333</v>
      </c>
      <c r="W66" s="83">
        <f t="shared" si="4"/>
        <v>7350.9816955056731</v>
      </c>
      <c r="X66" s="85">
        <f>X62+W66</f>
        <v>372665.70664382336</v>
      </c>
      <c r="Z66" s="92">
        <f t="shared" si="19"/>
        <v>2200</v>
      </c>
      <c r="AA66" s="5">
        <f t="shared" si="5"/>
        <v>0</v>
      </c>
      <c r="AB66" s="92">
        <f t="shared" si="6"/>
        <v>2200</v>
      </c>
      <c r="AD66" s="133">
        <f>IF(AD62=0,0,IF(+S66+AD62&lt;-$S$68,0,+S66+AD62))</f>
        <v>-104499.99999999993</v>
      </c>
      <c r="AE66" s="3">
        <f t="shared" si="8"/>
        <v>1</v>
      </c>
    </row>
    <row r="67" spans="1:31" ht="14.65" thickBot="1" x14ac:dyDescent="0.5">
      <c r="I67" s="21" t="s">
        <v>20</v>
      </c>
      <c r="J67" s="69">
        <f>C7*C11</f>
        <v>2310</v>
      </c>
      <c r="K67" s="69">
        <f>SUM(K7:K54)</f>
        <v>30985.368840051735</v>
      </c>
      <c r="L67" s="81"/>
      <c r="M67" s="82"/>
      <c r="O67" s="58"/>
      <c r="P67" s="59"/>
      <c r="Q67" s="69">
        <f t="shared" ref="Q67:V67" si="26">SUM(Q7:Q54)</f>
        <v>686146.05271583772</v>
      </c>
      <c r="R67" s="69">
        <f t="shared" si="26"/>
        <v>-210771.62869577343</v>
      </c>
      <c r="S67" s="87">
        <f t="shared" si="26"/>
        <v>-87999.999999999971</v>
      </c>
      <c r="T67" s="87">
        <f t="shared" si="26"/>
        <v>-33000</v>
      </c>
      <c r="U67" s="69">
        <f t="shared" si="26"/>
        <v>-34307.302635791908</v>
      </c>
      <c r="V67" s="69">
        <f t="shared" si="26"/>
        <v>-13106.500000000013</v>
      </c>
      <c r="W67" s="88"/>
      <c r="X67" s="82"/>
    </row>
    <row r="68" spans="1:31" x14ac:dyDescent="0.45">
      <c r="Q68" s="89">
        <f>+SUM(Q67:V67)</f>
        <v>306960.62138427241</v>
      </c>
      <c r="R68" s="89"/>
      <c r="S68" s="90">
        <f>D31</f>
        <v>110000</v>
      </c>
      <c r="T68" s="60">
        <f>D32</f>
        <v>33000</v>
      </c>
      <c r="U68" s="89"/>
      <c r="V68" s="89"/>
      <c r="W68" s="89"/>
      <c r="X68" s="89"/>
    </row>
    <row r="69" spans="1:31" ht="14.65" thickBot="1" x14ac:dyDescent="0.5">
      <c r="L69" s="129">
        <f>+PMT(C8/12,C12,(C7),,)</f>
        <v>-4391.0755978286179</v>
      </c>
      <c r="Q69" s="89"/>
      <c r="R69" s="89"/>
      <c r="S69" s="91">
        <f>S67+S68</f>
        <v>22000.000000000029</v>
      </c>
      <c r="T69" s="66">
        <f>T67+T68</f>
        <v>0</v>
      </c>
      <c r="U69" s="89"/>
      <c r="V69" s="89"/>
      <c r="W69" s="89"/>
      <c r="X69" s="89"/>
    </row>
    <row r="70" spans="1:31" ht="14.65" thickBot="1" x14ac:dyDescent="0.5">
      <c r="I70" s="12"/>
      <c r="J70" s="316"/>
      <c r="K70" s="316"/>
      <c r="L70" s="316"/>
      <c r="M70" s="316"/>
      <c r="O70" s="12"/>
      <c r="P70" s="12"/>
      <c r="Q70" s="316"/>
      <c r="R70" s="316"/>
      <c r="S70" s="317"/>
      <c r="T70" s="318"/>
      <c r="U70" s="316"/>
      <c r="V70" s="316"/>
      <c r="W70" s="316"/>
      <c r="X70" s="316"/>
    </row>
    <row r="71" spans="1:31" ht="14.65" thickBot="1" x14ac:dyDescent="0.5">
      <c r="I71" s="12"/>
      <c r="J71" s="316"/>
      <c r="K71" s="316"/>
      <c r="L71" s="316"/>
      <c r="M71" s="316"/>
      <c r="O71" s="12"/>
      <c r="P71" s="12"/>
      <c r="Q71" s="316"/>
      <c r="R71" s="316"/>
      <c r="S71" s="317"/>
      <c r="T71" s="318"/>
      <c r="U71" s="316"/>
      <c r="V71" s="316"/>
      <c r="W71" s="316"/>
      <c r="X71" s="316"/>
    </row>
    <row r="72" spans="1:31" x14ac:dyDescent="0.45">
      <c r="Q72" s="89"/>
      <c r="R72" s="89"/>
      <c r="S72" s="90">
        <f>D31</f>
        <v>110000</v>
      </c>
      <c r="T72" s="60">
        <f>D32</f>
        <v>33000</v>
      </c>
      <c r="U72" s="89"/>
      <c r="V72" s="89"/>
      <c r="W72" s="89"/>
      <c r="X72" s="89"/>
    </row>
    <row r="73" spans="1:31" ht="14.65" thickBot="1" x14ac:dyDescent="0.5">
      <c r="L73" s="129"/>
      <c r="Q73" s="89"/>
      <c r="R73" s="89"/>
      <c r="S73" s="91">
        <f>S55+S72</f>
        <v>108166.66666666667</v>
      </c>
      <c r="T73" s="66">
        <f>T55+T72</f>
        <v>33000</v>
      </c>
      <c r="U73" s="89"/>
      <c r="V73" s="89"/>
      <c r="W73" s="89"/>
      <c r="X73" s="89"/>
    </row>
    <row r="74" spans="1:31" s="131" customFormat="1" ht="14.65" thickBot="1" x14ac:dyDescent="0.5"/>
    <row r="75" spans="1:31" ht="31.15" thickBot="1" x14ac:dyDescent="0.5">
      <c r="A75" s="679" t="str">
        <f>+A3</f>
        <v>DT 80t</v>
      </c>
      <c r="B75" s="680"/>
      <c r="C75" s="681"/>
      <c r="D75" s="682" t="s">
        <v>2</v>
      </c>
      <c r="E75" s="694"/>
      <c r="F75" s="694"/>
      <c r="G75" s="694"/>
      <c r="H75" s="683"/>
      <c r="I75" s="683"/>
      <c r="J75" s="683"/>
      <c r="K75" s="683"/>
      <c r="L75" s="683"/>
      <c r="M75" s="683"/>
      <c r="N75" s="683"/>
      <c r="O75" s="683"/>
      <c r="P75" s="683"/>
      <c r="Q75" s="683"/>
      <c r="R75" s="683"/>
      <c r="S75" s="683"/>
      <c r="T75" s="683"/>
      <c r="U75" s="683"/>
      <c r="V75" s="683"/>
      <c r="W75" s="683"/>
      <c r="X75" s="684"/>
    </row>
    <row r="76" spans="1:31" ht="28.9" thickBot="1" x14ac:dyDescent="0.5">
      <c r="C76" s="11"/>
      <c r="D76" s="11"/>
      <c r="E76" s="164" t="s">
        <v>77</v>
      </c>
      <c r="F76" s="164" t="s">
        <v>78</v>
      </c>
      <c r="G76" s="164" t="s">
        <v>79</v>
      </c>
      <c r="H76" s="11"/>
      <c r="I76" s="12"/>
      <c r="J76" s="11"/>
      <c r="K76" s="11"/>
      <c r="L76" s="11"/>
      <c r="M76" s="11"/>
      <c r="Q76" s="56">
        <v>416</v>
      </c>
      <c r="U76" s="57">
        <v>0.05</v>
      </c>
    </row>
    <row r="77" spans="1:31" ht="23.65" thickBot="1" x14ac:dyDescent="0.5">
      <c r="A77" s="685" t="s">
        <v>9</v>
      </c>
      <c r="B77" s="686"/>
      <c r="C77" s="687"/>
      <c r="D77" s="11"/>
      <c r="E77" s="165" t="e">
        <v>#REF!</v>
      </c>
      <c r="F77" s="165" t="e">
        <v>#REF!</v>
      </c>
      <c r="G77" s="165" t="e">
        <v>#REF!</v>
      </c>
      <c r="H77" s="11"/>
      <c r="I77" s="688" t="s">
        <v>34</v>
      </c>
      <c r="J77" s="689"/>
      <c r="K77" s="689"/>
      <c r="L77" s="689"/>
      <c r="M77" s="690"/>
      <c r="O77" s="688" t="s">
        <v>35</v>
      </c>
      <c r="P77" s="691"/>
      <c r="Q77" s="689"/>
      <c r="R77" s="689"/>
      <c r="S77" s="689"/>
      <c r="T77" s="689"/>
      <c r="U77" s="689"/>
      <c r="V77" s="689"/>
      <c r="W77" s="692"/>
      <c r="X77" s="693"/>
      <c r="AA77" s="145">
        <v>0</v>
      </c>
    </row>
    <row r="78" spans="1:31" ht="28.9" thickBot="1" x14ac:dyDescent="0.5">
      <c r="A78" s="29" t="s">
        <v>0</v>
      </c>
      <c r="B78" s="28" t="s">
        <v>1</v>
      </c>
      <c r="C78" s="50" t="s">
        <v>10</v>
      </c>
      <c r="D78" s="11"/>
      <c r="E78" s="11"/>
      <c r="F78" s="11"/>
      <c r="G78" s="11"/>
      <c r="H78" s="11"/>
      <c r="I78" s="16" t="s">
        <v>15</v>
      </c>
      <c r="J78" s="17" t="s">
        <v>16</v>
      </c>
      <c r="K78" s="17" t="s">
        <v>17</v>
      </c>
      <c r="L78" s="17" t="s">
        <v>18</v>
      </c>
      <c r="M78" s="18" t="s">
        <v>19</v>
      </c>
      <c r="O78" s="16" t="s">
        <v>15</v>
      </c>
      <c r="P78" s="52" t="s">
        <v>39</v>
      </c>
      <c r="Q78" s="17" t="s">
        <v>36</v>
      </c>
      <c r="R78" s="17" t="s">
        <v>37</v>
      </c>
      <c r="S78" s="17" t="s">
        <v>27</v>
      </c>
      <c r="T78" s="17" t="s">
        <v>38</v>
      </c>
      <c r="U78" s="17" t="s">
        <v>7</v>
      </c>
      <c r="V78" s="17" t="s">
        <v>41</v>
      </c>
      <c r="W78" s="18" t="s">
        <v>40</v>
      </c>
      <c r="X78" s="55" t="s">
        <v>42</v>
      </c>
      <c r="Z78" s="5" t="s">
        <v>71</v>
      </c>
      <c r="AA78" s="5" t="s">
        <v>46</v>
      </c>
      <c r="AB78" s="5" t="s">
        <v>47</v>
      </c>
    </row>
    <row r="79" spans="1:31" x14ac:dyDescent="0.45">
      <c r="A79" s="8">
        <v>1</v>
      </c>
      <c r="B79" s="9" t="s">
        <v>11</v>
      </c>
      <c r="C79" s="61" t="e">
        <v>#REF!</v>
      </c>
      <c r="D79" s="163"/>
      <c r="E79" s="8" t="s">
        <v>61</v>
      </c>
      <c r="F79" s="148" t="e">
        <v>#REF!</v>
      </c>
      <c r="G79" s="106"/>
      <c r="H79" s="11"/>
      <c r="I79" s="15">
        <v>1</v>
      </c>
      <c r="J79" s="77" t="e">
        <f>C79</f>
        <v>#REF!</v>
      </c>
      <c r="K79" s="77" t="e">
        <f>J79*$C$8*30.44/365.25</f>
        <v>#REF!</v>
      </c>
      <c r="L79" s="77" t="e">
        <f>L126</f>
        <v>#REF!</v>
      </c>
      <c r="M79" s="78" t="e">
        <f t="shared" ref="M79:M126" si="27">J79+K79+L79</f>
        <v>#REF!</v>
      </c>
      <c r="O79" s="15">
        <v>1</v>
      </c>
      <c r="P79" s="53">
        <f>Q76</f>
        <v>416</v>
      </c>
      <c r="Q79" s="77">
        <f>$F$42+($Q$4*$G$42)</f>
        <v>14294.709431579955</v>
      </c>
      <c r="R79" s="77" t="e">
        <f>L79</f>
        <v>#REF!</v>
      </c>
      <c r="S79" s="77" t="e">
        <f>-S128/C84</f>
        <v>#REF!</v>
      </c>
      <c r="T79" s="77"/>
      <c r="U79" s="77">
        <f>-Q79*U76</f>
        <v>-714.73547157899782</v>
      </c>
      <c r="V79" s="77">
        <f>-(AB79*$C$9/12)</f>
        <v>-450.77083333333331</v>
      </c>
      <c r="W79" s="83" t="e">
        <f>SUM(Q79:V79)</f>
        <v>#REF!</v>
      </c>
      <c r="X79" s="84" t="e">
        <f>W79</f>
        <v>#REF!</v>
      </c>
      <c r="Z79" s="92">
        <f>+$D$27-(($D$27+$D$28)*O79/$B$22)</f>
        <v>216370</v>
      </c>
      <c r="AA79" s="5">
        <f>+Z79*$AA$5</f>
        <v>0</v>
      </c>
      <c r="AB79" s="92">
        <f>+Z79+AA79</f>
        <v>216370</v>
      </c>
    </row>
    <row r="80" spans="1:31" ht="28.5" x14ac:dyDescent="0.45">
      <c r="A80" s="4">
        <f>A79+1</f>
        <v>2</v>
      </c>
      <c r="B80" s="5" t="s">
        <v>3</v>
      </c>
      <c r="C80" s="51">
        <f t="shared" ref="C80:C86" si="28">+C8</f>
        <v>5.2999999999999999E-2</v>
      </c>
      <c r="D80" s="11"/>
      <c r="E80" s="107" t="s">
        <v>64</v>
      </c>
      <c r="F80" s="314" t="e">
        <v>#REF!</v>
      </c>
      <c r="G80" s="108"/>
      <c r="H80" s="11"/>
      <c r="I80" s="14">
        <f>I79+1</f>
        <v>2</v>
      </c>
      <c r="J80" s="63" t="e">
        <f>M79</f>
        <v>#REF!</v>
      </c>
      <c r="K80" s="63" t="e">
        <f t="shared" ref="K80:K126" si="29">J80*$C$8*30.44/365.25</f>
        <v>#REF!</v>
      </c>
      <c r="L80" s="63" t="e">
        <f>L79</f>
        <v>#REF!</v>
      </c>
      <c r="M80" s="65" t="e">
        <f t="shared" si="27"/>
        <v>#REF!</v>
      </c>
      <c r="O80" s="14">
        <f>O79+1</f>
        <v>2</v>
      </c>
      <c r="P80" s="54">
        <f>P79+$Q$4</f>
        <v>936.125</v>
      </c>
      <c r="Q80" s="63">
        <f>$F$42+($Q$4*$G$42)</f>
        <v>14294.709431579955</v>
      </c>
      <c r="R80" s="63" t="e">
        <f>R79</f>
        <v>#REF!</v>
      </c>
      <c r="S80" s="63" t="e">
        <f>+S79</f>
        <v>#REF!</v>
      </c>
      <c r="T80" s="63"/>
      <c r="U80" s="63">
        <f>U79</f>
        <v>-714.73547157899782</v>
      </c>
      <c r="V80" s="77">
        <f t="shared" ref="V80:V86" si="30">-(AB80*$C$9/12)</f>
        <v>-443.20833333333331</v>
      </c>
      <c r="W80" s="83" t="e">
        <f t="shared" ref="W80:W126" si="31">SUM(Q80:V80)</f>
        <v>#REF!</v>
      </c>
      <c r="X80" s="85" t="e">
        <f>X79+W80</f>
        <v>#REF!</v>
      </c>
      <c r="Z80" s="92">
        <f>+$D$27-(($D$27+$D$28)*O80/$B$22)</f>
        <v>212740</v>
      </c>
      <c r="AA80" s="5">
        <f t="shared" ref="AA80:AA126" si="32">+Z80*$AA$5</f>
        <v>0</v>
      </c>
      <c r="AB80" s="92">
        <f t="shared" ref="AB80:AB126" si="33">+Z80+AA80</f>
        <v>212740</v>
      </c>
    </row>
    <row r="81" spans="1:28" x14ac:dyDescent="0.45">
      <c r="A81" s="4">
        <f t="shared" ref="A81:A86" si="34">A80+1</f>
        <v>3</v>
      </c>
      <c r="B81" s="5" t="s">
        <v>4</v>
      </c>
      <c r="C81" s="51">
        <f t="shared" si="28"/>
        <v>2.5000000000000001E-2</v>
      </c>
      <c r="D81" s="11"/>
      <c r="E81" s="109" t="s">
        <v>69</v>
      </c>
      <c r="F81" s="149">
        <f>+F9</f>
        <v>11000</v>
      </c>
      <c r="G81" s="110"/>
      <c r="H81" s="11"/>
      <c r="I81" s="14">
        <f t="shared" ref="I81:I126" si="35">I80+1</f>
        <v>3</v>
      </c>
      <c r="J81" s="63" t="e">
        <f t="shared" ref="J81:J95" si="36">M80</f>
        <v>#REF!</v>
      </c>
      <c r="K81" s="63" t="e">
        <f t="shared" si="29"/>
        <v>#REF!</v>
      </c>
      <c r="L81" s="63" t="e">
        <f t="shared" ref="L81:L113" si="37">L80</f>
        <v>#REF!</v>
      </c>
      <c r="M81" s="65" t="e">
        <f t="shared" si="27"/>
        <v>#REF!</v>
      </c>
      <c r="O81" s="14">
        <f t="shared" ref="O81:O126" si="38">O80+1</f>
        <v>3</v>
      </c>
      <c r="P81" s="54">
        <f t="shared" ref="P81:P126" si="39">P80+$Q$4</f>
        <v>1456.25</v>
      </c>
      <c r="Q81" s="63">
        <f t="shared" ref="Q81:Q126" si="40">$F$42+($Q$4*$G$42)</f>
        <v>14294.709431579955</v>
      </c>
      <c r="R81" s="63" t="e">
        <f>R80</f>
        <v>#REF!</v>
      </c>
      <c r="S81" s="63" t="e">
        <f t="shared" ref="S81:S126" si="41">+S80</f>
        <v>#REF!</v>
      </c>
      <c r="T81" s="63"/>
      <c r="U81" s="63">
        <f t="shared" ref="U81:U126" si="42">U80</f>
        <v>-714.73547157899782</v>
      </c>
      <c r="V81" s="77">
        <f t="shared" si="30"/>
        <v>-435.64583333333331</v>
      </c>
      <c r="W81" s="83" t="e">
        <f t="shared" si="31"/>
        <v>#REF!</v>
      </c>
      <c r="X81" s="85" t="e">
        <f t="shared" ref="X81:X126" si="43">X80+W81</f>
        <v>#REF!</v>
      </c>
      <c r="Z81" s="92">
        <f t="shared" ref="Z81:Z126" si="44">+$D$27-(($D$27+$D$28)*O81/$B$22)</f>
        <v>209110</v>
      </c>
      <c r="AA81" s="5">
        <f t="shared" si="32"/>
        <v>0</v>
      </c>
      <c r="AB81" s="92">
        <f t="shared" si="33"/>
        <v>209110</v>
      </c>
    </row>
    <row r="82" spans="1:28" ht="14.65" thickBot="1" x14ac:dyDescent="0.5">
      <c r="A82" s="4">
        <f t="shared" si="34"/>
        <v>4</v>
      </c>
      <c r="B82" s="5" t="s">
        <v>5</v>
      </c>
      <c r="C82" s="51">
        <f t="shared" si="28"/>
        <v>0.05</v>
      </c>
      <c r="D82" s="11"/>
      <c r="E82" s="111" t="s">
        <v>52</v>
      </c>
      <c r="F82" s="315" t="e">
        <f>(SUM(F79:F81)*G82)*(1-F77)</f>
        <v>#REF!</v>
      </c>
      <c r="G82" s="128">
        <f>+G10</f>
        <v>0</v>
      </c>
      <c r="H82" s="11"/>
      <c r="I82" s="14">
        <f t="shared" si="35"/>
        <v>4</v>
      </c>
      <c r="J82" s="63" t="e">
        <f t="shared" si="36"/>
        <v>#REF!</v>
      </c>
      <c r="K82" s="63" t="e">
        <f t="shared" si="29"/>
        <v>#REF!</v>
      </c>
      <c r="L82" s="63" t="e">
        <f t="shared" si="37"/>
        <v>#REF!</v>
      </c>
      <c r="M82" s="65" t="e">
        <f t="shared" si="27"/>
        <v>#REF!</v>
      </c>
      <c r="O82" s="14">
        <f t="shared" si="38"/>
        <v>4</v>
      </c>
      <c r="P82" s="54">
        <f t="shared" si="39"/>
        <v>1976.375</v>
      </c>
      <c r="Q82" s="63">
        <f t="shared" si="40"/>
        <v>14294.709431579955</v>
      </c>
      <c r="R82" s="63" t="e">
        <f t="shared" ref="R82:R126" si="45">R81</f>
        <v>#REF!</v>
      </c>
      <c r="S82" s="63" t="e">
        <f t="shared" si="41"/>
        <v>#REF!</v>
      </c>
      <c r="T82" s="63"/>
      <c r="U82" s="63">
        <f t="shared" si="42"/>
        <v>-714.73547157899782</v>
      </c>
      <c r="V82" s="77">
        <f t="shared" si="30"/>
        <v>-428.08333333333331</v>
      </c>
      <c r="W82" s="83" t="e">
        <f t="shared" si="31"/>
        <v>#REF!</v>
      </c>
      <c r="X82" s="85" t="e">
        <f t="shared" si="43"/>
        <v>#REF!</v>
      </c>
      <c r="Z82" s="92">
        <f t="shared" si="44"/>
        <v>205480</v>
      </c>
      <c r="AA82" s="5">
        <f t="shared" si="32"/>
        <v>0</v>
      </c>
      <c r="AB82" s="92">
        <f t="shared" si="33"/>
        <v>205480</v>
      </c>
    </row>
    <row r="83" spans="1:28" ht="14.65" thickBot="1" x14ac:dyDescent="0.5">
      <c r="A83" s="4">
        <f t="shared" si="34"/>
        <v>5</v>
      </c>
      <c r="B83" s="5" t="s">
        <v>12</v>
      </c>
      <c r="C83" s="51">
        <f t="shared" si="28"/>
        <v>0.01</v>
      </c>
      <c r="D83" s="11"/>
      <c r="E83" s="112" t="s">
        <v>28</v>
      </c>
      <c r="F83" s="313" t="e">
        <f>SUM(F79:F82)</f>
        <v>#REF!</v>
      </c>
      <c r="G83" s="113"/>
      <c r="H83" s="11"/>
      <c r="I83" s="14">
        <f t="shared" si="35"/>
        <v>5</v>
      </c>
      <c r="J83" s="63" t="e">
        <f t="shared" si="36"/>
        <v>#REF!</v>
      </c>
      <c r="K83" s="63" t="e">
        <f t="shared" si="29"/>
        <v>#REF!</v>
      </c>
      <c r="L83" s="63" t="e">
        <f t="shared" si="37"/>
        <v>#REF!</v>
      </c>
      <c r="M83" s="65" t="e">
        <f t="shared" si="27"/>
        <v>#REF!</v>
      </c>
      <c r="O83" s="14">
        <f t="shared" si="38"/>
        <v>5</v>
      </c>
      <c r="P83" s="54">
        <f t="shared" si="39"/>
        <v>2496.5</v>
      </c>
      <c r="Q83" s="63">
        <f t="shared" si="40"/>
        <v>14294.709431579955</v>
      </c>
      <c r="R83" s="63" t="e">
        <f t="shared" si="45"/>
        <v>#REF!</v>
      </c>
      <c r="S83" s="63" t="e">
        <f t="shared" si="41"/>
        <v>#REF!</v>
      </c>
      <c r="T83" s="63"/>
      <c r="U83" s="63">
        <f t="shared" si="42"/>
        <v>-714.73547157899782</v>
      </c>
      <c r="V83" s="77">
        <f t="shared" si="30"/>
        <v>-420.52083333333331</v>
      </c>
      <c r="W83" s="83" t="e">
        <f t="shared" si="31"/>
        <v>#REF!</v>
      </c>
      <c r="X83" s="85" t="e">
        <f t="shared" si="43"/>
        <v>#REF!</v>
      </c>
      <c r="Z83" s="92">
        <f t="shared" si="44"/>
        <v>201850</v>
      </c>
      <c r="AA83" s="5">
        <f t="shared" si="32"/>
        <v>0</v>
      </c>
      <c r="AB83" s="92">
        <f t="shared" si="33"/>
        <v>201850</v>
      </c>
    </row>
    <row r="84" spans="1:28" x14ac:dyDescent="0.45">
      <c r="A84" s="4">
        <f t="shared" si="34"/>
        <v>6</v>
      </c>
      <c r="B84" s="5" t="s">
        <v>13</v>
      </c>
      <c r="C84" s="166">
        <f t="shared" si="28"/>
        <v>60</v>
      </c>
      <c r="D84" s="11"/>
      <c r="E84" s="11"/>
      <c r="F84" s="11"/>
      <c r="G84" s="11"/>
      <c r="H84" s="11"/>
      <c r="I84" s="14">
        <f t="shared" si="35"/>
        <v>6</v>
      </c>
      <c r="J84" s="63" t="e">
        <f t="shared" si="36"/>
        <v>#REF!</v>
      </c>
      <c r="K84" s="63" t="e">
        <f t="shared" si="29"/>
        <v>#REF!</v>
      </c>
      <c r="L84" s="63" t="e">
        <f t="shared" si="37"/>
        <v>#REF!</v>
      </c>
      <c r="M84" s="65" t="e">
        <f t="shared" si="27"/>
        <v>#REF!</v>
      </c>
      <c r="O84" s="14">
        <f t="shared" si="38"/>
        <v>6</v>
      </c>
      <c r="P84" s="54">
        <f t="shared" si="39"/>
        <v>3016.625</v>
      </c>
      <c r="Q84" s="63">
        <f t="shared" si="40"/>
        <v>14294.709431579955</v>
      </c>
      <c r="R84" s="63" t="e">
        <f t="shared" si="45"/>
        <v>#REF!</v>
      </c>
      <c r="S84" s="63" t="e">
        <f t="shared" si="41"/>
        <v>#REF!</v>
      </c>
      <c r="T84" s="63"/>
      <c r="U84" s="63">
        <f t="shared" si="42"/>
        <v>-714.73547157899782</v>
      </c>
      <c r="V84" s="77">
        <f t="shared" si="30"/>
        <v>-412.95833333333331</v>
      </c>
      <c r="W84" s="83" t="e">
        <f t="shared" si="31"/>
        <v>#REF!</v>
      </c>
      <c r="X84" s="85" t="e">
        <f t="shared" si="43"/>
        <v>#REF!</v>
      </c>
      <c r="Z84" s="92">
        <f t="shared" si="44"/>
        <v>198220</v>
      </c>
      <c r="AA84" s="5">
        <f t="shared" si="32"/>
        <v>0</v>
      </c>
      <c r="AB84" s="92">
        <f t="shared" si="33"/>
        <v>198220</v>
      </c>
    </row>
    <row r="85" spans="1:28" x14ac:dyDescent="0.45">
      <c r="A85" s="4">
        <f t="shared" si="34"/>
        <v>7</v>
      </c>
      <c r="B85" s="5" t="s">
        <v>14</v>
      </c>
      <c r="C85" s="166">
        <f t="shared" si="28"/>
        <v>12000</v>
      </c>
      <c r="D85" s="11"/>
      <c r="E85" s="11"/>
      <c r="F85" s="11"/>
      <c r="G85" s="11"/>
      <c r="H85" s="11"/>
      <c r="I85" s="14">
        <f t="shared" si="35"/>
        <v>7</v>
      </c>
      <c r="J85" s="63" t="e">
        <f t="shared" si="36"/>
        <v>#REF!</v>
      </c>
      <c r="K85" s="63" t="e">
        <f t="shared" si="29"/>
        <v>#REF!</v>
      </c>
      <c r="L85" s="63" t="e">
        <f t="shared" si="37"/>
        <v>#REF!</v>
      </c>
      <c r="M85" s="65" t="e">
        <f t="shared" si="27"/>
        <v>#REF!</v>
      </c>
      <c r="O85" s="14">
        <f t="shared" si="38"/>
        <v>7</v>
      </c>
      <c r="P85" s="54">
        <f t="shared" si="39"/>
        <v>3536.75</v>
      </c>
      <c r="Q85" s="63">
        <f t="shared" si="40"/>
        <v>14294.709431579955</v>
      </c>
      <c r="R85" s="63" t="e">
        <f t="shared" si="45"/>
        <v>#REF!</v>
      </c>
      <c r="S85" s="63" t="e">
        <f t="shared" si="41"/>
        <v>#REF!</v>
      </c>
      <c r="T85" s="63"/>
      <c r="U85" s="63">
        <f t="shared" si="42"/>
        <v>-714.73547157899782</v>
      </c>
      <c r="V85" s="77">
        <f t="shared" si="30"/>
        <v>-405.39583333333331</v>
      </c>
      <c r="W85" s="83" t="e">
        <f t="shared" si="31"/>
        <v>#REF!</v>
      </c>
      <c r="X85" s="85" t="e">
        <f t="shared" si="43"/>
        <v>#REF!</v>
      </c>
      <c r="Z85" s="92">
        <f t="shared" si="44"/>
        <v>194590</v>
      </c>
      <c r="AA85" s="5">
        <f t="shared" si="32"/>
        <v>0</v>
      </c>
      <c r="AB85" s="92">
        <f t="shared" si="33"/>
        <v>194590</v>
      </c>
    </row>
    <row r="86" spans="1:28" ht="14.65" thickBot="1" x14ac:dyDescent="0.5">
      <c r="A86" s="6">
        <f t="shared" si="34"/>
        <v>8</v>
      </c>
      <c r="B86" s="7" t="s">
        <v>33</v>
      </c>
      <c r="C86" s="51">
        <f t="shared" si="28"/>
        <v>0.9</v>
      </c>
      <c r="D86" s="11"/>
      <c r="E86" s="11"/>
      <c r="F86" s="11"/>
      <c r="G86" s="11"/>
      <c r="H86" s="11"/>
      <c r="I86" s="14">
        <f t="shared" si="35"/>
        <v>8</v>
      </c>
      <c r="J86" s="63" t="e">
        <f t="shared" si="36"/>
        <v>#REF!</v>
      </c>
      <c r="K86" s="63" t="e">
        <f t="shared" si="29"/>
        <v>#REF!</v>
      </c>
      <c r="L86" s="63" t="e">
        <f t="shared" si="37"/>
        <v>#REF!</v>
      </c>
      <c r="M86" s="65" t="e">
        <f t="shared" si="27"/>
        <v>#REF!</v>
      </c>
      <c r="O86" s="14">
        <f t="shared" si="38"/>
        <v>8</v>
      </c>
      <c r="P86" s="54">
        <f t="shared" si="39"/>
        <v>4056.875</v>
      </c>
      <c r="Q86" s="63">
        <f t="shared" si="40"/>
        <v>14294.709431579955</v>
      </c>
      <c r="R86" s="63" t="e">
        <f t="shared" si="45"/>
        <v>#REF!</v>
      </c>
      <c r="S86" s="63" t="e">
        <f t="shared" si="41"/>
        <v>#REF!</v>
      </c>
      <c r="T86" s="63"/>
      <c r="U86" s="63">
        <f t="shared" si="42"/>
        <v>-714.73547157899782</v>
      </c>
      <c r="V86" s="77">
        <f t="shared" si="30"/>
        <v>-397.83333333333331</v>
      </c>
      <c r="W86" s="83" t="e">
        <f t="shared" si="31"/>
        <v>#REF!</v>
      </c>
      <c r="X86" s="85" t="e">
        <f t="shared" si="43"/>
        <v>#REF!</v>
      </c>
      <c r="Z86" s="92">
        <f t="shared" si="44"/>
        <v>190960</v>
      </c>
      <c r="AA86" s="5">
        <f t="shared" si="32"/>
        <v>0</v>
      </c>
      <c r="AB86" s="92">
        <f t="shared" si="33"/>
        <v>190960</v>
      </c>
    </row>
    <row r="87" spans="1:28" ht="14.65" thickBot="1" x14ac:dyDescent="0.5">
      <c r="C87" s="11"/>
      <c r="D87" s="11"/>
      <c r="E87" s="11"/>
      <c r="F87" s="11"/>
      <c r="G87" s="11"/>
      <c r="H87" s="11"/>
      <c r="I87" s="14">
        <f t="shared" si="35"/>
        <v>9</v>
      </c>
      <c r="J87" s="63" t="e">
        <f t="shared" si="36"/>
        <v>#REF!</v>
      </c>
      <c r="K87" s="63" t="e">
        <f t="shared" si="29"/>
        <v>#REF!</v>
      </c>
      <c r="L87" s="63" t="e">
        <f t="shared" si="37"/>
        <v>#REF!</v>
      </c>
      <c r="M87" s="65" t="e">
        <f t="shared" si="27"/>
        <v>#REF!</v>
      </c>
      <c r="O87" s="14">
        <f t="shared" si="38"/>
        <v>9</v>
      </c>
      <c r="P87" s="54">
        <f t="shared" si="39"/>
        <v>4577</v>
      </c>
      <c r="Q87" s="63">
        <f t="shared" si="40"/>
        <v>14294.709431579955</v>
      </c>
      <c r="R87" s="63" t="e">
        <f t="shared" si="45"/>
        <v>#REF!</v>
      </c>
      <c r="S87" s="63" t="e">
        <f t="shared" si="41"/>
        <v>#REF!</v>
      </c>
      <c r="T87" s="63"/>
      <c r="U87" s="63">
        <f t="shared" si="42"/>
        <v>-714.73547157899782</v>
      </c>
      <c r="V87" s="77">
        <f>-(AB87*$C$9/12)</f>
        <v>-390.27083333333331</v>
      </c>
      <c r="W87" s="83" t="e">
        <f t="shared" si="31"/>
        <v>#REF!</v>
      </c>
      <c r="X87" s="85" t="e">
        <f t="shared" si="43"/>
        <v>#REF!</v>
      </c>
      <c r="Z87" s="92">
        <f t="shared" si="44"/>
        <v>187330</v>
      </c>
      <c r="AA87" s="5">
        <f t="shared" si="32"/>
        <v>0</v>
      </c>
      <c r="AB87" s="92">
        <f t="shared" si="33"/>
        <v>187330</v>
      </c>
    </row>
    <row r="88" spans="1:28" ht="16.149999999999999" thickBot="1" x14ac:dyDescent="0.5">
      <c r="A88" s="661" t="s">
        <v>43</v>
      </c>
      <c r="B88" s="662"/>
      <c r="C88" s="662"/>
      <c r="D88" s="662"/>
      <c r="E88" s="663"/>
      <c r="F88" s="1"/>
      <c r="G88" s="1"/>
      <c r="H88" s="117"/>
      <c r="I88" s="14">
        <f t="shared" si="35"/>
        <v>10</v>
      </c>
      <c r="J88" s="63" t="e">
        <f t="shared" si="36"/>
        <v>#REF!</v>
      </c>
      <c r="K88" s="63" t="e">
        <f t="shared" si="29"/>
        <v>#REF!</v>
      </c>
      <c r="L88" s="63" t="e">
        <f t="shared" si="37"/>
        <v>#REF!</v>
      </c>
      <c r="M88" s="65" t="e">
        <f t="shared" si="27"/>
        <v>#REF!</v>
      </c>
      <c r="O88" s="14">
        <f t="shared" si="38"/>
        <v>10</v>
      </c>
      <c r="P88" s="54">
        <f t="shared" si="39"/>
        <v>5097.125</v>
      </c>
      <c r="Q88" s="63">
        <f t="shared" si="40"/>
        <v>14294.709431579955</v>
      </c>
      <c r="R88" s="63" t="e">
        <f t="shared" si="45"/>
        <v>#REF!</v>
      </c>
      <c r="S88" s="63" t="e">
        <f t="shared" si="41"/>
        <v>#REF!</v>
      </c>
      <c r="T88" s="63"/>
      <c r="U88" s="63">
        <f t="shared" si="42"/>
        <v>-714.73547157899782</v>
      </c>
      <c r="V88" s="77">
        <f t="shared" ref="V88:V126" si="46">-(AB88*$C$9/12)</f>
        <v>-382.70833333333331</v>
      </c>
      <c r="W88" s="83" t="e">
        <f t="shared" si="31"/>
        <v>#REF!</v>
      </c>
      <c r="X88" s="85" t="e">
        <f t="shared" si="43"/>
        <v>#REF!</v>
      </c>
      <c r="Z88" s="92">
        <f t="shared" si="44"/>
        <v>183700</v>
      </c>
      <c r="AA88" s="5">
        <f t="shared" si="32"/>
        <v>0</v>
      </c>
      <c r="AB88" s="92">
        <f t="shared" si="33"/>
        <v>183700</v>
      </c>
    </row>
    <row r="89" spans="1:28" ht="14.65" thickBot="1" x14ac:dyDescent="0.5">
      <c r="A89" s="97" t="s">
        <v>44</v>
      </c>
      <c r="B89" s="98" t="s">
        <v>48</v>
      </c>
      <c r="C89" s="98" t="s">
        <v>45</v>
      </c>
      <c r="D89" s="99" t="s">
        <v>46</v>
      </c>
      <c r="E89" s="55" t="s">
        <v>47</v>
      </c>
      <c r="F89" s="1"/>
      <c r="G89" s="1"/>
      <c r="H89" s="117"/>
      <c r="I89" s="14">
        <f t="shared" si="35"/>
        <v>11</v>
      </c>
      <c r="J89" s="63" t="e">
        <f t="shared" si="36"/>
        <v>#REF!</v>
      </c>
      <c r="K89" s="63" t="e">
        <f t="shared" si="29"/>
        <v>#REF!</v>
      </c>
      <c r="L89" s="63" t="e">
        <f t="shared" si="37"/>
        <v>#REF!</v>
      </c>
      <c r="M89" s="65" t="e">
        <f t="shared" si="27"/>
        <v>#REF!</v>
      </c>
      <c r="O89" s="14">
        <f t="shared" si="38"/>
        <v>11</v>
      </c>
      <c r="P89" s="54">
        <f t="shared" si="39"/>
        <v>5617.25</v>
      </c>
      <c r="Q89" s="63">
        <f t="shared" si="40"/>
        <v>14294.709431579955</v>
      </c>
      <c r="R89" s="63" t="e">
        <f t="shared" si="45"/>
        <v>#REF!</v>
      </c>
      <c r="S89" s="63" t="e">
        <f t="shared" si="41"/>
        <v>#REF!</v>
      </c>
      <c r="T89" s="63"/>
      <c r="U89" s="63">
        <f t="shared" si="42"/>
        <v>-714.73547157899782</v>
      </c>
      <c r="V89" s="77">
        <f t="shared" si="46"/>
        <v>-375.14583333333331</v>
      </c>
      <c r="W89" s="83" t="e">
        <f t="shared" si="31"/>
        <v>#REF!</v>
      </c>
      <c r="X89" s="85" t="e">
        <f t="shared" si="43"/>
        <v>#REF!</v>
      </c>
      <c r="Z89" s="92">
        <f t="shared" si="44"/>
        <v>180070</v>
      </c>
      <c r="AA89" s="5">
        <f t="shared" si="32"/>
        <v>0</v>
      </c>
      <c r="AB89" s="92">
        <f t="shared" si="33"/>
        <v>180070</v>
      </c>
    </row>
    <row r="90" spans="1:28" x14ac:dyDescent="0.45">
      <c r="A90" s="94">
        <v>1</v>
      </c>
      <c r="B90" s="95">
        <v>12</v>
      </c>
      <c r="C90" s="96">
        <f>D$27-(D$27+D$28)*B90/60</f>
        <v>176440</v>
      </c>
      <c r="D90" s="100">
        <v>0.1</v>
      </c>
      <c r="E90" s="103">
        <f t="shared" ref="E90:E95" si="47">C90/(100%-D90)</f>
        <v>196044.44444444444</v>
      </c>
      <c r="F90" s="11"/>
      <c r="G90" s="11"/>
      <c r="H90" s="11"/>
      <c r="I90" s="14">
        <f t="shared" si="35"/>
        <v>12</v>
      </c>
      <c r="J90" s="63" t="e">
        <f t="shared" si="36"/>
        <v>#REF!</v>
      </c>
      <c r="K90" s="63" t="e">
        <f t="shared" si="29"/>
        <v>#REF!</v>
      </c>
      <c r="L90" s="63" t="e">
        <f t="shared" si="37"/>
        <v>#REF!</v>
      </c>
      <c r="M90" s="65" t="e">
        <f t="shared" si="27"/>
        <v>#REF!</v>
      </c>
      <c r="O90" s="14">
        <f t="shared" si="38"/>
        <v>12</v>
      </c>
      <c r="P90" s="54">
        <f t="shared" si="39"/>
        <v>6137.375</v>
      </c>
      <c r="Q90" s="63">
        <f t="shared" si="40"/>
        <v>14294.709431579955</v>
      </c>
      <c r="R90" s="63" t="e">
        <f t="shared" si="45"/>
        <v>#REF!</v>
      </c>
      <c r="S90" s="63" t="e">
        <f t="shared" si="41"/>
        <v>#REF!</v>
      </c>
      <c r="T90" s="63"/>
      <c r="U90" s="63">
        <f t="shared" si="42"/>
        <v>-714.73547157899782</v>
      </c>
      <c r="V90" s="77">
        <f t="shared" si="46"/>
        <v>-367.58333333333331</v>
      </c>
      <c r="W90" s="83" t="e">
        <f t="shared" si="31"/>
        <v>#REF!</v>
      </c>
      <c r="X90" s="85" t="e">
        <f t="shared" si="43"/>
        <v>#REF!</v>
      </c>
      <c r="Z90" s="92">
        <f t="shared" si="44"/>
        <v>176440</v>
      </c>
      <c r="AA90" s="5">
        <f t="shared" si="32"/>
        <v>0</v>
      </c>
      <c r="AB90" s="92">
        <f t="shared" si="33"/>
        <v>176440</v>
      </c>
    </row>
    <row r="91" spans="1:28" x14ac:dyDescent="0.45">
      <c r="A91" s="4">
        <f>A90+1</f>
        <v>2</v>
      </c>
      <c r="B91" s="5">
        <f>B90+12</f>
        <v>24</v>
      </c>
      <c r="C91" s="92">
        <f>D$27-(D$27+D$28)*B91/60</f>
        <v>132880</v>
      </c>
      <c r="D91" s="101">
        <f>D90</f>
        <v>0.1</v>
      </c>
      <c r="E91" s="104">
        <f t="shared" si="47"/>
        <v>147644.44444444444</v>
      </c>
      <c r="F91" s="11"/>
      <c r="G91" s="11"/>
      <c r="H91" s="11"/>
      <c r="I91" s="14">
        <f t="shared" si="35"/>
        <v>13</v>
      </c>
      <c r="J91" s="63" t="e">
        <f t="shared" si="36"/>
        <v>#REF!</v>
      </c>
      <c r="K91" s="63" t="e">
        <f t="shared" si="29"/>
        <v>#REF!</v>
      </c>
      <c r="L91" s="63" t="e">
        <f t="shared" si="37"/>
        <v>#REF!</v>
      </c>
      <c r="M91" s="65" t="e">
        <f t="shared" si="27"/>
        <v>#REF!</v>
      </c>
      <c r="O91" s="14">
        <f t="shared" si="38"/>
        <v>13</v>
      </c>
      <c r="P91" s="54">
        <f t="shared" si="39"/>
        <v>6657.5</v>
      </c>
      <c r="Q91" s="63">
        <f t="shared" si="40"/>
        <v>14294.709431579955</v>
      </c>
      <c r="R91" s="63" t="e">
        <f t="shared" si="45"/>
        <v>#REF!</v>
      </c>
      <c r="S91" s="63" t="e">
        <f t="shared" si="41"/>
        <v>#REF!</v>
      </c>
      <c r="T91" s="63"/>
      <c r="U91" s="63">
        <f t="shared" si="42"/>
        <v>-714.73547157899782</v>
      </c>
      <c r="V91" s="77">
        <f t="shared" si="46"/>
        <v>-360.02083333333331</v>
      </c>
      <c r="W91" s="83" t="e">
        <f t="shared" si="31"/>
        <v>#REF!</v>
      </c>
      <c r="X91" s="85" t="e">
        <f t="shared" si="43"/>
        <v>#REF!</v>
      </c>
      <c r="Z91" s="92">
        <f t="shared" si="44"/>
        <v>172810</v>
      </c>
      <c r="AA91" s="5">
        <f t="shared" si="32"/>
        <v>0</v>
      </c>
      <c r="AB91" s="92">
        <f t="shared" si="33"/>
        <v>172810</v>
      </c>
    </row>
    <row r="92" spans="1:28" x14ac:dyDescent="0.45">
      <c r="A92" s="4">
        <f>A91+1</f>
        <v>3</v>
      </c>
      <c r="B92" s="5">
        <f>B91+12</f>
        <v>36</v>
      </c>
      <c r="C92" s="92">
        <f>D$27-(D$27+D$28)*B92/60</f>
        <v>89320</v>
      </c>
      <c r="D92" s="101">
        <f>D91</f>
        <v>0.1</v>
      </c>
      <c r="E92" s="104">
        <f t="shared" si="47"/>
        <v>99244.444444444438</v>
      </c>
      <c r="F92" s="11"/>
      <c r="G92" s="11"/>
      <c r="H92" s="11"/>
      <c r="I92" s="14">
        <f t="shared" si="35"/>
        <v>14</v>
      </c>
      <c r="J92" s="63" t="e">
        <f t="shared" si="36"/>
        <v>#REF!</v>
      </c>
      <c r="K92" s="63" t="e">
        <f t="shared" si="29"/>
        <v>#REF!</v>
      </c>
      <c r="L92" s="63" t="e">
        <f t="shared" si="37"/>
        <v>#REF!</v>
      </c>
      <c r="M92" s="65" t="e">
        <f t="shared" si="27"/>
        <v>#REF!</v>
      </c>
      <c r="O92" s="14">
        <f t="shared" si="38"/>
        <v>14</v>
      </c>
      <c r="P92" s="54">
        <f t="shared" si="39"/>
        <v>7177.625</v>
      </c>
      <c r="Q92" s="63">
        <f t="shared" si="40"/>
        <v>14294.709431579955</v>
      </c>
      <c r="R92" s="63" t="e">
        <f t="shared" si="45"/>
        <v>#REF!</v>
      </c>
      <c r="S92" s="63" t="e">
        <f t="shared" si="41"/>
        <v>#REF!</v>
      </c>
      <c r="T92" s="63"/>
      <c r="U92" s="63">
        <f t="shared" si="42"/>
        <v>-714.73547157899782</v>
      </c>
      <c r="V92" s="77">
        <f t="shared" si="46"/>
        <v>-352.45833333333331</v>
      </c>
      <c r="W92" s="83" t="e">
        <f t="shared" si="31"/>
        <v>#REF!</v>
      </c>
      <c r="X92" s="85" t="e">
        <f t="shared" si="43"/>
        <v>#REF!</v>
      </c>
      <c r="Z92" s="92">
        <f t="shared" si="44"/>
        <v>169180</v>
      </c>
      <c r="AA92" s="5">
        <f t="shared" si="32"/>
        <v>0</v>
      </c>
      <c r="AB92" s="92">
        <f t="shared" si="33"/>
        <v>169180</v>
      </c>
    </row>
    <row r="93" spans="1:28" x14ac:dyDescent="0.45">
      <c r="A93" s="4">
        <f>A92+1</f>
        <v>4</v>
      </c>
      <c r="B93" s="5">
        <f>B92+12</f>
        <v>48</v>
      </c>
      <c r="C93" s="92">
        <f>D$27-(D$27+D$28)*B93/60</f>
        <v>45760</v>
      </c>
      <c r="D93" s="101">
        <f>D92</f>
        <v>0.1</v>
      </c>
      <c r="E93" s="104">
        <f t="shared" si="47"/>
        <v>50844.444444444445</v>
      </c>
      <c r="F93" s="11"/>
      <c r="G93" s="11"/>
      <c r="H93" s="11"/>
      <c r="I93" s="14">
        <f t="shared" si="35"/>
        <v>15</v>
      </c>
      <c r="J93" s="63" t="e">
        <f t="shared" si="36"/>
        <v>#REF!</v>
      </c>
      <c r="K93" s="63" t="e">
        <f t="shared" si="29"/>
        <v>#REF!</v>
      </c>
      <c r="L93" s="63" t="e">
        <f t="shared" si="37"/>
        <v>#REF!</v>
      </c>
      <c r="M93" s="65" t="e">
        <f t="shared" si="27"/>
        <v>#REF!</v>
      </c>
      <c r="O93" s="14">
        <f t="shared" si="38"/>
        <v>15</v>
      </c>
      <c r="P93" s="54">
        <f t="shared" si="39"/>
        <v>7697.75</v>
      </c>
      <c r="Q93" s="63">
        <f t="shared" si="40"/>
        <v>14294.709431579955</v>
      </c>
      <c r="R93" s="63" t="e">
        <f t="shared" si="45"/>
        <v>#REF!</v>
      </c>
      <c r="S93" s="63" t="e">
        <f t="shared" si="41"/>
        <v>#REF!</v>
      </c>
      <c r="T93" s="63"/>
      <c r="U93" s="63">
        <f t="shared" si="42"/>
        <v>-714.73547157899782</v>
      </c>
      <c r="V93" s="77">
        <f t="shared" si="46"/>
        <v>-344.89583333333331</v>
      </c>
      <c r="W93" s="83" t="e">
        <f t="shared" si="31"/>
        <v>#REF!</v>
      </c>
      <c r="X93" s="85" t="e">
        <f t="shared" si="43"/>
        <v>#REF!</v>
      </c>
      <c r="Z93" s="92">
        <f t="shared" si="44"/>
        <v>165550</v>
      </c>
      <c r="AA93" s="5">
        <f t="shared" si="32"/>
        <v>0</v>
      </c>
      <c r="AB93" s="92">
        <f t="shared" si="33"/>
        <v>165550</v>
      </c>
    </row>
    <row r="94" spans="1:28" x14ac:dyDescent="0.45">
      <c r="A94" s="4">
        <f>A93+1</f>
        <v>5</v>
      </c>
      <c r="B94" s="5">
        <f>B93+12</f>
        <v>60</v>
      </c>
      <c r="C94" s="92">
        <f>D$27-(D$27+D$28)*B94/60</f>
        <v>2200</v>
      </c>
      <c r="D94" s="101">
        <f>D93</f>
        <v>0.1</v>
      </c>
      <c r="E94" s="104">
        <f t="shared" si="47"/>
        <v>2444.4444444444443</v>
      </c>
      <c r="F94" s="11"/>
      <c r="G94" s="11"/>
      <c r="H94" s="11"/>
      <c r="I94" s="14">
        <f t="shared" si="35"/>
        <v>16</v>
      </c>
      <c r="J94" s="63" t="e">
        <f t="shared" si="36"/>
        <v>#REF!</v>
      </c>
      <c r="K94" s="63" t="e">
        <f t="shared" si="29"/>
        <v>#REF!</v>
      </c>
      <c r="L94" s="63" t="e">
        <f t="shared" si="37"/>
        <v>#REF!</v>
      </c>
      <c r="M94" s="65" t="e">
        <f t="shared" si="27"/>
        <v>#REF!</v>
      </c>
      <c r="O94" s="14">
        <f t="shared" si="38"/>
        <v>16</v>
      </c>
      <c r="P94" s="54">
        <f t="shared" si="39"/>
        <v>8217.875</v>
      </c>
      <c r="Q94" s="63">
        <f t="shared" si="40"/>
        <v>14294.709431579955</v>
      </c>
      <c r="R94" s="63" t="e">
        <f t="shared" si="45"/>
        <v>#REF!</v>
      </c>
      <c r="S94" s="63" t="e">
        <f t="shared" si="41"/>
        <v>#REF!</v>
      </c>
      <c r="T94" s="63"/>
      <c r="U94" s="63">
        <f t="shared" si="42"/>
        <v>-714.73547157899782</v>
      </c>
      <c r="V94" s="77">
        <f t="shared" si="46"/>
        <v>-337.33333333333331</v>
      </c>
      <c r="W94" s="83" t="e">
        <f t="shared" si="31"/>
        <v>#REF!</v>
      </c>
      <c r="X94" s="85" t="e">
        <f t="shared" si="43"/>
        <v>#REF!</v>
      </c>
      <c r="Z94" s="92">
        <f t="shared" si="44"/>
        <v>161920</v>
      </c>
      <c r="AA94" s="5">
        <f t="shared" si="32"/>
        <v>0</v>
      </c>
      <c r="AB94" s="92">
        <f t="shared" si="33"/>
        <v>161920</v>
      </c>
    </row>
    <row r="95" spans="1:28" ht="14.65" thickBot="1" x14ac:dyDescent="0.5">
      <c r="A95" s="6">
        <f>A94+1</f>
        <v>6</v>
      </c>
      <c r="B95" s="7">
        <f>B94+12</f>
        <v>72</v>
      </c>
      <c r="C95" s="93">
        <v>1</v>
      </c>
      <c r="D95" s="102">
        <f>D94</f>
        <v>0.1</v>
      </c>
      <c r="E95" s="105">
        <f t="shared" si="47"/>
        <v>1.1111111111111112</v>
      </c>
      <c r="H95" s="11"/>
      <c r="I95" s="14">
        <f t="shared" si="35"/>
        <v>17</v>
      </c>
      <c r="J95" s="63" t="e">
        <f t="shared" si="36"/>
        <v>#REF!</v>
      </c>
      <c r="K95" s="63" t="e">
        <f t="shared" si="29"/>
        <v>#REF!</v>
      </c>
      <c r="L95" s="63" t="e">
        <f t="shared" si="37"/>
        <v>#REF!</v>
      </c>
      <c r="M95" s="65" t="e">
        <f t="shared" si="27"/>
        <v>#REF!</v>
      </c>
      <c r="O95" s="14">
        <f t="shared" si="38"/>
        <v>17</v>
      </c>
      <c r="P95" s="54">
        <f t="shared" si="39"/>
        <v>8738</v>
      </c>
      <c r="Q95" s="63">
        <f t="shared" si="40"/>
        <v>14294.709431579955</v>
      </c>
      <c r="R95" s="63" t="e">
        <f t="shared" si="45"/>
        <v>#REF!</v>
      </c>
      <c r="S95" s="63" t="e">
        <f t="shared" si="41"/>
        <v>#REF!</v>
      </c>
      <c r="T95" s="63"/>
      <c r="U95" s="63">
        <f t="shared" si="42"/>
        <v>-714.73547157899782</v>
      </c>
      <c r="V95" s="77">
        <f t="shared" si="46"/>
        <v>-329.77083333333331</v>
      </c>
      <c r="W95" s="83" t="e">
        <f t="shared" si="31"/>
        <v>#REF!</v>
      </c>
      <c r="X95" s="85" t="e">
        <f t="shared" si="43"/>
        <v>#REF!</v>
      </c>
      <c r="Z95" s="92">
        <f t="shared" si="44"/>
        <v>158290</v>
      </c>
      <c r="AA95" s="5">
        <f t="shared" si="32"/>
        <v>0</v>
      </c>
      <c r="AB95" s="92">
        <f t="shared" si="33"/>
        <v>158290</v>
      </c>
    </row>
    <row r="96" spans="1:28" ht="14.65" thickBot="1" x14ac:dyDescent="0.5">
      <c r="H96" s="11"/>
      <c r="I96" s="14">
        <f>I95+1</f>
        <v>18</v>
      </c>
      <c r="J96" s="63" t="e">
        <f>M95</f>
        <v>#REF!</v>
      </c>
      <c r="K96" s="63" t="e">
        <f t="shared" si="29"/>
        <v>#REF!</v>
      </c>
      <c r="L96" s="63" t="e">
        <f>L95</f>
        <v>#REF!</v>
      </c>
      <c r="M96" s="65" t="e">
        <f t="shared" si="27"/>
        <v>#REF!</v>
      </c>
      <c r="O96" s="14">
        <f>O95+1</f>
        <v>18</v>
      </c>
      <c r="P96" s="54">
        <f t="shared" si="39"/>
        <v>9258.125</v>
      </c>
      <c r="Q96" s="63">
        <f t="shared" si="40"/>
        <v>14294.709431579955</v>
      </c>
      <c r="R96" s="63" t="e">
        <f t="shared" si="45"/>
        <v>#REF!</v>
      </c>
      <c r="S96" s="63" t="e">
        <f t="shared" si="41"/>
        <v>#REF!</v>
      </c>
      <c r="T96" s="63"/>
      <c r="U96" s="63">
        <f t="shared" si="42"/>
        <v>-714.73547157899782</v>
      </c>
      <c r="V96" s="77">
        <f t="shared" si="46"/>
        <v>-322.20833333333331</v>
      </c>
      <c r="W96" s="83" t="e">
        <f t="shared" si="31"/>
        <v>#REF!</v>
      </c>
      <c r="X96" s="85" t="e">
        <f t="shared" si="43"/>
        <v>#REF!</v>
      </c>
      <c r="Z96" s="92">
        <f t="shared" si="44"/>
        <v>154660</v>
      </c>
      <c r="AA96" s="5">
        <f t="shared" si="32"/>
        <v>0</v>
      </c>
      <c r="AB96" s="92">
        <f t="shared" si="33"/>
        <v>154660</v>
      </c>
    </row>
    <row r="97" spans="1:28" ht="31.15" thickBot="1" x14ac:dyDescent="0.5">
      <c r="A97" s="664" t="s">
        <v>21</v>
      </c>
      <c r="B97" s="665"/>
      <c r="C97" s="665"/>
      <c r="D97" s="665"/>
      <c r="E97" s="665"/>
      <c r="F97" s="665"/>
      <c r="G97" s="666"/>
      <c r="H97" s="11"/>
      <c r="I97" s="14">
        <f t="shared" si="35"/>
        <v>19</v>
      </c>
      <c r="J97" s="63" t="e">
        <f t="shared" ref="J97:J126" si="48">M96</f>
        <v>#REF!</v>
      </c>
      <c r="K97" s="63" t="e">
        <f t="shared" si="29"/>
        <v>#REF!</v>
      </c>
      <c r="L97" s="63" t="e">
        <f t="shared" si="37"/>
        <v>#REF!</v>
      </c>
      <c r="M97" s="65" t="e">
        <f t="shared" si="27"/>
        <v>#REF!</v>
      </c>
      <c r="O97" s="14">
        <f t="shared" si="38"/>
        <v>19</v>
      </c>
      <c r="P97" s="54">
        <f t="shared" si="39"/>
        <v>9778.25</v>
      </c>
      <c r="Q97" s="63">
        <f t="shared" si="40"/>
        <v>14294.709431579955</v>
      </c>
      <c r="R97" s="63" t="e">
        <f t="shared" si="45"/>
        <v>#REF!</v>
      </c>
      <c r="S97" s="63" t="e">
        <f t="shared" si="41"/>
        <v>#REF!</v>
      </c>
      <c r="T97" s="63"/>
      <c r="U97" s="63">
        <f t="shared" si="42"/>
        <v>-714.73547157899782</v>
      </c>
      <c r="V97" s="77">
        <f t="shared" si="46"/>
        <v>-314.64583333333331</v>
      </c>
      <c r="W97" s="83" t="e">
        <f t="shared" si="31"/>
        <v>#REF!</v>
      </c>
      <c r="X97" s="85" t="e">
        <f t="shared" si="43"/>
        <v>#REF!</v>
      </c>
      <c r="Z97" s="92">
        <f t="shared" si="44"/>
        <v>151030</v>
      </c>
      <c r="AA97" s="5">
        <f t="shared" si="32"/>
        <v>0</v>
      </c>
      <c r="AB97" s="92">
        <f t="shared" si="33"/>
        <v>151030</v>
      </c>
    </row>
    <row r="98" spans="1:28" ht="28.9" thickBot="1" x14ac:dyDescent="0.5">
      <c r="A98" s="26" t="s">
        <v>0</v>
      </c>
      <c r="B98" s="27" t="s">
        <v>1</v>
      </c>
      <c r="C98" s="43" t="s">
        <v>22</v>
      </c>
      <c r="D98" s="43" t="s">
        <v>10</v>
      </c>
      <c r="E98" s="43" t="s">
        <v>23</v>
      </c>
      <c r="F98" s="43" t="s">
        <v>24</v>
      </c>
      <c r="G98" s="44" t="s">
        <v>25</v>
      </c>
      <c r="H98" s="11"/>
      <c r="I98" s="14">
        <f t="shared" si="35"/>
        <v>20</v>
      </c>
      <c r="J98" s="63" t="e">
        <f t="shared" si="48"/>
        <v>#REF!</v>
      </c>
      <c r="K98" s="63" t="e">
        <f t="shared" si="29"/>
        <v>#REF!</v>
      </c>
      <c r="L98" s="63" t="e">
        <f t="shared" si="37"/>
        <v>#REF!</v>
      </c>
      <c r="M98" s="65" t="e">
        <f t="shared" si="27"/>
        <v>#REF!</v>
      </c>
      <c r="O98" s="14">
        <f t="shared" si="38"/>
        <v>20</v>
      </c>
      <c r="P98" s="54">
        <f t="shared" si="39"/>
        <v>10298.375</v>
      </c>
      <c r="Q98" s="63">
        <f t="shared" si="40"/>
        <v>14294.709431579955</v>
      </c>
      <c r="R98" s="63" t="e">
        <f t="shared" si="45"/>
        <v>#REF!</v>
      </c>
      <c r="S98" s="63" t="e">
        <f t="shared" si="41"/>
        <v>#REF!</v>
      </c>
      <c r="T98" s="63"/>
      <c r="U98" s="63">
        <f t="shared" si="42"/>
        <v>-714.73547157899782</v>
      </c>
      <c r="V98" s="77">
        <f t="shared" si="46"/>
        <v>-307.08333333333331</v>
      </c>
      <c r="W98" s="83" t="e">
        <f t="shared" si="31"/>
        <v>#REF!</v>
      </c>
      <c r="X98" s="85" t="e">
        <f t="shared" si="43"/>
        <v>#REF!</v>
      </c>
      <c r="Z98" s="92">
        <f t="shared" si="44"/>
        <v>147400</v>
      </c>
      <c r="AA98" s="5">
        <f t="shared" si="32"/>
        <v>0</v>
      </c>
      <c r="AB98" s="92">
        <f t="shared" si="33"/>
        <v>147400</v>
      </c>
    </row>
    <row r="99" spans="1:28" x14ac:dyDescent="0.45">
      <c r="A99" s="8">
        <v>1</v>
      </c>
      <c r="B99" s="9" t="s">
        <v>16</v>
      </c>
      <c r="C99" s="48">
        <v>1</v>
      </c>
      <c r="D99" s="153" t="e">
        <f>+C79*C99</f>
        <v>#REF!</v>
      </c>
      <c r="E99" s="49">
        <v>0.5</v>
      </c>
      <c r="F99" s="62" t="e">
        <f>E99*D99</f>
        <v>#REF!</v>
      </c>
      <c r="G99" s="60" t="e">
        <f>D99-F99</f>
        <v>#REF!</v>
      </c>
      <c r="H99" s="11"/>
      <c r="I99" s="14">
        <f t="shared" si="35"/>
        <v>21</v>
      </c>
      <c r="J99" s="63" t="e">
        <f t="shared" si="48"/>
        <v>#REF!</v>
      </c>
      <c r="K99" s="63" t="e">
        <f t="shared" si="29"/>
        <v>#REF!</v>
      </c>
      <c r="L99" s="63" t="e">
        <f t="shared" si="37"/>
        <v>#REF!</v>
      </c>
      <c r="M99" s="65" t="e">
        <f t="shared" si="27"/>
        <v>#REF!</v>
      </c>
      <c r="O99" s="14">
        <f t="shared" si="38"/>
        <v>21</v>
      </c>
      <c r="P99" s="54">
        <f t="shared" si="39"/>
        <v>10818.5</v>
      </c>
      <c r="Q99" s="63">
        <f t="shared" si="40"/>
        <v>14294.709431579955</v>
      </c>
      <c r="R99" s="63" t="e">
        <f t="shared" si="45"/>
        <v>#REF!</v>
      </c>
      <c r="S99" s="63" t="e">
        <f t="shared" si="41"/>
        <v>#REF!</v>
      </c>
      <c r="T99" s="63"/>
      <c r="U99" s="63">
        <f t="shared" si="42"/>
        <v>-714.73547157899782</v>
      </c>
      <c r="V99" s="77">
        <f t="shared" si="46"/>
        <v>-299.52083333333331</v>
      </c>
      <c r="W99" s="83" t="e">
        <f t="shared" si="31"/>
        <v>#REF!</v>
      </c>
      <c r="X99" s="85" t="e">
        <f t="shared" si="43"/>
        <v>#REF!</v>
      </c>
      <c r="Z99" s="92">
        <f t="shared" si="44"/>
        <v>143770</v>
      </c>
      <c r="AA99" s="5">
        <f t="shared" si="32"/>
        <v>0</v>
      </c>
      <c r="AB99" s="92">
        <f t="shared" si="33"/>
        <v>143770</v>
      </c>
    </row>
    <row r="100" spans="1:28" x14ac:dyDescent="0.45">
      <c r="A100" s="4">
        <f>A99+1</f>
        <v>2</v>
      </c>
      <c r="B100" s="5" t="s">
        <v>12</v>
      </c>
      <c r="C100" s="19">
        <f>C83</f>
        <v>0.01</v>
      </c>
      <c r="D100" s="154" t="e">
        <f>-C100*C79</f>
        <v>#REF!</v>
      </c>
      <c r="E100" s="23">
        <f>E99</f>
        <v>0.5</v>
      </c>
      <c r="F100" s="63" t="e">
        <f t="shared" ref="F100:F105" si="49">E100*D100</f>
        <v>#REF!</v>
      </c>
      <c r="G100" s="65" t="e">
        <f>D100-F100</f>
        <v>#REF!</v>
      </c>
      <c r="H100" s="11"/>
      <c r="I100" s="14">
        <f t="shared" si="35"/>
        <v>22</v>
      </c>
      <c r="J100" s="63" t="e">
        <f t="shared" si="48"/>
        <v>#REF!</v>
      </c>
      <c r="K100" s="63" t="e">
        <f t="shared" si="29"/>
        <v>#REF!</v>
      </c>
      <c r="L100" s="63" t="e">
        <f t="shared" si="37"/>
        <v>#REF!</v>
      </c>
      <c r="M100" s="65" t="e">
        <f t="shared" si="27"/>
        <v>#REF!</v>
      </c>
      <c r="O100" s="14">
        <f t="shared" si="38"/>
        <v>22</v>
      </c>
      <c r="P100" s="54">
        <f t="shared" si="39"/>
        <v>11338.625</v>
      </c>
      <c r="Q100" s="63">
        <f t="shared" si="40"/>
        <v>14294.709431579955</v>
      </c>
      <c r="R100" s="63" t="e">
        <f t="shared" si="45"/>
        <v>#REF!</v>
      </c>
      <c r="S100" s="63" t="e">
        <f t="shared" si="41"/>
        <v>#REF!</v>
      </c>
      <c r="T100" s="63"/>
      <c r="U100" s="63">
        <f t="shared" si="42"/>
        <v>-714.73547157899782</v>
      </c>
      <c r="V100" s="77">
        <f t="shared" si="46"/>
        <v>-291.95833333333331</v>
      </c>
      <c r="W100" s="83" t="e">
        <f t="shared" si="31"/>
        <v>#REF!</v>
      </c>
      <c r="X100" s="85" t="e">
        <f t="shared" si="43"/>
        <v>#REF!</v>
      </c>
      <c r="Z100" s="92">
        <f t="shared" si="44"/>
        <v>140140</v>
      </c>
      <c r="AA100" s="5">
        <f t="shared" si="32"/>
        <v>0</v>
      </c>
      <c r="AB100" s="92">
        <f t="shared" si="33"/>
        <v>140140</v>
      </c>
    </row>
    <row r="101" spans="1:28" x14ac:dyDescent="0.45">
      <c r="A101" s="4">
        <f t="shared" ref="A101:A106" si="50">A100+1</f>
        <v>3</v>
      </c>
      <c r="B101" s="5" t="s">
        <v>17</v>
      </c>
      <c r="C101" s="24">
        <f>C80</f>
        <v>5.2999999999999999E-2</v>
      </c>
      <c r="D101" s="63" t="e">
        <f>K127</f>
        <v>#REF!</v>
      </c>
      <c r="E101" s="23">
        <v>1</v>
      </c>
      <c r="F101" s="63" t="e">
        <f t="shared" si="49"/>
        <v>#REF!</v>
      </c>
      <c r="G101" s="65" t="e">
        <f>D101-F101</f>
        <v>#REF!</v>
      </c>
      <c r="H101" s="11"/>
      <c r="I101" s="14">
        <f t="shared" si="35"/>
        <v>23</v>
      </c>
      <c r="J101" s="63" t="e">
        <f t="shared" si="48"/>
        <v>#REF!</v>
      </c>
      <c r="K101" s="63" t="e">
        <f t="shared" si="29"/>
        <v>#REF!</v>
      </c>
      <c r="L101" s="63" t="e">
        <f t="shared" si="37"/>
        <v>#REF!</v>
      </c>
      <c r="M101" s="65" t="e">
        <f t="shared" si="27"/>
        <v>#REF!</v>
      </c>
      <c r="O101" s="14">
        <f t="shared" si="38"/>
        <v>23</v>
      </c>
      <c r="P101" s="54">
        <f t="shared" si="39"/>
        <v>11858.75</v>
      </c>
      <c r="Q101" s="63">
        <f t="shared" si="40"/>
        <v>14294.709431579955</v>
      </c>
      <c r="R101" s="63" t="e">
        <f t="shared" si="45"/>
        <v>#REF!</v>
      </c>
      <c r="S101" s="63" t="e">
        <f t="shared" si="41"/>
        <v>#REF!</v>
      </c>
      <c r="T101" s="63"/>
      <c r="U101" s="63">
        <f t="shared" si="42"/>
        <v>-714.73547157899782</v>
      </c>
      <c r="V101" s="77">
        <f t="shared" si="46"/>
        <v>-284.39583333333331</v>
      </c>
      <c r="W101" s="83" t="e">
        <f t="shared" si="31"/>
        <v>#REF!</v>
      </c>
      <c r="X101" s="85" t="e">
        <f t="shared" si="43"/>
        <v>#REF!</v>
      </c>
      <c r="Z101" s="92">
        <f t="shared" si="44"/>
        <v>136510</v>
      </c>
      <c r="AA101" s="5">
        <f t="shared" si="32"/>
        <v>0</v>
      </c>
      <c r="AB101" s="92">
        <f t="shared" si="33"/>
        <v>136510</v>
      </c>
    </row>
    <row r="102" spans="1:28" x14ac:dyDescent="0.45">
      <c r="A102" s="4">
        <f t="shared" si="50"/>
        <v>4</v>
      </c>
      <c r="B102" s="5" t="s">
        <v>6</v>
      </c>
      <c r="C102" s="23">
        <f>C81</f>
        <v>2.5000000000000001E-2</v>
      </c>
      <c r="D102" s="63">
        <f>-V127</f>
        <v>13106.500000000013</v>
      </c>
      <c r="E102" s="23">
        <v>1</v>
      </c>
      <c r="F102" s="63">
        <f t="shared" si="49"/>
        <v>13106.500000000013</v>
      </c>
      <c r="G102" s="65">
        <f>D102-F102</f>
        <v>0</v>
      </c>
      <c r="H102" s="11"/>
      <c r="I102" s="14">
        <f t="shared" si="35"/>
        <v>24</v>
      </c>
      <c r="J102" s="63" t="e">
        <f t="shared" si="48"/>
        <v>#REF!</v>
      </c>
      <c r="K102" s="63" t="e">
        <f t="shared" si="29"/>
        <v>#REF!</v>
      </c>
      <c r="L102" s="63" t="e">
        <f t="shared" si="37"/>
        <v>#REF!</v>
      </c>
      <c r="M102" s="65" t="e">
        <f t="shared" si="27"/>
        <v>#REF!</v>
      </c>
      <c r="O102" s="14">
        <f t="shared" si="38"/>
        <v>24</v>
      </c>
      <c r="P102" s="54">
        <f t="shared" si="39"/>
        <v>12378.875</v>
      </c>
      <c r="Q102" s="63">
        <f t="shared" si="40"/>
        <v>14294.709431579955</v>
      </c>
      <c r="R102" s="63" t="e">
        <f t="shared" si="45"/>
        <v>#REF!</v>
      </c>
      <c r="S102" s="63" t="e">
        <f t="shared" si="41"/>
        <v>#REF!</v>
      </c>
      <c r="T102" s="63"/>
      <c r="U102" s="63">
        <f t="shared" si="42"/>
        <v>-714.73547157899782</v>
      </c>
      <c r="V102" s="77">
        <f t="shared" si="46"/>
        <v>-276.83333333333331</v>
      </c>
      <c r="W102" s="83" t="e">
        <f t="shared" si="31"/>
        <v>#REF!</v>
      </c>
      <c r="X102" s="85" t="e">
        <f t="shared" si="43"/>
        <v>#REF!</v>
      </c>
      <c r="Z102" s="92">
        <f t="shared" si="44"/>
        <v>132880</v>
      </c>
      <c r="AA102" s="5">
        <f t="shared" si="32"/>
        <v>0</v>
      </c>
      <c r="AB102" s="92">
        <f t="shared" si="33"/>
        <v>132880</v>
      </c>
    </row>
    <row r="103" spans="1:28" x14ac:dyDescent="0.45">
      <c r="A103" s="4">
        <f t="shared" si="50"/>
        <v>5</v>
      </c>
      <c r="B103" s="5" t="s">
        <v>27</v>
      </c>
      <c r="C103" s="19">
        <f>+C31</f>
        <v>0.5</v>
      </c>
      <c r="D103" s="174" t="e">
        <v>#REF!</v>
      </c>
      <c r="E103" s="23">
        <v>0</v>
      </c>
      <c r="F103" s="63" t="e">
        <f t="shared" si="49"/>
        <v>#REF!</v>
      </c>
      <c r="G103" s="65" t="e">
        <f>D103</f>
        <v>#REF!</v>
      </c>
      <c r="H103" s="11"/>
      <c r="I103" s="14">
        <f t="shared" si="35"/>
        <v>25</v>
      </c>
      <c r="J103" s="63" t="e">
        <f t="shared" si="48"/>
        <v>#REF!</v>
      </c>
      <c r="K103" s="63" t="e">
        <f t="shared" si="29"/>
        <v>#REF!</v>
      </c>
      <c r="L103" s="63" t="e">
        <f t="shared" si="37"/>
        <v>#REF!</v>
      </c>
      <c r="M103" s="65" t="e">
        <f t="shared" si="27"/>
        <v>#REF!</v>
      </c>
      <c r="O103" s="14">
        <f t="shared" si="38"/>
        <v>25</v>
      </c>
      <c r="P103" s="54">
        <f t="shared" si="39"/>
        <v>12899</v>
      </c>
      <c r="Q103" s="63">
        <f t="shared" si="40"/>
        <v>14294.709431579955</v>
      </c>
      <c r="R103" s="63" t="e">
        <f t="shared" si="45"/>
        <v>#REF!</v>
      </c>
      <c r="S103" s="63" t="e">
        <f t="shared" si="41"/>
        <v>#REF!</v>
      </c>
      <c r="T103" s="63"/>
      <c r="U103" s="63">
        <f t="shared" si="42"/>
        <v>-714.73547157899782</v>
      </c>
      <c r="V103" s="77">
        <f t="shared" si="46"/>
        <v>-269.27083333333331</v>
      </c>
      <c r="W103" s="83" t="e">
        <f t="shared" si="31"/>
        <v>#REF!</v>
      </c>
      <c r="X103" s="85" t="e">
        <f t="shared" si="43"/>
        <v>#REF!</v>
      </c>
      <c r="Z103" s="92">
        <f t="shared" si="44"/>
        <v>129250</v>
      </c>
      <c r="AA103" s="5">
        <f t="shared" si="32"/>
        <v>0</v>
      </c>
      <c r="AB103" s="92">
        <f t="shared" si="33"/>
        <v>129250</v>
      </c>
    </row>
    <row r="104" spans="1:28" x14ac:dyDescent="0.45">
      <c r="A104" s="4">
        <f t="shared" si="50"/>
        <v>6</v>
      </c>
      <c r="B104" s="5" t="s">
        <v>26</v>
      </c>
      <c r="C104" s="19">
        <f>+C32</f>
        <v>0.15</v>
      </c>
      <c r="D104" s="174" t="e">
        <v>#REF!</v>
      </c>
      <c r="E104" s="23">
        <v>0</v>
      </c>
      <c r="F104" s="63" t="e">
        <f t="shared" si="49"/>
        <v>#REF!</v>
      </c>
      <c r="G104" s="65" t="e">
        <f>D104</f>
        <v>#REF!</v>
      </c>
      <c r="H104" s="11"/>
      <c r="I104" s="14">
        <f t="shared" si="35"/>
        <v>26</v>
      </c>
      <c r="J104" s="63" t="e">
        <f t="shared" si="48"/>
        <v>#REF!</v>
      </c>
      <c r="K104" s="63" t="e">
        <f t="shared" si="29"/>
        <v>#REF!</v>
      </c>
      <c r="L104" s="63" t="e">
        <f t="shared" si="37"/>
        <v>#REF!</v>
      </c>
      <c r="M104" s="65" t="e">
        <f t="shared" si="27"/>
        <v>#REF!</v>
      </c>
      <c r="O104" s="14">
        <f t="shared" si="38"/>
        <v>26</v>
      </c>
      <c r="P104" s="54">
        <f t="shared" si="39"/>
        <v>13419.125</v>
      </c>
      <c r="Q104" s="63">
        <f t="shared" si="40"/>
        <v>14294.709431579955</v>
      </c>
      <c r="R104" s="63" t="e">
        <f t="shared" si="45"/>
        <v>#REF!</v>
      </c>
      <c r="S104" s="63" t="e">
        <f t="shared" si="41"/>
        <v>#REF!</v>
      </c>
      <c r="T104" s="63"/>
      <c r="U104" s="63">
        <f t="shared" si="42"/>
        <v>-714.73547157899782</v>
      </c>
      <c r="V104" s="77">
        <f t="shared" si="46"/>
        <v>-261.70833333333331</v>
      </c>
      <c r="W104" s="83" t="e">
        <f t="shared" si="31"/>
        <v>#REF!</v>
      </c>
      <c r="X104" s="85" t="e">
        <f t="shared" si="43"/>
        <v>#REF!</v>
      </c>
      <c r="Z104" s="92">
        <f t="shared" si="44"/>
        <v>125620</v>
      </c>
      <c r="AA104" s="5">
        <f t="shared" si="32"/>
        <v>0</v>
      </c>
      <c r="AB104" s="92">
        <f t="shared" si="33"/>
        <v>125620</v>
      </c>
    </row>
    <row r="105" spans="1:28" ht="14.65" thickBot="1" x14ac:dyDescent="0.5">
      <c r="A105" s="6">
        <f t="shared" si="50"/>
        <v>7</v>
      </c>
      <c r="B105" s="7" t="s">
        <v>32</v>
      </c>
      <c r="C105" s="19">
        <f>+C33</f>
        <v>0.03</v>
      </c>
      <c r="D105" s="174" t="e">
        <v>#REF!</v>
      </c>
      <c r="E105" s="25">
        <v>0</v>
      </c>
      <c r="F105" s="64" t="e">
        <f t="shared" si="49"/>
        <v>#REF!</v>
      </c>
      <c r="G105" s="66" t="e">
        <f>D105</f>
        <v>#REF!</v>
      </c>
      <c r="H105" s="11"/>
      <c r="I105" s="14">
        <f t="shared" si="35"/>
        <v>27</v>
      </c>
      <c r="J105" s="63" t="e">
        <f t="shared" si="48"/>
        <v>#REF!</v>
      </c>
      <c r="K105" s="63" t="e">
        <f t="shared" si="29"/>
        <v>#REF!</v>
      </c>
      <c r="L105" s="63" t="e">
        <f t="shared" si="37"/>
        <v>#REF!</v>
      </c>
      <c r="M105" s="65" t="e">
        <f t="shared" si="27"/>
        <v>#REF!</v>
      </c>
      <c r="O105" s="14">
        <f t="shared" si="38"/>
        <v>27</v>
      </c>
      <c r="P105" s="54">
        <f t="shared" si="39"/>
        <v>13939.25</v>
      </c>
      <c r="Q105" s="63">
        <f t="shared" si="40"/>
        <v>14294.709431579955</v>
      </c>
      <c r="R105" s="63" t="e">
        <f t="shared" si="45"/>
        <v>#REF!</v>
      </c>
      <c r="S105" s="63" t="e">
        <f t="shared" si="41"/>
        <v>#REF!</v>
      </c>
      <c r="T105" s="63"/>
      <c r="U105" s="63">
        <f t="shared" si="42"/>
        <v>-714.73547157899782</v>
      </c>
      <c r="V105" s="77">
        <f t="shared" si="46"/>
        <v>-254.14583333333334</v>
      </c>
      <c r="W105" s="83" t="e">
        <f t="shared" si="31"/>
        <v>#REF!</v>
      </c>
      <c r="X105" s="85" t="e">
        <f t="shared" si="43"/>
        <v>#REF!</v>
      </c>
      <c r="Z105" s="92">
        <f t="shared" si="44"/>
        <v>121990</v>
      </c>
      <c r="AA105" s="5">
        <f t="shared" si="32"/>
        <v>0</v>
      </c>
      <c r="AB105" s="92">
        <f t="shared" si="33"/>
        <v>121990</v>
      </c>
    </row>
    <row r="106" spans="1:28" ht="14.65" thickBot="1" x14ac:dyDescent="0.5">
      <c r="A106" s="33">
        <f t="shared" si="50"/>
        <v>8</v>
      </c>
      <c r="B106" s="30" t="s">
        <v>8</v>
      </c>
      <c r="C106" s="45"/>
      <c r="D106" s="46"/>
      <c r="E106" s="47"/>
      <c r="F106" s="67" t="e">
        <f>SUM(F99:F105)</f>
        <v>#REF!</v>
      </c>
      <c r="G106" s="68" t="e">
        <f>SUM(G99:G105)</f>
        <v>#REF!</v>
      </c>
      <c r="H106" s="11"/>
      <c r="I106" s="14">
        <f t="shared" si="35"/>
        <v>28</v>
      </c>
      <c r="J106" s="63" t="e">
        <f t="shared" si="48"/>
        <v>#REF!</v>
      </c>
      <c r="K106" s="63" t="e">
        <f t="shared" si="29"/>
        <v>#REF!</v>
      </c>
      <c r="L106" s="63" t="e">
        <f t="shared" si="37"/>
        <v>#REF!</v>
      </c>
      <c r="M106" s="65" t="e">
        <f t="shared" si="27"/>
        <v>#REF!</v>
      </c>
      <c r="O106" s="14">
        <f t="shared" si="38"/>
        <v>28</v>
      </c>
      <c r="P106" s="54">
        <f t="shared" si="39"/>
        <v>14459.375</v>
      </c>
      <c r="Q106" s="63">
        <f t="shared" si="40"/>
        <v>14294.709431579955</v>
      </c>
      <c r="R106" s="63" t="e">
        <f t="shared" si="45"/>
        <v>#REF!</v>
      </c>
      <c r="S106" s="63" t="e">
        <f t="shared" si="41"/>
        <v>#REF!</v>
      </c>
      <c r="T106" s="63"/>
      <c r="U106" s="63">
        <f t="shared" si="42"/>
        <v>-714.73547157899782</v>
      </c>
      <c r="V106" s="77">
        <f t="shared" si="46"/>
        <v>-246.58333333333334</v>
      </c>
      <c r="W106" s="83" t="e">
        <f t="shared" si="31"/>
        <v>#REF!</v>
      </c>
      <c r="X106" s="85" t="e">
        <f t="shared" si="43"/>
        <v>#REF!</v>
      </c>
      <c r="Z106" s="92">
        <f t="shared" si="44"/>
        <v>118360</v>
      </c>
      <c r="AA106" s="5">
        <f t="shared" si="32"/>
        <v>0</v>
      </c>
      <c r="AB106" s="92">
        <f t="shared" si="33"/>
        <v>118360</v>
      </c>
    </row>
    <row r="107" spans="1:28" ht="14.65" thickBot="1" x14ac:dyDescent="0.5">
      <c r="A107" s="31">
        <f>A106+1</f>
        <v>9</v>
      </c>
      <c r="B107" s="32" t="s">
        <v>7</v>
      </c>
      <c r="C107" s="42">
        <f>+C35</f>
        <v>0.05</v>
      </c>
      <c r="D107" s="22"/>
      <c r="E107" s="34"/>
      <c r="F107" s="69" t="e">
        <f>F108-F106</f>
        <v>#REF!</v>
      </c>
      <c r="G107" s="70" t="e">
        <f>G108-G106</f>
        <v>#REF!</v>
      </c>
      <c r="H107" s="11"/>
      <c r="I107" s="14">
        <f t="shared" si="35"/>
        <v>29</v>
      </c>
      <c r="J107" s="63" t="e">
        <f t="shared" si="48"/>
        <v>#REF!</v>
      </c>
      <c r="K107" s="63" t="e">
        <f t="shared" si="29"/>
        <v>#REF!</v>
      </c>
      <c r="L107" s="63" t="e">
        <f t="shared" si="37"/>
        <v>#REF!</v>
      </c>
      <c r="M107" s="65" t="e">
        <f t="shared" si="27"/>
        <v>#REF!</v>
      </c>
      <c r="O107" s="14">
        <f t="shared" si="38"/>
        <v>29</v>
      </c>
      <c r="P107" s="54">
        <f t="shared" si="39"/>
        <v>14979.5</v>
      </c>
      <c r="Q107" s="63">
        <f t="shared" si="40"/>
        <v>14294.709431579955</v>
      </c>
      <c r="R107" s="63" t="e">
        <f t="shared" si="45"/>
        <v>#REF!</v>
      </c>
      <c r="S107" s="63" t="e">
        <f t="shared" si="41"/>
        <v>#REF!</v>
      </c>
      <c r="T107" s="63"/>
      <c r="U107" s="63">
        <f t="shared" si="42"/>
        <v>-714.73547157899782</v>
      </c>
      <c r="V107" s="77">
        <f t="shared" si="46"/>
        <v>-239.02083333333334</v>
      </c>
      <c r="W107" s="83" t="e">
        <f t="shared" si="31"/>
        <v>#REF!</v>
      </c>
      <c r="X107" s="85" t="e">
        <f t="shared" si="43"/>
        <v>#REF!</v>
      </c>
      <c r="Z107" s="92">
        <f t="shared" si="44"/>
        <v>114730</v>
      </c>
      <c r="AA107" s="5">
        <f t="shared" si="32"/>
        <v>0</v>
      </c>
      <c r="AB107" s="92">
        <f t="shared" si="33"/>
        <v>114730</v>
      </c>
    </row>
    <row r="108" spans="1:28" ht="14.65" thickBot="1" x14ac:dyDescent="0.5">
      <c r="A108" s="37">
        <f>A107+1</f>
        <v>10</v>
      </c>
      <c r="B108" s="38" t="s">
        <v>28</v>
      </c>
      <c r="C108" s="39"/>
      <c r="D108" s="40"/>
      <c r="E108" s="41"/>
      <c r="F108" s="71" t="e">
        <f>F106/(100%-C107)</f>
        <v>#REF!</v>
      </c>
      <c r="G108" s="72" t="e">
        <f>G106/(100%-C107)</f>
        <v>#REF!</v>
      </c>
      <c r="H108" s="11"/>
      <c r="I108" s="14">
        <f t="shared" si="35"/>
        <v>30</v>
      </c>
      <c r="J108" s="63" t="e">
        <f t="shared" si="48"/>
        <v>#REF!</v>
      </c>
      <c r="K108" s="63" t="e">
        <f t="shared" si="29"/>
        <v>#REF!</v>
      </c>
      <c r="L108" s="63" t="e">
        <f t="shared" si="37"/>
        <v>#REF!</v>
      </c>
      <c r="M108" s="65" t="e">
        <f t="shared" si="27"/>
        <v>#REF!</v>
      </c>
      <c r="O108" s="14">
        <f t="shared" si="38"/>
        <v>30</v>
      </c>
      <c r="P108" s="54">
        <f t="shared" si="39"/>
        <v>15499.625</v>
      </c>
      <c r="Q108" s="63">
        <f t="shared" si="40"/>
        <v>14294.709431579955</v>
      </c>
      <c r="R108" s="63" t="e">
        <f t="shared" si="45"/>
        <v>#REF!</v>
      </c>
      <c r="S108" s="63" t="e">
        <f t="shared" si="41"/>
        <v>#REF!</v>
      </c>
      <c r="T108" s="63" t="e">
        <f>-T128*0.5</f>
        <v>#REF!</v>
      </c>
      <c r="U108" s="63">
        <f t="shared" si="42"/>
        <v>-714.73547157899782</v>
      </c>
      <c r="V108" s="77">
        <f t="shared" si="46"/>
        <v>-231.45833333333334</v>
      </c>
      <c r="W108" s="83" t="e">
        <f t="shared" si="31"/>
        <v>#REF!</v>
      </c>
      <c r="X108" s="85" t="e">
        <f t="shared" si="43"/>
        <v>#REF!</v>
      </c>
      <c r="Z108" s="92">
        <f t="shared" si="44"/>
        <v>111100</v>
      </c>
      <c r="AA108" s="5">
        <f t="shared" si="32"/>
        <v>0</v>
      </c>
      <c r="AB108" s="92">
        <f t="shared" si="33"/>
        <v>111100</v>
      </c>
    </row>
    <row r="109" spans="1:28" x14ac:dyDescent="0.45">
      <c r="C109" s="11"/>
      <c r="D109" s="11"/>
      <c r="E109" s="11"/>
      <c r="F109" s="11"/>
      <c r="G109" s="11"/>
      <c r="H109" s="11"/>
      <c r="I109" s="14">
        <f t="shared" si="35"/>
        <v>31</v>
      </c>
      <c r="J109" s="63" t="e">
        <f t="shared" si="48"/>
        <v>#REF!</v>
      </c>
      <c r="K109" s="63" t="e">
        <f t="shared" si="29"/>
        <v>#REF!</v>
      </c>
      <c r="L109" s="63" t="e">
        <f t="shared" si="37"/>
        <v>#REF!</v>
      </c>
      <c r="M109" s="65" t="e">
        <f t="shared" si="27"/>
        <v>#REF!</v>
      </c>
      <c r="O109" s="14">
        <f t="shared" si="38"/>
        <v>31</v>
      </c>
      <c r="P109" s="54">
        <f t="shared" si="39"/>
        <v>16019.75</v>
      </c>
      <c r="Q109" s="63">
        <f t="shared" si="40"/>
        <v>14294.709431579955</v>
      </c>
      <c r="R109" s="63" t="e">
        <f t="shared" si="45"/>
        <v>#REF!</v>
      </c>
      <c r="S109" s="63" t="e">
        <f t="shared" si="41"/>
        <v>#REF!</v>
      </c>
      <c r="T109" s="63"/>
      <c r="U109" s="63">
        <f t="shared" si="42"/>
        <v>-714.73547157899782</v>
      </c>
      <c r="V109" s="77">
        <f t="shared" si="46"/>
        <v>-223.89583333333334</v>
      </c>
      <c r="W109" s="83" t="e">
        <f t="shared" si="31"/>
        <v>#REF!</v>
      </c>
      <c r="X109" s="85" t="e">
        <f t="shared" si="43"/>
        <v>#REF!</v>
      </c>
      <c r="Z109" s="92">
        <f t="shared" si="44"/>
        <v>107470</v>
      </c>
      <c r="AA109" s="5">
        <f t="shared" si="32"/>
        <v>0</v>
      </c>
      <c r="AB109" s="92">
        <f t="shared" si="33"/>
        <v>107470</v>
      </c>
    </row>
    <row r="110" spans="1:28" x14ac:dyDescent="0.45">
      <c r="C110" s="11"/>
      <c r="D110" s="11"/>
      <c r="E110" s="11"/>
      <c r="F110" s="11"/>
      <c r="G110" s="11"/>
      <c r="H110" s="11"/>
      <c r="I110" s="14">
        <f t="shared" si="35"/>
        <v>32</v>
      </c>
      <c r="J110" s="63" t="e">
        <f t="shared" si="48"/>
        <v>#REF!</v>
      </c>
      <c r="K110" s="63" t="e">
        <f t="shared" si="29"/>
        <v>#REF!</v>
      </c>
      <c r="L110" s="63" t="e">
        <f t="shared" si="37"/>
        <v>#REF!</v>
      </c>
      <c r="M110" s="65" t="e">
        <f t="shared" si="27"/>
        <v>#REF!</v>
      </c>
      <c r="O110" s="14">
        <f t="shared" si="38"/>
        <v>32</v>
      </c>
      <c r="P110" s="54">
        <f t="shared" si="39"/>
        <v>16539.875</v>
      </c>
      <c r="Q110" s="63">
        <f t="shared" si="40"/>
        <v>14294.709431579955</v>
      </c>
      <c r="R110" s="63" t="e">
        <f t="shared" si="45"/>
        <v>#REF!</v>
      </c>
      <c r="S110" s="63" t="e">
        <f t="shared" si="41"/>
        <v>#REF!</v>
      </c>
      <c r="T110" s="63"/>
      <c r="U110" s="63">
        <f t="shared" si="42"/>
        <v>-714.73547157899782</v>
      </c>
      <c r="V110" s="77">
        <f t="shared" si="46"/>
        <v>-216.33333333333334</v>
      </c>
      <c r="W110" s="83" t="e">
        <f t="shared" si="31"/>
        <v>#REF!</v>
      </c>
      <c r="X110" s="85" t="e">
        <f t="shared" si="43"/>
        <v>#REF!</v>
      </c>
      <c r="Z110" s="92">
        <f t="shared" si="44"/>
        <v>103840</v>
      </c>
      <c r="AA110" s="5">
        <f t="shared" si="32"/>
        <v>0</v>
      </c>
      <c r="AB110" s="92">
        <f t="shared" si="33"/>
        <v>103840</v>
      </c>
    </row>
    <row r="111" spans="1:28" x14ac:dyDescent="0.45">
      <c r="C111" s="11"/>
      <c r="D111" s="11"/>
      <c r="E111" s="11"/>
      <c r="F111" s="11"/>
      <c r="G111" s="11"/>
      <c r="H111" s="11"/>
      <c r="I111" s="14">
        <f t="shared" si="35"/>
        <v>33</v>
      </c>
      <c r="J111" s="63" t="e">
        <f t="shared" si="48"/>
        <v>#REF!</v>
      </c>
      <c r="K111" s="63" t="e">
        <f t="shared" si="29"/>
        <v>#REF!</v>
      </c>
      <c r="L111" s="63" t="e">
        <f t="shared" si="37"/>
        <v>#REF!</v>
      </c>
      <c r="M111" s="65" t="e">
        <f t="shared" si="27"/>
        <v>#REF!</v>
      </c>
      <c r="O111" s="14">
        <f t="shared" si="38"/>
        <v>33</v>
      </c>
      <c r="P111" s="54">
        <f t="shared" si="39"/>
        <v>17060</v>
      </c>
      <c r="Q111" s="63">
        <f t="shared" si="40"/>
        <v>14294.709431579955</v>
      </c>
      <c r="R111" s="63" t="e">
        <f t="shared" si="45"/>
        <v>#REF!</v>
      </c>
      <c r="S111" s="63" t="e">
        <f t="shared" si="41"/>
        <v>#REF!</v>
      </c>
      <c r="T111" s="63"/>
      <c r="U111" s="63">
        <f t="shared" si="42"/>
        <v>-714.73547157899782</v>
      </c>
      <c r="V111" s="77">
        <f t="shared" si="46"/>
        <v>-208.77083333333334</v>
      </c>
      <c r="W111" s="83" t="e">
        <f t="shared" si="31"/>
        <v>#REF!</v>
      </c>
      <c r="X111" s="85" t="e">
        <f t="shared" si="43"/>
        <v>#REF!</v>
      </c>
      <c r="Z111" s="92">
        <f t="shared" si="44"/>
        <v>100210</v>
      </c>
      <c r="AA111" s="5">
        <f t="shared" si="32"/>
        <v>0</v>
      </c>
      <c r="AB111" s="92">
        <f t="shared" si="33"/>
        <v>100210</v>
      </c>
    </row>
    <row r="112" spans="1:28" ht="14.65" thickBot="1" x14ac:dyDescent="0.5">
      <c r="C112" s="11"/>
      <c r="D112" s="11"/>
      <c r="E112" s="11"/>
      <c r="F112" s="11"/>
      <c r="G112" s="11"/>
      <c r="H112" s="11"/>
      <c r="I112" s="14">
        <f t="shared" si="35"/>
        <v>34</v>
      </c>
      <c r="J112" s="63" t="e">
        <f t="shared" si="48"/>
        <v>#REF!</v>
      </c>
      <c r="K112" s="63" t="e">
        <f t="shared" si="29"/>
        <v>#REF!</v>
      </c>
      <c r="L112" s="63" t="e">
        <f t="shared" si="37"/>
        <v>#REF!</v>
      </c>
      <c r="M112" s="65" t="e">
        <f t="shared" si="27"/>
        <v>#REF!</v>
      </c>
      <c r="O112" s="14">
        <f t="shared" si="38"/>
        <v>34</v>
      </c>
      <c r="P112" s="54">
        <f t="shared" si="39"/>
        <v>17580.125</v>
      </c>
      <c r="Q112" s="63">
        <f t="shared" si="40"/>
        <v>14294.709431579955</v>
      </c>
      <c r="R112" s="63" t="e">
        <f t="shared" si="45"/>
        <v>#REF!</v>
      </c>
      <c r="S112" s="63" t="e">
        <f t="shared" si="41"/>
        <v>#REF!</v>
      </c>
      <c r="T112" s="63"/>
      <c r="U112" s="63">
        <f t="shared" si="42"/>
        <v>-714.73547157899782</v>
      </c>
      <c r="V112" s="77">
        <f t="shared" si="46"/>
        <v>-201.20833333333334</v>
      </c>
      <c r="W112" s="83" t="e">
        <f t="shared" si="31"/>
        <v>#REF!</v>
      </c>
      <c r="X112" s="85" t="e">
        <f t="shared" si="43"/>
        <v>#REF!</v>
      </c>
      <c r="Z112" s="92">
        <f t="shared" si="44"/>
        <v>96580</v>
      </c>
      <c r="AA112" s="5">
        <f t="shared" si="32"/>
        <v>0</v>
      </c>
      <c r="AB112" s="92">
        <f t="shared" si="33"/>
        <v>96580</v>
      </c>
    </row>
    <row r="113" spans="1:28" ht="31.15" thickBot="1" x14ac:dyDescent="0.5">
      <c r="A113" s="667" t="s">
        <v>29</v>
      </c>
      <c r="B113" s="668"/>
      <c r="C113" s="668"/>
      <c r="D113" s="668"/>
      <c r="E113" s="668"/>
      <c r="F113" s="668"/>
      <c r="G113" s="669"/>
      <c r="H113" s="11"/>
      <c r="I113" s="14">
        <f t="shared" si="35"/>
        <v>35</v>
      </c>
      <c r="J113" s="63" t="e">
        <f t="shared" si="48"/>
        <v>#REF!</v>
      </c>
      <c r="K113" s="63" t="e">
        <f t="shared" si="29"/>
        <v>#REF!</v>
      </c>
      <c r="L113" s="63" t="e">
        <f t="shared" si="37"/>
        <v>#REF!</v>
      </c>
      <c r="M113" s="65" t="e">
        <f t="shared" si="27"/>
        <v>#REF!</v>
      </c>
      <c r="O113" s="14">
        <f t="shared" si="38"/>
        <v>35</v>
      </c>
      <c r="P113" s="54">
        <f t="shared" si="39"/>
        <v>18100.25</v>
      </c>
      <c r="Q113" s="63">
        <f t="shared" si="40"/>
        <v>14294.709431579955</v>
      </c>
      <c r="R113" s="63" t="e">
        <f t="shared" si="45"/>
        <v>#REF!</v>
      </c>
      <c r="S113" s="63" t="e">
        <f t="shared" si="41"/>
        <v>#REF!</v>
      </c>
      <c r="T113" s="63"/>
      <c r="U113" s="63">
        <f t="shared" si="42"/>
        <v>-714.73547157899782</v>
      </c>
      <c r="V113" s="77">
        <f t="shared" si="46"/>
        <v>-193.64583333333334</v>
      </c>
      <c r="W113" s="83" t="e">
        <f t="shared" si="31"/>
        <v>#REF!</v>
      </c>
      <c r="X113" s="85" t="e">
        <f t="shared" si="43"/>
        <v>#REF!</v>
      </c>
      <c r="Z113" s="92">
        <f t="shared" si="44"/>
        <v>92950</v>
      </c>
      <c r="AA113" s="5">
        <f t="shared" si="32"/>
        <v>0</v>
      </c>
      <c r="AB113" s="92">
        <f t="shared" si="33"/>
        <v>92950</v>
      </c>
    </row>
    <row r="114" spans="1:28" ht="18" x14ac:dyDescent="0.45">
      <c r="A114" s="35">
        <v>1</v>
      </c>
      <c r="B114" s="670" t="s">
        <v>30</v>
      </c>
      <c r="C114" s="671"/>
      <c r="D114" s="671"/>
      <c r="E114" s="672"/>
      <c r="F114" s="73" t="e">
        <f>F108/C84/C86</f>
        <v>#REF!</v>
      </c>
      <c r="G114" s="74" t="e">
        <f>G108/C85/C86</f>
        <v>#REF!</v>
      </c>
      <c r="H114" s="11"/>
      <c r="I114" s="20">
        <f t="shared" si="35"/>
        <v>36</v>
      </c>
      <c r="J114" s="79" t="e">
        <f t="shared" si="48"/>
        <v>#REF!</v>
      </c>
      <c r="K114" s="79" t="e">
        <f t="shared" si="29"/>
        <v>#REF!</v>
      </c>
      <c r="L114" s="79" t="e">
        <f>L113</f>
        <v>#REF!</v>
      </c>
      <c r="M114" s="80" t="e">
        <f t="shared" si="27"/>
        <v>#REF!</v>
      </c>
      <c r="O114" s="20">
        <f t="shared" si="38"/>
        <v>36</v>
      </c>
      <c r="P114" s="54">
        <f t="shared" si="39"/>
        <v>18620.375</v>
      </c>
      <c r="Q114" s="63">
        <f t="shared" si="40"/>
        <v>14294.709431579955</v>
      </c>
      <c r="R114" s="63" t="e">
        <f t="shared" si="45"/>
        <v>#REF!</v>
      </c>
      <c r="S114" s="63" t="e">
        <f t="shared" si="41"/>
        <v>#REF!</v>
      </c>
      <c r="T114" s="63"/>
      <c r="U114" s="63">
        <f t="shared" si="42"/>
        <v>-714.73547157899782</v>
      </c>
      <c r="V114" s="77">
        <f t="shared" si="46"/>
        <v>-186.08333333333334</v>
      </c>
      <c r="W114" s="83" t="e">
        <f t="shared" si="31"/>
        <v>#REF!</v>
      </c>
      <c r="X114" s="85" t="e">
        <f t="shared" si="43"/>
        <v>#REF!</v>
      </c>
      <c r="Z114" s="92">
        <f t="shared" si="44"/>
        <v>89320</v>
      </c>
      <c r="AA114" s="5">
        <f t="shared" si="32"/>
        <v>0</v>
      </c>
      <c r="AB114" s="92">
        <f t="shared" si="33"/>
        <v>89320</v>
      </c>
    </row>
    <row r="115" spans="1:28" ht="18.399999999999999" thickBot="1" x14ac:dyDescent="0.5">
      <c r="A115" s="36">
        <f>A114+1</f>
        <v>2</v>
      </c>
      <c r="B115" s="673" t="s">
        <v>31</v>
      </c>
      <c r="C115" s="674"/>
      <c r="D115" s="674"/>
      <c r="E115" s="675"/>
      <c r="F115" s="75"/>
      <c r="G115" s="76" t="e">
        <f>(G108+F108)/C85/C86</f>
        <v>#REF!</v>
      </c>
      <c r="H115" s="11"/>
      <c r="I115" s="20">
        <f t="shared" si="35"/>
        <v>37</v>
      </c>
      <c r="J115" s="79" t="e">
        <f t="shared" si="48"/>
        <v>#REF!</v>
      </c>
      <c r="K115" s="79" t="e">
        <f t="shared" si="29"/>
        <v>#REF!</v>
      </c>
      <c r="L115" s="79" t="e">
        <f t="shared" ref="L115:L125" si="51">L114</f>
        <v>#REF!</v>
      </c>
      <c r="M115" s="80" t="e">
        <f t="shared" si="27"/>
        <v>#REF!</v>
      </c>
      <c r="O115" s="20">
        <f t="shared" si="38"/>
        <v>37</v>
      </c>
      <c r="P115" s="54">
        <f t="shared" si="39"/>
        <v>19140.5</v>
      </c>
      <c r="Q115" s="63">
        <f t="shared" si="40"/>
        <v>14294.709431579955</v>
      </c>
      <c r="R115" s="63" t="e">
        <f t="shared" si="45"/>
        <v>#REF!</v>
      </c>
      <c r="S115" s="63" t="e">
        <f t="shared" si="41"/>
        <v>#REF!</v>
      </c>
      <c r="T115" s="63"/>
      <c r="U115" s="63">
        <f t="shared" si="42"/>
        <v>-714.73547157899782</v>
      </c>
      <c r="V115" s="77">
        <f t="shared" si="46"/>
        <v>-178.52083333333334</v>
      </c>
      <c r="W115" s="83" t="e">
        <f t="shared" si="31"/>
        <v>#REF!</v>
      </c>
      <c r="X115" s="85" t="e">
        <f t="shared" si="43"/>
        <v>#REF!</v>
      </c>
      <c r="Z115" s="92">
        <f t="shared" si="44"/>
        <v>85690</v>
      </c>
      <c r="AA115" s="5">
        <f t="shared" si="32"/>
        <v>0</v>
      </c>
      <c r="AB115" s="92">
        <f t="shared" si="33"/>
        <v>85690</v>
      </c>
    </row>
    <row r="116" spans="1:28" x14ac:dyDescent="0.45">
      <c r="I116" s="20">
        <f t="shared" si="35"/>
        <v>38</v>
      </c>
      <c r="J116" s="79" t="e">
        <f t="shared" si="48"/>
        <v>#REF!</v>
      </c>
      <c r="K116" s="79" t="e">
        <f t="shared" si="29"/>
        <v>#REF!</v>
      </c>
      <c r="L116" s="79" t="e">
        <f t="shared" si="51"/>
        <v>#REF!</v>
      </c>
      <c r="M116" s="80" t="e">
        <f t="shared" si="27"/>
        <v>#REF!</v>
      </c>
      <c r="O116" s="20">
        <f t="shared" si="38"/>
        <v>38</v>
      </c>
      <c r="P116" s="54">
        <f t="shared" si="39"/>
        <v>19660.625</v>
      </c>
      <c r="Q116" s="63">
        <f t="shared" si="40"/>
        <v>14294.709431579955</v>
      </c>
      <c r="R116" s="63" t="e">
        <f t="shared" si="45"/>
        <v>#REF!</v>
      </c>
      <c r="S116" s="63" t="e">
        <f t="shared" si="41"/>
        <v>#REF!</v>
      </c>
      <c r="T116" s="63"/>
      <c r="U116" s="63">
        <f t="shared" si="42"/>
        <v>-714.73547157899782</v>
      </c>
      <c r="V116" s="77">
        <f t="shared" si="46"/>
        <v>-170.95833333333334</v>
      </c>
      <c r="W116" s="83" t="e">
        <f t="shared" si="31"/>
        <v>#REF!</v>
      </c>
      <c r="X116" s="85" t="e">
        <f t="shared" si="43"/>
        <v>#REF!</v>
      </c>
      <c r="Z116" s="92">
        <f t="shared" si="44"/>
        <v>82060</v>
      </c>
      <c r="AA116" s="5">
        <f t="shared" si="32"/>
        <v>0</v>
      </c>
      <c r="AB116" s="92">
        <f t="shared" si="33"/>
        <v>82060</v>
      </c>
    </row>
    <row r="117" spans="1:28" x14ac:dyDescent="0.45">
      <c r="I117" s="20">
        <f t="shared" si="35"/>
        <v>39</v>
      </c>
      <c r="J117" s="79" t="e">
        <f t="shared" si="48"/>
        <v>#REF!</v>
      </c>
      <c r="K117" s="79" t="e">
        <f t="shared" si="29"/>
        <v>#REF!</v>
      </c>
      <c r="L117" s="79" t="e">
        <f t="shared" si="51"/>
        <v>#REF!</v>
      </c>
      <c r="M117" s="80" t="e">
        <f t="shared" si="27"/>
        <v>#REF!</v>
      </c>
      <c r="O117" s="20">
        <f t="shared" si="38"/>
        <v>39</v>
      </c>
      <c r="P117" s="54">
        <f t="shared" si="39"/>
        <v>20180.75</v>
      </c>
      <c r="Q117" s="63">
        <f t="shared" si="40"/>
        <v>14294.709431579955</v>
      </c>
      <c r="R117" s="63" t="e">
        <f t="shared" si="45"/>
        <v>#REF!</v>
      </c>
      <c r="S117" s="63" t="e">
        <f t="shared" si="41"/>
        <v>#REF!</v>
      </c>
      <c r="T117" s="63"/>
      <c r="U117" s="63">
        <f t="shared" si="42"/>
        <v>-714.73547157899782</v>
      </c>
      <c r="V117" s="77">
        <f t="shared" si="46"/>
        <v>-163.39583333333334</v>
      </c>
      <c r="W117" s="83" t="e">
        <f t="shared" si="31"/>
        <v>#REF!</v>
      </c>
      <c r="X117" s="85" t="e">
        <f t="shared" si="43"/>
        <v>#REF!</v>
      </c>
      <c r="Z117" s="92">
        <f t="shared" si="44"/>
        <v>78430</v>
      </c>
      <c r="AA117" s="5">
        <f t="shared" si="32"/>
        <v>0</v>
      </c>
      <c r="AB117" s="92">
        <f t="shared" si="33"/>
        <v>78430</v>
      </c>
    </row>
    <row r="118" spans="1:28" x14ac:dyDescent="0.45">
      <c r="I118" s="20">
        <f t="shared" si="35"/>
        <v>40</v>
      </c>
      <c r="J118" s="79" t="e">
        <f t="shared" si="48"/>
        <v>#REF!</v>
      </c>
      <c r="K118" s="79" t="e">
        <f t="shared" si="29"/>
        <v>#REF!</v>
      </c>
      <c r="L118" s="79" t="e">
        <f t="shared" si="51"/>
        <v>#REF!</v>
      </c>
      <c r="M118" s="80" t="e">
        <f t="shared" si="27"/>
        <v>#REF!</v>
      </c>
      <c r="O118" s="20">
        <f t="shared" si="38"/>
        <v>40</v>
      </c>
      <c r="P118" s="54">
        <f t="shared" si="39"/>
        <v>20700.875</v>
      </c>
      <c r="Q118" s="63">
        <f t="shared" si="40"/>
        <v>14294.709431579955</v>
      </c>
      <c r="R118" s="63" t="e">
        <f t="shared" si="45"/>
        <v>#REF!</v>
      </c>
      <c r="S118" s="63" t="e">
        <f t="shared" si="41"/>
        <v>#REF!</v>
      </c>
      <c r="T118" s="63"/>
      <c r="U118" s="63">
        <f t="shared" si="42"/>
        <v>-714.73547157899782</v>
      </c>
      <c r="V118" s="77">
        <f t="shared" si="46"/>
        <v>-155.83333333333334</v>
      </c>
      <c r="W118" s="83" t="e">
        <f t="shared" si="31"/>
        <v>#REF!</v>
      </c>
      <c r="X118" s="85" t="e">
        <f t="shared" si="43"/>
        <v>#REF!</v>
      </c>
      <c r="Z118" s="92">
        <f t="shared" si="44"/>
        <v>74800</v>
      </c>
      <c r="AA118" s="5">
        <f t="shared" si="32"/>
        <v>0</v>
      </c>
      <c r="AB118" s="92">
        <f t="shared" si="33"/>
        <v>74800</v>
      </c>
    </row>
    <row r="119" spans="1:28" x14ac:dyDescent="0.45">
      <c r="I119" s="20">
        <f t="shared" si="35"/>
        <v>41</v>
      </c>
      <c r="J119" s="79" t="e">
        <f t="shared" si="48"/>
        <v>#REF!</v>
      </c>
      <c r="K119" s="79" t="e">
        <f t="shared" si="29"/>
        <v>#REF!</v>
      </c>
      <c r="L119" s="79" t="e">
        <f t="shared" si="51"/>
        <v>#REF!</v>
      </c>
      <c r="M119" s="80" t="e">
        <f t="shared" si="27"/>
        <v>#REF!</v>
      </c>
      <c r="O119" s="20">
        <f t="shared" si="38"/>
        <v>41</v>
      </c>
      <c r="P119" s="54">
        <f t="shared" si="39"/>
        <v>21221</v>
      </c>
      <c r="Q119" s="63">
        <f t="shared" si="40"/>
        <v>14294.709431579955</v>
      </c>
      <c r="R119" s="63" t="e">
        <f t="shared" si="45"/>
        <v>#REF!</v>
      </c>
      <c r="S119" s="63" t="e">
        <f t="shared" si="41"/>
        <v>#REF!</v>
      </c>
      <c r="T119" s="63"/>
      <c r="U119" s="63">
        <f t="shared" si="42"/>
        <v>-714.73547157899782</v>
      </c>
      <c r="V119" s="77">
        <f t="shared" si="46"/>
        <v>-148.27083333333334</v>
      </c>
      <c r="W119" s="83" t="e">
        <f t="shared" si="31"/>
        <v>#REF!</v>
      </c>
      <c r="X119" s="85" t="e">
        <f t="shared" si="43"/>
        <v>#REF!</v>
      </c>
      <c r="Z119" s="92">
        <f t="shared" si="44"/>
        <v>71170</v>
      </c>
      <c r="AA119" s="5">
        <f t="shared" si="32"/>
        <v>0</v>
      </c>
      <c r="AB119" s="92">
        <f t="shared" si="33"/>
        <v>71170</v>
      </c>
    </row>
    <row r="120" spans="1:28" x14ac:dyDescent="0.45">
      <c r="I120" s="20">
        <f t="shared" si="35"/>
        <v>42</v>
      </c>
      <c r="J120" s="79" t="e">
        <f t="shared" si="48"/>
        <v>#REF!</v>
      </c>
      <c r="K120" s="79" t="e">
        <f t="shared" si="29"/>
        <v>#REF!</v>
      </c>
      <c r="L120" s="79" t="e">
        <f t="shared" si="51"/>
        <v>#REF!</v>
      </c>
      <c r="M120" s="80" t="e">
        <f t="shared" si="27"/>
        <v>#REF!</v>
      </c>
      <c r="O120" s="20">
        <f t="shared" si="38"/>
        <v>42</v>
      </c>
      <c r="P120" s="54">
        <f t="shared" si="39"/>
        <v>21741.125</v>
      </c>
      <c r="Q120" s="63">
        <f t="shared" si="40"/>
        <v>14294.709431579955</v>
      </c>
      <c r="R120" s="63" t="e">
        <f t="shared" si="45"/>
        <v>#REF!</v>
      </c>
      <c r="S120" s="63" t="e">
        <f t="shared" si="41"/>
        <v>#REF!</v>
      </c>
      <c r="T120" s="63"/>
      <c r="U120" s="63">
        <f t="shared" si="42"/>
        <v>-714.73547157899782</v>
      </c>
      <c r="V120" s="77">
        <f t="shared" si="46"/>
        <v>-140.70833333333334</v>
      </c>
      <c r="W120" s="83" t="e">
        <f t="shared" si="31"/>
        <v>#REF!</v>
      </c>
      <c r="X120" s="85" t="e">
        <f t="shared" si="43"/>
        <v>#REF!</v>
      </c>
      <c r="Z120" s="92">
        <f t="shared" si="44"/>
        <v>67540</v>
      </c>
      <c r="AA120" s="5">
        <f t="shared" si="32"/>
        <v>0</v>
      </c>
      <c r="AB120" s="92">
        <f t="shared" si="33"/>
        <v>67540</v>
      </c>
    </row>
    <row r="121" spans="1:28" x14ac:dyDescent="0.45">
      <c r="I121" s="20">
        <f t="shared" si="35"/>
        <v>43</v>
      </c>
      <c r="J121" s="79" t="e">
        <f t="shared" si="48"/>
        <v>#REF!</v>
      </c>
      <c r="K121" s="79" t="e">
        <f t="shared" si="29"/>
        <v>#REF!</v>
      </c>
      <c r="L121" s="79" t="e">
        <f t="shared" si="51"/>
        <v>#REF!</v>
      </c>
      <c r="M121" s="80" t="e">
        <f t="shared" si="27"/>
        <v>#REF!</v>
      </c>
      <c r="O121" s="20">
        <f t="shared" si="38"/>
        <v>43</v>
      </c>
      <c r="P121" s="54">
        <f t="shared" si="39"/>
        <v>22261.25</v>
      </c>
      <c r="Q121" s="63">
        <f t="shared" si="40"/>
        <v>14294.709431579955</v>
      </c>
      <c r="R121" s="63" t="e">
        <f t="shared" si="45"/>
        <v>#REF!</v>
      </c>
      <c r="S121" s="63" t="e">
        <f t="shared" si="41"/>
        <v>#REF!</v>
      </c>
      <c r="T121" s="63"/>
      <c r="U121" s="63">
        <f t="shared" si="42"/>
        <v>-714.73547157899782</v>
      </c>
      <c r="V121" s="77">
        <f t="shared" si="46"/>
        <v>-133.14583333333334</v>
      </c>
      <c r="W121" s="83" t="e">
        <f t="shared" si="31"/>
        <v>#REF!</v>
      </c>
      <c r="X121" s="85" t="e">
        <f t="shared" si="43"/>
        <v>#REF!</v>
      </c>
      <c r="Z121" s="92">
        <f t="shared" si="44"/>
        <v>63910</v>
      </c>
      <c r="AA121" s="5">
        <f t="shared" si="32"/>
        <v>0</v>
      </c>
      <c r="AB121" s="92">
        <f t="shared" si="33"/>
        <v>63910</v>
      </c>
    </row>
    <row r="122" spans="1:28" x14ac:dyDescent="0.45">
      <c r="I122" s="20">
        <f t="shared" si="35"/>
        <v>44</v>
      </c>
      <c r="J122" s="79" t="e">
        <f t="shared" si="48"/>
        <v>#REF!</v>
      </c>
      <c r="K122" s="79" t="e">
        <f t="shared" si="29"/>
        <v>#REF!</v>
      </c>
      <c r="L122" s="79" t="e">
        <f t="shared" si="51"/>
        <v>#REF!</v>
      </c>
      <c r="M122" s="80" t="e">
        <f t="shared" si="27"/>
        <v>#REF!</v>
      </c>
      <c r="O122" s="20">
        <f t="shared" si="38"/>
        <v>44</v>
      </c>
      <c r="P122" s="54">
        <f t="shared" si="39"/>
        <v>22781.375</v>
      </c>
      <c r="Q122" s="63">
        <f t="shared" si="40"/>
        <v>14294.709431579955</v>
      </c>
      <c r="R122" s="63" t="e">
        <f t="shared" si="45"/>
        <v>#REF!</v>
      </c>
      <c r="S122" s="63" t="e">
        <f t="shared" si="41"/>
        <v>#REF!</v>
      </c>
      <c r="T122" s="63"/>
      <c r="U122" s="63">
        <f t="shared" si="42"/>
        <v>-714.73547157899782</v>
      </c>
      <c r="V122" s="77">
        <f t="shared" si="46"/>
        <v>-125.58333333333333</v>
      </c>
      <c r="W122" s="83" t="e">
        <f t="shared" si="31"/>
        <v>#REF!</v>
      </c>
      <c r="X122" s="85" t="e">
        <f t="shared" si="43"/>
        <v>#REF!</v>
      </c>
      <c r="Z122" s="92">
        <f t="shared" si="44"/>
        <v>60280</v>
      </c>
      <c r="AA122" s="5">
        <f t="shared" si="32"/>
        <v>0</v>
      </c>
      <c r="AB122" s="92">
        <f t="shared" si="33"/>
        <v>60280</v>
      </c>
    </row>
    <row r="123" spans="1:28" x14ac:dyDescent="0.45">
      <c r="I123" s="20">
        <f t="shared" si="35"/>
        <v>45</v>
      </c>
      <c r="J123" s="79" t="e">
        <f t="shared" si="48"/>
        <v>#REF!</v>
      </c>
      <c r="K123" s="79" t="e">
        <f t="shared" si="29"/>
        <v>#REF!</v>
      </c>
      <c r="L123" s="79" t="e">
        <f t="shared" si="51"/>
        <v>#REF!</v>
      </c>
      <c r="M123" s="80" t="e">
        <f t="shared" si="27"/>
        <v>#REF!</v>
      </c>
      <c r="O123" s="20">
        <f t="shared" si="38"/>
        <v>45</v>
      </c>
      <c r="P123" s="54">
        <f t="shared" si="39"/>
        <v>23301.5</v>
      </c>
      <c r="Q123" s="63">
        <f t="shared" si="40"/>
        <v>14294.709431579955</v>
      </c>
      <c r="R123" s="63" t="e">
        <f t="shared" si="45"/>
        <v>#REF!</v>
      </c>
      <c r="S123" s="63" t="e">
        <f t="shared" si="41"/>
        <v>#REF!</v>
      </c>
      <c r="T123" s="63"/>
      <c r="U123" s="63">
        <f t="shared" si="42"/>
        <v>-714.73547157899782</v>
      </c>
      <c r="V123" s="77">
        <f t="shared" si="46"/>
        <v>-118.02083333333333</v>
      </c>
      <c r="W123" s="83" t="e">
        <f t="shared" si="31"/>
        <v>#REF!</v>
      </c>
      <c r="X123" s="85" t="e">
        <f t="shared" si="43"/>
        <v>#REF!</v>
      </c>
      <c r="Z123" s="92">
        <f t="shared" si="44"/>
        <v>56650</v>
      </c>
      <c r="AA123" s="5">
        <f t="shared" si="32"/>
        <v>0</v>
      </c>
      <c r="AB123" s="92">
        <f t="shared" si="33"/>
        <v>56650</v>
      </c>
    </row>
    <row r="124" spans="1:28" x14ac:dyDescent="0.45">
      <c r="I124" s="20">
        <f t="shared" si="35"/>
        <v>46</v>
      </c>
      <c r="J124" s="79" t="e">
        <f t="shared" si="48"/>
        <v>#REF!</v>
      </c>
      <c r="K124" s="79" t="e">
        <f t="shared" si="29"/>
        <v>#REF!</v>
      </c>
      <c r="L124" s="79" t="e">
        <f t="shared" si="51"/>
        <v>#REF!</v>
      </c>
      <c r="M124" s="80" t="e">
        <f t="shared" si="27"/>
        <v>#REF!</v>
      </c>
      <c r="O124" s="20">
        <f t="shared" si="38"/>
        <v>46</v>
      </c>
      <c r="P124" s="54">
        <f t="shared" si="39"/>
        <v>23821.625</v>
      </c>
      <c r="Q124" s="63">
        <f t="shared" si="40"/>
        <v>14294.709431579955</v>
      </c>
      <c r="R124" s="63" t="e">
        <f t="shared" si="45"/>
        <v>#REF!</v>
      </c>
      <c r="S124" s="63" t="e">
        <f t="shared" si="41"/>
        <v>#REF!</v>
      </c>
      <c r="T124" s="63"/>
      <c r="U124" s="63">
        <f t="shared" si="42"/>
        <v>-714.73547157899782</v>
      </c>
      <c r="V124" s="77">
        <f t="shared" si="46"/>
        <v>-110.45833333333333</v>
      </c>
      <c r="W124" s="83" t="e">
        <f t="shared" si="31"/>
        <v>#REF!</v>
      </c>
      <c r="X124" s="85" t="e">
        <f t="shared" si="43"/>
        <v>#REF!</v>
      </c>
      <c r="Z124" s="92">
        <f t="shared" si="44"/>
        <v>53020</v>
      </c>
      <c r="AA124" s="5">
        <f t="shared" si="32"/>
        <v>0</v>
      </c>
      <c r="AB124" s="92">
        <f t="shared" si="33"/>
        <v>53020</v>
      </c>
    </row>
    <row r="125" spans="1:28" x14ac:dyDescent="0.45">
      <c r="I125" s="20">
        <f t="shared" si="35"/>
        <v>47</v>
      </c>
      <c r="J125" s="79" t="e">
        <f t="shared" si="48"/>
        <v>#REF!</v>
      </c>
      <c r="K125" s="79" t="e">
        <f t="shared" si="29"/>
        <v>#REF!</v>
      </c>
      <c r="L125" s="79" t="e">
        <f t="shared" si="51"/>
        <v>#REF!</v>
      </c>
      <c r="M125" s="80" t="e">
        <f t="shared" si="27"/>
        <v>#REF!</v>
      </c>
      <c r="O125" s="20">
        <f t="shared" si="38"/>
        <v>47</v>
      </c>
      <c r="P125" s="54">
        <f t="shared" si="39"/>
        <v>24341.75</v>
      </c>
      <c r="Q125" s="63">
        <f t="shared" si="40"/>
        <v>14294.709431579955</v>
      </c>
      <c r="R125" s="63" t="e">
        <f t="shared" si="45"/>
        <v>#REF!</v>
      </c>
      <c r="S125" s="63" t="e">
        <f t="shared" si="41"/>
        <v>#REF!</v>
      </c>
      <c r="T125" s="63"/>
      <c r="U125" s="63">
        <f t="shared" si="42"/>
        <v>-714.73547157899782</v>
      </c>
      <c r="V125" s="77">
        <f t="shared" si="46"/>
        <v>-102.89583333333333</v>
      </c>
      <c r="W125" s="83" t="e">
        <f t="shared" si="31"/>
        <v>#REF!</v>
      </c>
      <c r="X125" s="85" t="e">
        <f t="shared" si="43"/>
        <v>#REF!</v>
      </c>
      <c r="Z125" s="92">
        <f t="shared" si="44"/>
        <v>49390</v>
      </c>
      <c r="AA125" s="5">
        <f t="shared" si="32"/>
        <v>0</v>
      </c>
      <c r="AB125" s="92">
        <f t="shared" si="33"/>
        <v>49390</v>
      </c>
    </row>
    <row r="126" spans="1:28" ht="14.65" thickBot="1" x14ac:dyDescent="0.5">
      <c r="I126" s="20">
        <f t="shared" si="35"/>
        <v>48</v>
      </c>
      <c r="J126" s="79" t="e">
        <f t="shared" si="48"/>
        <v>#REF!</v>
      </c>
      <c r="K126" s="79" t="e">
        <f t="shared" si="29"/>
        <v>#REF!</v>
      </c>
      <c r="L126" s="79" t="e">
        <f>+L129</f>
        <v>#REF!</v>
      </c>
      <c r="M126" s="80" t="e">
        <f t="shared" si="27"/>
        <v>#REF!</v>
      </c>
      <c r="O126" s="20">
        <f t="shared" si="38"/>
        <v>48</v>
      </c>
      <c r="P126" s="54">
        <f t="shared" si="39"/>
        <v>24861.875</v>
      </c>
      <c r="Q126" s="63">
        <f t="shared" si="40"/>
        <v>14294.709431579955</v>
      </c>
      <c r="R126" s="63" t="e">
        <f t="shared" si="45"/>
        <v>#REF!</v>
      </c>
      <c r="S126" s="63" t="e">
        <f t="shared" si="41"/>
        <v>#REF!</v>
      </c>
      <c r="T126" s="63" t="e">
        <f>-T128*0.5</f>
        <v>#REF!</v>
      </c>
      <c r="U126" s="63">
        <f t="shared" si="42"/>
        <v>-714.73547157899782</v>
      </c>
      <c r="V126" s="77">
        <f t="shared" si="46"/>
        <v>-95.333333333333329</v>
      </c>
      <c r="W126" s="83" t="e">
        <f t="shared" si="31"/>
        <v>#REF!</v>
      </c>
      <c r="X126" s="86" t="e">
        <f t="shared" si="43"/>
        <v>#REF!</v>
      </c>
      <c r="Z126" s="92">
        <f t="shared" si="44"/>
        <v>45760</v>
      </c>
      <c r="AA126" s="5">
        <f t="shared" si="32"/>
        <v>0</v>
      </c>
      <c r="AB126" s="92">
        <f t="shared" si="33"/>
        <v>45760</v>
      </c>
    </row>
    <row r="127" spans="1:28" ht="14.65" thickBot="1" x14ac:dyDescent="0.5">
      <c r="I127" s="21" t="s">
        <v>20</v>
      </c>
      <c r="J127" s="69" t="e">
        <f>C79*C83</f>
        <v>#REF!</v>
      </c>
      <c r="K127" s="69" t="e">
        <f>SUM(K79:K126)</f>
        <v>#REF!</v>
      </c>
      <c r="L127" s="81"/>
      <c r="M127" s="82"/>
      <c r="O127" s="58"/>
      <c r="P127" s="59"/>
      <c r="Q127" s="81"/>
      <c r="R127" s="69" t="e">
        <f>SUM(R79:R126)</f>
        <v>#REF!</v>
      </c>
      <c r="S127" s="87" t="e">
        <f>SUM(S79:S126)</f>
        <v>#REF!</v>
      </c>
      <c r="T127" s="87" t="e">
        <f>SUM(T79:T126)</f>
        <v>#REF!</v>
      </c>
      <c r="U127" s="69">
        <f>SUM(U79:U126)</f>
        <v>-34307.302635791908</v>
      </c>
      <c r="V127" s="69">
        <f>SUM(V79:V126)</f>
        <v>-13106.500000000013</v>
      </c>
      <c r="W127" s="88"/>
      <c r="X127" s="82"/>
    </row>
    <row r="128" spans="1:28" x14ac:dyDescent="0.45">
      <c r="Q128" s="89"/>
      <c r="R128" s="89"/>
      <c r="S128" s="90" t="e">
        <f>D103</f>
        <v>#REF!</v>
      </c>
      <c r="T128" s="60" t="e">
        <f>D104</f>
        <v>#REF!</v>
      </c>
      <c r="U128" s="89"/>
      <c r="V128" s="89"/>
      <c r="W128" s="89"/>
      <c r="X128" s="89"/>
    </row>
    <row r="129" spans="12:24" ht="14.65" thickBot="1" x14ac:dyDescent="0.5">
      <c r="L129" s="129" t="e">
        <f>+PMT(C80/12,C84,(C79),,)</f>
        <v>#REF!</v>
      </c>
      <c r="Q129" s="89"/>
      <c r="R129" s="89"/>
      <c r="S129" s="91" t="e">
        <f>S127+S128</f>
        <v>#REF!</v>
      </c>
      <c r="T129" s="66" t="e">
        <f>T127+T128</f>
        <v>#REF!</v>
      </c>
      <c r="U129" s="89"/>
      <c r="V129" s="89"/>
      <c r="W129" s="89"/>
      <c r="X129" s="89"/>
    </row>
  </sheetData>
  <mergeCells count="21">
    <mergeCell ref="A75:C75"/>
    <mergeCell ref="D75:X75"/>
    <mergeCell ref="A1:X1"/>
    <mergeCell ref="A3:C3"/>
    <mergeCell ref="D3:X3"/>
    <mergeCell ref="A5:C5"/>
    <mergeCell ref="I5:M5"/>
    <mergeCell ref="O5:X5"/>
    <mergeCell ref="A16:E16"/>
    <mergeCell ref="A25:G25"/>
    <mergeCell ref="A41:G41"/>
    <mergeCell ref="B42:E42"/>
    <mergeCell ref="B43:E43"/>
    <mergeCell ref="B114:E114"/>
    <mergeCell ref="B115:E115"/>
    <mergeCell ref="A77:C77"/>
    <mergeCell ref="I77:M77"/>
    <mergeCell ref="O77:X77"/>
    <mergeCell ref="A88:E88"/>
    <mergeCell ref="A97:G97"/>
    <mergeCell ref="A113:G113"/>
  </mergeCells>
  <printOptions horizontalCentered="1"/>
  <pageMargins left="0.70866141732283505" right="0.70866141732283505" top="0.74803149606299202" bottom="0.74803149606299202" header="0.31496062992126" footer="0.31496062992126"/>
  <headerFooter>
    <oddHeader>&amp;R&amp;A</oddHeader>
    <oddFooter>&amp;L&amp;D&amp;C&amp;P&amp;R&amp;A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7CA67-51FF-474D-B70C-6E44A1B1EC88}">
  <sheetPr>
    <tabColor theme="9" tint="-0.249977111117893"/>
    <pageSetUpPr fitToPage="1"/>
  </sheetPr>
  <dimension ref="A1:AE129"/>
  <sheetViews>
    <sheetView workbookViewId="0">
      <selection activeCell="F10" sqref="F10"/>
    </sheetView>
  </sheetViews>
  <sheetFormatPr defaultColWidth="9.1328125" defaultRowHeight="14.25" x14ac:dyDescent="0.45"/>
  <cols>
    <col min="1" max="1" width="6.265625" style="3" customWidth="1"/>
    <col min="2" max="2" width="18.265625" style="3" bestFit="1" customWidth="1"/>
    <col min="3" max="4" width="15" style="3" bestFit="1" customWidth="1"/>
    <col min="5" max="5" width="14" style="3" bestFit="1" customWidth="1"/>
    <col min="6" max="6" width="17.3984375" style="3" bestFit="1" customWidth="1"/>
    <col min="7" max="7" width="15.1328125" style="3" bestFit="1" customWidth="1"/>
    <col min="8" max="8" width="9.1328125" style="3"/>
    <col min="9" max="9" width="7.3984375" style="3" bestFit="1" customWidth="1"/>
    <col min="10" max="10" width="15" style="3" bestFit="1" customWidth="1"/>
    <col min="11" max="11" width="14" style="3" bestFit="1" customWidth="1"/>
    <col min="12" max="12" width="13.1328125" style="3" bestFit="1" customWidth="1"/>
    <col min="13" max="13" width="15" style="3" bestFit="1" customWidth="1"/>
    <col min="14" max="16" width="9.1328125" style="3"/>
    <col min="17" max="19" width="15.86328125" style="3" bestFit="1" customWidth="1"/>
    <col min="20" max="21" width="14.73046875" style="3" customWidth="1"/>
    <col min="22" max="22" width="13.265625" style="3" bestFit="1" customWidth="1"/>
    <col min="23" max="23" width="14.86328125" style="3" bestFit="1" customWidth="1"/>
    <col min="24" max="24" width="15.1328125" style="3" bestFit="1" customWidth="1"/>
    <col min="25" max="25" width="9.1328125" style="3"/>
    <col min="26" max="26" width="12.73046875" style="3" bestFit="1" customWidth="1"/>
    <col min="27" max="27" width="9.1328125" style="3"/>
    <col min="28" max="29" width="16.265625" style="3" customWidth="1"/>
    <col min="30" max="30" width="16.3984375" style="3" customWidth="1"/>
    <col min="31" max="16384" width="9.1328125" style="3"/>
  </cols>
  <sheetData>
    <row r="1" spans="1:31" ht="62.25" customHeight="1" thickBot="1" x14ac:dyDescent="0.5">
      <c r="A1" s="676">
        <f>+ASSUMPTIONS!B1</f>
        <v>0</v>
      </c>
      <c r="B1" s="677"/>
      <c r="C1" s="677"/>
      <c r="D1" s="677"/>
      <c r="E1" s="677"/>
      <c r="F1" s="677"/>
      <c r="G1" s="677"/>
      <c r="H1" s="677"/>
      <c r="I1" s="677"/>
      <c r="J1" s="677"/>
      <c r="K1" s="677"/>
      <c r="L1" s="677"/>
      <c r="M1" s="677"/>
      <c r="N1" s="677"/>
      <c r="O1" s="677"/>
      <c r="P1" s="677"/>
      <c r="Q1" s="677"/>
      <c r="R1" s="677"/>
      <c r="S1" s="677"/>
      <c r="T1" s="677"/>
      <c r="U1" s="677"/>
      <c r="V1" s="677"/>
      <c r="W1" s="677"/>
      <c r="X1" s="678"/>
    </row>
    <row r="2" spans="1:31" ht="16.149999999999999" thickBot="1" x14ac:dyDescent="0.5">
      <c r="A2" s="308"/>
      <c r="B2" s="308"/>
      <c r="C2" s="309"/>
      <c r="D2" s="309"/>
      <c r="E2" s="309"/>
      <c r="F2" s="309"/>
      <c r="G2" s="309"/>
      <c r="H2" s="309"/>
      <c r="I2" s="310"/>
      <c r="J2" s="309"/>
      <c r="K2" s="309"/>
      <c r="L2" s="309"/>
      <c r="M2" s="309"/>
    </row>
    <row r="3" spans="1:31" ht="32.25" customHeight="1" thickBot="1" x14ac:dyDescent="0.5">
      <c r="A3" s="679" t="s">
        <v>134</v>
      </c>
      <c r="B3" s="680"/>
      <c r="C3" s="681"/>
      <c r="D3" s="682" t="s">
        <v>2</v>
      </c>
      <c r="E3" s="683"/>
      <c r="F3" s="683"/>
      <c r="G3" s="683"/>
      <c r="H3" s="683"/>
      <c r="I3" s="683"/>
      <c r="J3" s="683"/>
      <c r="K3" s="683"/>
      <c r="L3" s="683"/>
      <c r="M3" s="683"/>
      <c r="N3" s="683"/>
      <c r="O3" s="683"/>
      <c r="P3" s="683"/>
      <c r="Q3" s="683"/>
      <c r="R3" s="683"/>
      <c r="S3" s="683"/>
      <c r="T3" s="683"/>
      <c r="U3" s="683"/>
      <c r="V3" s="683"/>
      <c r="W3" s="683"/>
      <c r="X3" s="684"/>
    </row>
    <row r="4" spans="1:31" ht="14.65" thickBot="1" x14ac:dyDescent="0.5">
      <c r="C4" s="11"/>
      <c r="D4" s="11"/>
      <c r="E4" s="11"/>
      <c r="F4" s="11"/>
      <c r="G4" s="11"/>
      <c r="H4" s="11"/>
      <c r="I4" s="12"/>
      <c r="J4" s="11"/>
      <c r="K4" s="11"/>
      <c r="L4" s="11"/>
      <c r="M4" s="11"/>
      <c r="Q4" s="368">
        <f>+'Summary Equip'!AC10</f>
        <v>520.125</v>
      </c>
      <c r="U4" s="57">
        <v>0.05</v>
      </c>
    </row>
    <row r="5" spans="1:31" ht="23.25" customHeight="1" thickBot="1" x14ac:dyDescent="0.5">
      <c r="A5" s="685" t="s">
        <v>9</v>
      </c>
      <c r="B5" s="686"/>
      <c r="C5" s="687"/>
      <c r="D5" s="11"/>
      <c r="E5" s="11"/>
      <c r="F5" s="11"/>
      <c r="G5" s="11"/>
      <c r="H5" s="11"/>
      <c r="I5" s="688" t="s">
        <v>34</v>
      </c>
      <c r="J5" s="689"/>
      <c r="K5" s="689"/>
      <c r="L5" s="689"/>
      <c r="M5" s="690"/>
      <c r="O5" s="688" t="s">
        <v>35</v>
      </c>
      <c r="P5" s="691"/>
      <c r="Q5" s="689"/>
      <c r="R5" s="689"/>
      <c r="S5" s="689"/>
      <c r="T5" s="689"/>
      <c r="U5" s="689"/>
      <c r="V5" s="689"/>
      <c r="W5" s="692"/>
      <c r="X5" s="693"/>
      <c r="AA5" s="145">
        <v>0</v>
      </c>
    </row>
    <row r="6" spans="1:31" ht="28.9" thickBot="1" x14ac:dyDescent="0.5">
      <c r="A6" s="29" t="s">
        <v>0</v>
      </c>
      <c r="B6" s="28" t="s">
        <v>1</v>
      </c>
      <c r="C6" s="50" t="s">
        <v>10</v>
      </c>
      <c r="D6" s="11"/>
      <c r="E6" s="11"/>
      <c r="F6" s="11"/>
      <c r="G6" s="11"/>
      <c r="H6" s="11"/>
      <c r="I6" s="16" t="s">
        <v>15</v>
      </c>
      <c r="J6" s="17" t="s">
        <v>70</v>
      </c>
      <c r="K6" s="17" t="s">
        <v>17</v>
      </c>
      <c r="L6" s="17" t="s">
        <v>18</v>
      </c>
      <c r="M6" s="18" t="s">
        <v>19</v>
      </c>
      <c r="O6" s="16" t="s">
        <v>15</v>
      </c>
      <c r="P6" s="52" t="s">
        <v>39</v>
      </c>
      <c r="Q6" s="17" t="s">
        <v>36</v>
      </c>
      <c r="R6" s="17" t="s">
        <v>37</v>
      </c>
      <c r="S6" s="17" t="s">
        <v>27</v>
      </c>
      <c r="T6" s="17" t="s">
        <v>38</v>
      </c>
      <c r="U6" s="17" t="s">
        <v>7</v>
      </c>
      <c r="V6" s="17" t="s">
        <v>41</v>
      </c>
      <c r="W6" s="18" t="s">
        <v>40</v>
      </c>
      <c r="X6" s="55" t="s">
        <v>42</v>
      </c>
      <c r="Z6" s="5" t="s">
        <v>71</v>
      </c>
      <c r="AA6" s="5" t="s">
        <v>46</v>
      </c>
      <c r="AB6" s="5" t="s">
        <v>47</v>
      </c>
    </row>
    <row r="7" spans="1:31" x14ac:dyDescent="0.45">
      <c r="A7" s="8">
        <v>1</v>
      </c>
      <c r="B7" s="9" t="s">
        <v>11</v>
      </c>
      <c r="C7" s="152">
        <f>+F11*(1+'Summary Equip'!$N$3)</f>
        <v>557560.97560975607</v>
      </c>
      <c r="D7" s="11"/>
      <c r="E7" s="8" t="s">
        <v>61</v>
      </c>
      <c r="F7" s="150">
        <v>460000</v>
      </c>
      <c r="G7" s="106"/>
      <c r="H7" s="383">
        <v>1</v>
      </c>
      <c r="I7" s="15">
        <v>1</v>
      </c>
      <c r="J7" s="77">
        <f>C7</f>
        <v>557560.97560975607</v>
      </c>
      <c r="K7" s="77">
        <f>J7*$C$8*30.44/365.25</f>
        <v>2462.7632393449189</v>
      </c>
      <c r="L7" s="77">
        <f>+L69</f>
        <v>-10598.668373599643</v>
      </c>
      <c r="M7" s="78">
        <f t="shared" ref="M7:M66" si="0">J7+K7+L7</f>
        <v>549425.07047550136</v>
      </c>
      <c r="O7" s="15">
        <v>1</v>
      </c>
      <c r="P7" s="53">
        <f>Q4</f>
        <v>520.125</v>
      </c>
      <c r="Q7" s="77">
        <f>$F$42+($Q$4*$G$42)</f>
        <v>21894.106046689736</v>
      </c>
      <c r="R7" s="77">
        <f>+L7</f>
        <v>-10598.668373599643</v>
      </c>
      <c r="S7" s="77">
        <f>+IF(R7=0,,-S68/C12)</f>
        <v>-3833.3333333333335</v>
      </c>
      <c r="T7" s="77"/>
      <c r="U7" s="77">
        <f>-Q7*U4</f>
        <v>-1094.7053023344868</v>
      </c>
      <c r="V7" s="77">
        <f>-(AB7*$C$9/12)</f>
        <v>-942.52083333333337</v>
      </c>
      <c r="W7" s="83">
        <f>SUM(Q7:V7)</f>
        <v>5424.8782040889391</v>
      </c>
      <c r="X7" s="84">
        <f>W7</f>
        <v>5424.8782040889391</v>
      </c>
      <c r="Z7" s="92">
        <f>+$D$27-(($D$27+$D$28)*O7/$B$22)</f>
        <v>452410</v>
      </c>
      <c r="AA7" s="5">
        <f>+Z7*$AA$5</f>
        <v>0</v>
      </c>
      <c r="AB7" s="92">
        <f>+Z7+AA7</f>
        <v>452410</v>
      </c>
      <c r="AC7" s="132"/>
      <c r="AD7" s="132">
        <f>+S7</f>
        <v>-3833.3333333333335</v>
      </c>
      <c r="AE7" s="3">
        <f>+IF(AD7=0,0,1)</f>
        <v>1</v>
      </c>
    </row>
    <row r="8" spans="1:31" ht="28.5" x14ac:dyDescent="0.45">
      <c r="A8" s="4">
        <f>A7+1</f>
        <v>2</v>
      </c>
      <c r="B8" s="5" t="s">
        <v>3</v>
      </c>
      <c r="C8" s="156">
        <f>+'Summary Equip'!R12</f>
        <v>5.2999999999999999E-2</v>
      </c>
      <c r="D8" s="11"/>
      <c r="E8" s="107" t="s">
        <v>64</v>
      </c>
      <c r="F8" s="311">
        <f>+'Summary Equip'!D12</f>
        <v>0</v>
      </c>
      <c r="G8" s="108"/>
      <c r="H8" s="383">
        <f>+'Summary Equip'!C10</f>
        <v>1</v>
      </c>
      <c r="I8" s="14">
        <f>I7+1</f>
        <v>2</v>
      </c>
      <c r="J8" s="63">
        <f>+IF(M7&lt;0,,M7)</f>
        <v>549425.07047550136</v>
      </c>
      <c r="K8" s="63">
        <f t="shared" ref="K8:K54" si="1">J8*$C$8*30.44/365.25</f>
        <v>2426.8267069118024</v>
      </c>
      <c r="L8" s="63">
        <f>IF(M7&lt;0,,L7)</f>
        <v>-10598.668373599643</v>
      </c>
      <c r="M8" s="65">
        <f t="shared" si="0"/>
        <v>541253.2288088135</v>
      </c>
      <c r="O8" s="14">
        <f>O7+1</f>
        <v>2</v>
      </c>
      <c r="P8" s="54">
        <f>P7+$Q$4</f>
        <v>1040.25</v>
      </c>
      <c r="Q8" s="63">
        <f>$F$42+($Q$4*$G$42)</f>
        <v>21894.106046689736</v>
      </c>
      <c r="R8" s="77">
        <f t="shared" ref="R8:R66" si="2">+L8</f>
        <v>-10598.668373599643</v>
      </c>
      <c r="S8" s="63">
        <f>+IF(R8=0,,S7)</f>
        <v>-3833.3333333333335</v>
      </c>
      <c r="T8" s="63"/>
      <c r="U8" s="63">
        <f>U7</f>
        <v>-1094.7053023344868</v>
      </c>
      <c r="V8" s="77">
        <f t="shared" ref="V8:V14" si="3">-(AB8*$C$9/12)</f>
        <v>-926.70833333333337</v>
      </c>
      <c r="W8" s="83">
        <f t="shared" ref="W8:W66" si="4">SUM(Q8:V8)</f>
        <v>5440.6907040889391</v>
      </c>
      <c r="X8" s="85">
        <f>X7+W8</f>
        <v>10865.568908177878</v>
      </c>
      <c r="Z8" s="92">
        <f>+$D$27-(($D$27+$D$28)*O8/$B$22)</f>
        <v>444820</v>
      </c>
      <c r="AA8" s="5">
        <f t="shared" ref="AA8:AA66" si="5">+Z8*$AA$5</f>
        <v>0</v>
      </c>
      <c r="AB8" s="92">
        <f t="shared" ref="AB8:AB66" si="6">+Z8+AA8</f>
        <v>444820</v>
      </c>
      <c r="AD8" s="133">
        <f t="shared" ref="AD8:AD53" si="7">IF(AD7=0,0,IF(+S8+AD7&lt;-$S$72,0,+S8+AD7))</f>
        <v>-7666.666666666667</v>
      </c>
      <c r="AE8" s="3">
        <f t="shared" ref="AE8:AE66" si="8">+IF(AD8=0,0,1)</f>
        <v>1</v>
      </c>
    </row>
    <row r="9" spans="1:31" x14ac:dyDescent="0.45">
      <c r="A9" s="4">
        <f t="shared" ref="A9:A14" si="9">A8+1</f>
        <v>3</v>
      </c>
      <c r="B9" s="5" t="s">
        <v>4</v>
      </c>
      <c r="C9" s="157">
        <f>+'Summary Equip'!S12</f>
        <v>2.5000000000000001E-2</v>
      </c>
      <c r="D9" s="11"/>
      <c r="E9" s="338" t="s">
        <v>69</v>
      </c>
      <c r="F9" s="339">
        <f>+'Summary Equip'!F12</f>
        <v>97560.975609756104</v>
      </c>
      <c r="G9" s="110"/>
      <c r="H9" s="383">
        <f>+'Summary Equip'!E10</f>
        <v>1</v>
      </c>
      <c r="I9" s="14">
        <f t="shared" ref="I9:I66" si="10">I8+1</f>
        <v>3</v>
      </c>
      <c r="J9" s="63">
        <f t="shared" ref="J9:J66" si="11">+IF(M8&lt;0,,M8)</f>
        <v>541253.2288088135</v>
      </c>
      <c r="K9" s="63">
        <f t="shared" si="1"/>
        <v>2390.7314417572484</v>
      </c>
      <c r="L9" s="63">
        <f t="shared" ref="L9:L66" si="12">IF(M8&lt;0,,L8)</f>
        <v>-10598.668373599643</v>
      </c>
      <c r="M9" s="65">
        <f t="shared" si="0"/>
        <v>533045.29187697114</v>
      </c>
      <c r="O9" s="14">
        <f t="shared" ref="O9:O66" si="13">O8+1</f>
        <v>3</v>
      </c>
      <c r="P9" s="54">
        <f t="shared" ref="P9:P66" si="14">P8+$Q$4</f>
        <v>1560.375</v>
      </c>
      <c r="Q9" s="63">
        <f t="shared" ref="Q9:Q66" si="15">$F$42+($Q$4*$G$42)</f>
        <v>21894.106046689736</v>
      </c>
      <c r="R9" s="77">
        <f t="shared" si="2"/>
        <v>-10598.668373599643</v>
      </c>
      <c r="S9" s="63">
        <f t="shared" ref="S9:S62" si="16">+S8</f>
        <v>-3833.3333333333335</v>
      </c>
      <c r="T9" s="63"/>
      <c r="U9" s="63">
        <f t="shared" ref="U9:U62" si="17">U8</f>
        <v>-1094.7053023344868</v>
      </c>
      <c r="V9" s="77">
        <f t="shared" si="3"/>
        <v>-910.89583333333337</v>
      </c>
      <c r="W9" s="83">
        <f t="shared" si="4"/>
        <v>5456.5032040889391</v>
      </c>
      <c r="X9" s="85">
        <f t="shared" ref="X9:X62" si="18">X8+W9</f>
        <v>16322.072112266818</v>
      </c>
      <c r="Z9" s="92">
        <f t="shared" ref="Z9:Z66" si="19">+$D$27-(($D$27+$D$28)*O9/$B$22)</f>
        <v>437230</v>
      </c>
      <c r="AA9" s="5">
        <f t="shared" si="5"/>
        <v>0</v>
      </c>
      <c r="AB9" s="92">
        <f t="shared" si="6"/>
        <v>437230</v>
      </c>
      <c r="AD9" s="133">
        <f t="shared" si="7"/>
        <v>-11500</v>
      </c>
      <c r="AE9" s="3">
        <f t="shared" si="8"/>
        <v>1</v>
      </c>
    </row>
    <row r="10" spans="1:31" ht="14.65" thickBot="1" x14ac:dyDescent="0.5">
      <c r="A10" s="4">
        <f t="shared" si="9"/>
        <v>4</v>
      </c>
      <c r="B10" s="5" t="s">
        <v>5</v>
      </c>
      <c r="C10" s="158">
        <f>+'Summary Equip'!T12</f>
        <v>0.05</v>
      </c>
      <c r="D10" s="11"/>
      <c r="E10" s="111" t="s">
        <v>52</v>
      </c>
      <c r="F10" s="312">
        <f>SUM(F7:F8)*G10</f>
        <v>0</v>
      </c>
      <c r="G10" s="151">
        <f>+'Summary Equip'!H12</f>
        <v>0</v>
      </c>
      <c r="H10" s="383">
        <f>+'Summary Equip'!G10</f>
        <v>0</v>
      </c>
      <c r="I10" s="14">
        <f t="shared" si="10"/>
        <v>4</v>
      </c>
      <c r="J10" s="63">
        <f t="shared" si="11"/>
        <v>533045.29187697114</v>
      </c>
      <c r="K10" s="63">
        <f t="shared" si="1"/>
        <v>2354.4767427541551</v>
      </c>
      <c r="L10" s="63">
        <f t="shared" si="12"/>
        <v>-10598.668373599643</v>
      </c>
      <c r="M10" s="65">
        <f t="shared" si="0"/>
        <v>524801.1002461256</v>
      </c>
      <c r="O10" s="14">
        <f t="shared" si="13"/>
        <v>4</v>
      </c>
      <c r="P10" s="54">
        <f t="shared" si="14"/>
        <v>2080.5</v>
      </c>
      <c r="Q10" s="63">
        <f t="shared" si="15"/>
        <v>21894.106046689736</v>
      </c>
      <c r="R10" s="77">
        <f t="shared" si="2"/>
        <v>-10598.668373599643</v>
      </c>
      <c r="S10" s="63">
        <f t="shared" si="16"/>
        <v>-3833.3333333333335</v>
      </c>
      <c r="T10" s="63"/>
      <c r="U10" s="63">
        <f t="shared" si="17"/>
        <v>-1094.7053023344868</v>
      </c>
      <c r="V10" s="77">
        <f t="shared" si="3"/>
        <v>-895.08333333333337</v>
      </c>
      <c r="W10" s="83">
        <f t="shared" si="4"/>
        <v>5472.3157040889391</v>
      </c>
      <c r="X10" s="85">
        <f t="shared" si="18"/>
        <v>21794.387816355757</v>
      </c>
      <c r="Z10" s="92">
        <f t="shared" si="19"/>
        <v>429640</v>
      </c>
      <c r="AA10" s="5">
        <f t="shared" si="5"/>
        <v>0</v>
      </c>
      <c r="AB10" s="92">
        <f t="shared" si="6"/>
        <v>429640</v>
      </c>
      <c r="AD10" s="133">
        <f t="shared" si="7"/>
        <v>-15333.333333333334</v>
      </c>
      <c r="AE10" s="3">
        <f t="shared" si="8"/>
        <v>1</v>
      </c>
    </row>
    <row r="11" spans="1:31" ht="14.65" thickBot="1" x14ac:dyDescent="0.5">
      <c r="A11" s="4">
        <f t="shared" si="9"/>
        <v>5</v>
      </c>
      <c r="B11" s="5" t="s">
        <v>12</v>
      </c>
      <c r="C11" s="159">
        <f>+'Summary Equip'!U12</f>
        <v>0.01</v>
      </c>
      <c r="D11" s="11"/>
      <c r="E11" s="112" t="s">
        <v>28</v>
      </c>
      <c r="F11" s="313">
        <f>SUMPRODUCT(F7:F10,H7:H10)</f>
        <v>557560.97560975607</v>
      </c>
      <c r="G11" s="113"/>
      <c r="H11" s="11"/>
      <c r="I11" s="14">
        <f t="shared" si="10"/>
        <v>5</v>
      </c>
      <c r="J11" s="63">
        <f t="shared" si="11"/>
        <v>524801.1002461256</v>
      </c>
      <c r="K11" s="63">
        <f t="shared" si="1"/>
        <v>2318.0619056785199</v>
      </c>
      <c r="L11" s="63">
        <f t="shared" si="12"/>
        <v>-10598.668373599643</v>
      </c>
      <c r="M11" s="65">
        <f t="shared" si="0"/>
        <v>516520.49377820443</v>
      </c>
      <c r="O11" s="14">
        <f t="shared" si="13"/>
        <v>5</v>
      </c>
      <c r="P11" s="54">
        <f t="shared" si="14"/>
        <v>2600.625</v>
      </c>
      <c r="Q11" s="63">
        <f t="shared" si="15"/>
        <v>21894.106046689736</v>
      </c>
      <c r="R11" s="77">
        <f t="shared" si="2"/>
        <v>-10598.668373599643</v>
      </c>
      <c r="S11" s="63">
        <f t="shared" si="16"/>
        <v>-3833.3333333333335</v>
      </c>
      <c r="T11" s="63"/>
      <c r="U11" s="63">
        <f t="shared" si="17"/>
        <v>-1094.7053023344868</v>
      </c>
      <c r="V11" s="77">
        <f t="shared" si="3"/>
        <v>-879.27083333333337</v>
      </c>
      <c r="W11" s="83">
        <f t="shared" si="4"/>
        <v>5488.1282040889391</v>
      </c>
      <c r="X11" s="85">
        <f t="shared" si="18"/>
        <v>27282.516020444695</v>
      </c>
      <c r="Z11" s="92">
        <f t="shared" si="19"/>
        <v>422050</v>
      </c>
      <c r="AA11" s="5">
        <f t="shared" si="5"/>
        <v>0</v>
      </c>
      <c r="AB11" s="92">
        <f t="shared" si="6"/>
        <v>422050</v>
      </c>
      <c r="AD11" s="133">
        <f t="shared" si="7"/>
        <v>-19166.666666666668</v>
      </c>
      <c r="AE11" s="3">
        <f t="shared" si="8"/>
        <v>1</v>
      </c>
    </row>
    <row r="12" spans="1:31" x14ac:dyDescent="0.45">
      <c r="A12" s="4">
        <f t="shared" si="9"/>
        <v>6</v>
      </c>
      <c r="B12" s="5" t="s">
        <v>13</v>
      </c>
      <c r="C12" s="160">
        <f>+'Summary Equip'!V12</f>
        <v>60</v>
      </c>
      <c r="D12" s="11"/>
      <c r="E12" s="11"/>
      <c r="F12" s="11"/>
      <c r="G12" s="11"/>
      <c r="H12" s="11"/>
      <c r="I12" s="14">
        <f t="shared" si="10"/>
        <v>6</v>
      </c>
      <c r="J12" s="63">
        <f t="shared" si="11"/>
        <v>516520.49377820443</v>
      </c>
      <c r="K12" s="63">
        <f t="shared" si="1"/>
        <v>2281.4862231957641</v>
      </c>
      <c r="L12" s="63">
        <f t="shared" si="12"/>
        <v>-10598.668373599643</v>
      </c>
      <c r="M12" s="65">
        <f t="shared" si="0"/>
        <v>508203.31162780052</v>
      </c>
      <c r="O12" s="14">
        <f t="shared" si="13"/>
        <v>6</v>
      </c>
      <c r="P12" s="54">
        <f t="shared" si="14"/>
        <v>3120.75</v>
      </c>
      <c r="Q12" s="63">
        <f t="shared" si="15"/>
        <v>21894.106046689736</v>
      </c>
      <c r="R12" s="77">
        <f t="shared" si="2"/>
        <v>-10598.668373599643</v>
      </c>
      <c r="S12" s="63">
        <f t="shared" si="16"/>
        <v>-3833.3333333333335</v>
      </c>
      <c r="T12" s="63"/>
      <c r="U12" s="63">
        <f t="shared" si="17"/>
        <v>-1094.7053023344868</v>
      </c>
      <c r="V12" s="77">
        <f t="shared" si="3"/>
        <v>-863.45833333333337</v>
      </c>
      <c r="W12" s="83">
        <f t="shared" si="4"/>
        <v>5503.9407040889391</v>
      </c>
      <c r="X12" s="85">
        <f t="shared" si="18"/>
        <v>32786.456724533637</v>
      </c>
      <c r="Z12" s="92">
        <f t="shared" si="19"/>
        <v>414460</v>
      </c>
      <c r="AA12" s="5">
        <f t="shared" si="5"/>
        <v>0</v>
      </c>
      <c r="AB12" s="92">
        <f t="shared" si="6"/>
        <v>414460</v>
      </c>
      <c r="AD12" s="133">
        <f t="shared" si="7"/>
        <v>-23000</v>
      </c>
      <c r="AE12" s="3">
        <f t="shared" si="8"/>
        <v>1</v>
      </c>
    </row>
    <row r="13" spans="1:31" x14ac:dyDescent="0.45">
      <c r="A13" s="4">
        <f t="shared" si="9"/>
        <v>7</v>
      </c>
      <c r="B13" s="5" t="s">
        <v>14</v>
      </c>
      <c r="C13" s="161">
        <f>+'Summary Equip'!W12</f>
        <v>20000</v>
      </c>
      <c r="D13" s="176">
        <f>+C13*C14</f>
        <v>18000</v>
      </c>
      <c r="E13" s="11"/>
      <c r="F13" s="11"/>
      <c r="G13" s="11"/>
      <c r="H13" s="11"/>
      <c r="I13" s="14">
        <f t="shared" si="10"/>
        <v>7</v>
      </c>
      <c r="J13" s="63">
        <f t="shared" si="11"/>
        <v>508203.31162780052</v>
      </c>
      <c r="K13" s="63">
        <f t="shared" si="1"/>
        <v>2244.7489848469904</v>
      </c>
      <c r="L13" s="63">
        <f t="shared" si="12"/>
        <v>-10598.668373599643</v>
      </c>
      <c r="M13" s="65">
        <f t="shared" si="0"/>
        <v>499849.39223904785</v>
      </c>
      <c r="O13" s="14">
        <f t="shared" si="13"/>
        <v>7</v>
      </c>
      <c r="P13" s="54">
        <f t="shared" si="14"/>
        <v>3640.875</v>
      </c>
      <c r="Q13" s="63">
        <f t="shared" si="15"/>
        <v>21894.106046689736</v>
      </c>
      <c r="R13" s="77">
        <f t="shared" si="2"/>
        <v>-10598.668373599643</v>
      </c>
      <c r="S13" s="63">
        <f t="shared" si="16"/>
        <v>-3833.3333333333335</v>
      </c>
      <c r="T13" s="63"/>
      <c r="U13" s="63">
        <f t="shared" si="17"/>
        <v>-1094.7053023344868</v>
      </c>
      <c r="V13" s="77">
        <f t="shared" si="3"/>
        <v>-847.64583333333337</v>
      </c>
      <c r="W13" s="83">
        <f t="shared" si="4"/>
        <v>5519.7532040889391</v>
      </c>
      <c r="X13" s="85">
        <f t="shared" si="18"/>
        <v>38306.209928622578</v>
      </c>
      <c r="Z13" s="92">
        <f t="shared" si="19"/>
        <v>406870</v>
      </c>
      <c r="AA13" s="5">
        <f t="shared" si="5"/>
        <v>0</v>
      </c>
      <c r="AB13" s="92">
        <f t="shared" si="6"/>
        <v>406870</v>
      </c>
      <c r="AD13" s="133">
        <f t="shared" si="7"/>
        <v>-26833.333333333332</v>
      </c>
      <c r="AE13" s="3">
        <f t="shared" si="8"/>
        <v>1</v>
      </c>
    </row>
    <row r="14" spans="1:31" ht="14.65" thickBot="1" x14ac:dyDescent="0.5">
      <c r="A14" s="6">
        <f t="shared" si="9"/>
        <v>8</v>
      </c>
      <c r="B14" s="7" t="s">
        <v>33</v>
      </c>
      <c r="C14" s="162">
        <f>+'Summary Equip'!X12</f>
        <v>0.9</v>
      </c>
      <c r="D14" s="337">
        <f>+D13/C12</f>
        <v>300</v>
      </c>
      <c r="E14" s="11"/>
      <c r="F14" s="11"/>
      <c r="G14" s="11"/>
      <c r="H14" s="11"/>
      <c r="I14" s="14">
        <f t="shared" si="10"/>
        <v>8</v>
      </c>
      <c r="J14" s="63">
        <f t="shared" si="11"/>
        <v>499849.39223904785</v>
      </c>
      <c r="K14" s="63">
        <f t="shared" si="1"/>
        <v>2207.8494770351831</v>
      </c>
      <c r="L14" s="63">
        <f t="shared" si="12"/>
        <v>-10598.668373599643</v>
      </c>
      <c r="M14" s="65">
        <f t="shared" si="0"/>
        <v>491458.57334248337</v>
      </c>
      <c r="O14" s="14">
        <f t="shared" si="13"/>
        <v>8</v>
      </c>
      <c r="P14" s="54">
        <f t="shared" si="14"/>
        <v>4161</v>
      </c>
      <c r="Q14" s="63">
        <f t="shared" si="15"/>
        <v>21894.106046689736</v>
      </c>
      <c r="R14" s="77">
        <f t="shared" si="2"/>
        <v>-10598.668373599643</v>
      </c>
      <c r="S14" s="63">
        <f t="shared" si="16"/>
        <v>-3833.3333333333335</v>
      </c>
      <c r="T14" s="63"/>
      <c r="U14" s="63">
        <f t="shared" si="17"/>
        <v>-1094.7053023344868</v>
      </c>
      <c r="V14" s="77">
        <f t="shared" si="3"/>
        <v>-831.83333333333337</v>
      </c>
      <c r="W14" s="83">
        <f t="shared" si="4"/>
        <v>5535.5657040889391</v>
      </c>
      <c r="X14" s="85">
        <f t="shared" si="18"/>
        <v>43841.77563271152</v>
      </c>
      <c r="Z14" s="92">
        <f t="shared" si="19"/>
        <v>399280</v>
      </c>
      <c r="AA14" s="5">
        <f t="shared" si="5"/>
        <v>0</v>
      </c>
      <c r="AB14" s="92">
        <f t="shared" si="6"/>
        <v>399280</v>
      </c>
      <c r="AD14" s="133">
        <f t="shared" si="7"/>
        <v>-30666.666666666664</v>
      </c>
      <c r="AE14" s="3">
        <f t="shared" si="8"/>
        <v>1</v>
      </c>
    </row>
    <row r="15" spans="1:31" ht="14.65" thickBot="1" x14ac:dyDescent="0.5">
      <c r="C15" s="11"/>
      <c r="D15" s="11"/>
      <c r="E15" s="11"/>
      <c r="F15" s="11"/>
      <c r="G15" s="11"/>
      <c r="H15" s="11"/>
      <c r="I15" s="14">
        <f t="shared" si="10"/>
        <v>9</v>
      </c>
      <c r="J15" s="63">
        <f t="shared" si="11"/>
        <v>491458.57334248337</v>
      </c>
      <c r="K15" s="63">
        <f t="shared" si="1"/>
        <v>2170.7869830113491</v>
      </c>
      <c r="L15" s="63">
        <f t="shared" si="12"/>
        <v>-10598.668373599643</v>
      </c>
      <c r="M15" s="65">
        <f t="shared" si="0"/>
        <v>483030.69195189507</v>
      </c>
      <c r="O15" s="14">
        <f t="shared" si="13"/>
        <v>9</v>
      </c>
      <c r="P15" s="54">
        <f t="shared" si="14"/>
        <v>4681.125</v>
      </c>
      <c r="Q15" s="63">
        <f t="shared" si="15"/>
        <v>21894.106046689736</v>
      </c>
      <c r="R15" s="77">
        <f t="shared" si="2"/>
        <v>-10598.668373599643</v>
      </c>
      <c r="S15" s="63">
        <f t="shared" si="16"/>
        <v>-3833.3333333333335</v>
      </c>
      <c r="T15" s="63"/>
      <c r="U15" s="63">
        <f t="shared" si="17"/>
        <v>-1094.7053023344868</v>
      </c>
      <c r="V15" s="77">
        <f>-(AB15*$C$9/12)</f>
        <v>-816.02083333333337</v>
      </c>
      <c r="W15" s="83">
        <f t="shared" si="4"/>
        <v>5551.3782040889391</v>
      </c>
      <c r="X15" s="85">
        <f t="shared" si="18"/>
        <v>49393.153836800462</v>
      </c>
      <c r="Z15" s="92">
        <f t="shared" si="19"/>
        <v>391690</v>
      </c>
      <c r="AA15" s="5">
        <f t="shared" si="5"/>
        <v>0</v>
      </c>
      <c r="AB15" s="92">
        <f t="shared" si="6"/>
        <v>391690</v>
      </c>
      <c r="AD15" s="133">
        <f t="shared" si="7"/>
        <v>-34500</v>
      </c>
      <c r="AE15" s="3">
        <f t="shared" si="8"/>
        <v>1</v>
      </c>
    </row>
    <row r="16" spans="1:31" ht="16.149999999999999" thickBot="1" x14ac:dyDescent="0.5">
      <c r="A16" s="661" t="s">
        <v>43</v>
      </c>
      <c r="B16" s="662"/>
      <c r="C16" s="662"/>
      <c r="D16" s="662"/>
      <c r="E16" s="663"/>
      <c r="F16" s="1"/>
      <c r="G16" s="1"/>
      <c r="H16" s="117"/>
      <c r="I16" s="14">
        <f t="shared" si="10"/>
        <v>10</v>
      </c>
      <c r="J16" s="63">
        <f t="shared" si="11"/>
        <v>483030.69195189507</v>
      </c>
      <c r="K16" s="63">
        <f t="shared" si="1"/>
        <v>2133.5607828605926</v>
      </c>
      <c r="L16" s="63">
        <f t="shared" si="12"/>
        <v>-10598.668373599643</v>
      </c>
      <c r="M16" s="65">
        <f t="shared" si="0"/>
        <v>474565.58436115604</v>
      </c>
      <c r="O16" s="14">
        <f t="shared" si="13"/>
        <v>10</v>
      </c>
      <c r="P16" s="54">
        <f t="shared" si="14"/>
        <v>5201.25</v>
      </c>
      <c r="Q16" s="63">
        <f t="shared" si="15"/>
        <v>21894.106046689736</v>
      </c>
      <c r="R16" s="77">
        <f t="shared" si="2"/>
        <v>-10598.668373599643</v>
      </c>
      <c r="S16" s="63">
        <f t="shared" si="16"/>
        <v>-3833.3333333333335</v>
      </c>
      <c r="T16" s="63"/>
      <c r="U16" s="63">
        <f t="shared" si="17"/>
        <v>-1094.7053023344868</v>
      </c>
      <c r="V16" s="77">
        <f t="shared" ref="V16:V66" si="20">-(AB16*$C$9/12)</f>
        <v>-800.20833333333337</v>
      </c>
      <c r="W16" s="83">
        <f t="shared" si="4"/>
        <v>5567.1907040889391</v>
      </c>
      <c r="X16" s="85">
        <f t="shared" si="18"/>
        <v>54960.344540889404</v>
      </c>
      <c r="Z16" s="92">
        <f t="shared" si="19"/>
        <v>384100</v>
      </c>
      <c r="AA16" s="5">
        <f t="shared" si="5"/>
        <v>0</v>
      </c>
      <c r="AB16" s="92">
        <f t="shared" si="6"/>
        <v>384100</v>
      </c>
      <c r="AD16" s="133">
        <f t="shared" si="7"/>
        <v>-38333.333333333336</v>
      </c>
      <c r="AE16" s="3">
        <f t="shared" si="8"/>
        <v>1</v>
      </c>
    </row>
    <row r="17" spans="1:31" ht="14.65" thickBot="1" x14ac:dyDescent="0.5">
      <c r="A17" s="97" t="s">
        <v>44</v>
      </c>
      <c r="B17" s="98" t="s">
        <v>48</v>
      </c>
      <c r="C17" s="98" t="s">
        <v>45</v>
      </c>
      <c r="D17" s="99" t="s">
        <v>46</v>
      </c>
      <c r="E17" s="55" t="s">
        <v>47</v>
      </c>
      <c r="F17" s="1"/>
      <c r="G17" s="1"/>
      <c r="H17" s="117"/>
      <c r="I17" s="14">
        <f t="shared" si="10"/>
        <v>11</v>
      </c>
      <c r="J17" s="63">
        <f t="shared" si="11"/>
        <v>474565.58436115604</v>
      </c>
      <c r="K17" s="63">
        <f t="shared" si="1"/>
        <v>2096.1701534881322</v>
      </c>
      <c r="L17" s="63">
        <f t="shared" si="12"/>
        <v>-10598.668373599643</v>
      </c>
      <c r="M17" s="65">
        <f t="shared" si="0"/>
        <v>466063.08614104451</v>
      </c>
      <c r="O17" s="14">
        <f t="shared" si="13"/>
        <v>11</v>
      </c>
      <c r="P17" s="54">
        <f t="shared" si="14"/>
        <v>5721.375</v>
      </c>
      <c r="Q17" s="63">
        <f t="shared" si="15"/>
        <v>21894.106046689736</v>
      </c>
      <c r="R17" s="77">
        <f t="shared" si="2"/>
        <v>-10598.668373599643</v>
      </c>
      <c r="S17" s="63">
        <f t="shared" si="16"/>
        <v>-3833.3333333333335</v>
      </c>
      <c r="T17" s="63"/>
      <c r="U17" s="63">
        <f t="shared" si="17"/>
        <v>-1094.7053023344868</v>
      </c>
      <c r="V17" s="77">
        <f t="shared" si="20"/>
        <v>-784.39583333333337</v>
      </c>
      <c r="W17" s="83">
        <f t="shared" si="4"/>
        <v>5583.0032040889391</v>
      </c>
      <c r="X17" s="85">
        <f t="shared" si="18"/>
        <v>60543.347744978346</v>
      </c>
      <c r="Z17" s="92">
        <f t="shared" si="19"/>
        <v>376510</v>
      </c>
      <c r="AA17" s="5">
        <f t="shared" si="5"/>
        <v>0</v>
      </c>
      <c r="AB17" s="92">
        <f t="shared" si="6"/>
        <v>376510</v>
      </c>
      <c r="AD17" s="133">
        <f t="shared" si="7"/>
        <v>-42166.666666666672</v>
      </c>
      <c r="AE17" s="3">
        <f t="shared" si="8"/>
        <v>1</v>
      </c>
    </row>
    <row r="18" spans="1:31" x14ac:dyDescent="0.45">
      <c r="A18" s="94">
        <v>1</v>
      </c>
      <c r="B18" s="95">
        <v>12</v>
      </c>
      <c r="C18" s="96">
        <f>D$27-(D$27+D$28)*B18/60</f>
        <v>368920</v>
      </c>
      <c r="D18" s="100">
        <v>0.1</v>
      </c>
      <c r="E18" s="103">
        <f t="shared" ref="E18:E23" si="21">C18/(100%-D18)</f>
        <v>409911.11111111112</v>
      </c>
      <c r="F18" s="11"/>
      <c r="G18" s="11"/>
      <c r="H18" s="11"/>
      <c r="I18" s="14">
        <f t="shared" si="10"/>
        <v>12</v>
      </c>
      <c r="J18" s="63">
        <f t="shared" si="11"/>
        <v>466063.08614104451</v>
      </c>
      <c r="K18" s="63">
        <f t="shared" si="1"/>
        <v>2058.6143686052565</v>
      </c>
      <c r="L18" s="63">
        <f t="shared" si="12"/>
        <v>-10598.668373599643</v>
      </c>
      <c r="M18" s="65">
        <f t="shared" si="0"/>
        <v>457523.03213605011</v>
      </c>
      <c r="O18" s="14">
        <f t="shared" si="13"/>
        <v>12</v>
      </c>
      <c r="P18" s="54">
        <f t="shared" si="14"/>
        <v>6241.5</v>
      </c>
      <c r="Q18" s="63">
        <f t="shared" si="15"/>
        <v>21894.106046689736</v>
      </c>
      <c r="R18" s="77">
        <f t="shared" si="2"/>
        <v>-10598.668373599643</v>
      </c>
      <c r="S18" s="63">
        <f t="shared" si="16"/>
        <v>-3833.3333333333335</v>
      </c>
      <c r="T18" s="63"/>
      <c r="U18" s="63">
        <f t="shared" si="17"/>
        <v>-1094.7053023344868</v>
      </c>
      <c r="V18" s="77">
        <f t="shared" si="20"/>
        <v>-768.58333333333337</v>
      </c>
      <c r="W18" s="83">
        <f t="shared" si="4"/>
        <v>5598.8157040889391</v>
      </c>
      <c r="X18" s="85">
        <f t="shared" si="18"/>
        <v>66142.163449067288</v>
      </c>
      <c r="Z18" s="92">
        <f t="shared" si="19"/>
        <v>368920</v>
      </c>
      <c r="AA18" s="5">
        <f t="shared" si="5"/>
        <v>0</v>
      </c>
      <c r="AB18" s="92">
        <f t="shared" si="6"/>
        <v>368920</v>
      </c>
      <c r="AD18" s="133">
        <f t="shared" si="7"/>
        <v>-46000.000000000007</v>
      </c>
      <c r="AE18" s="3">
        <f t="shared" si="8"/>
        <v>1</v>
      </c>
    </row>
    <row r="19" spans="1:31" x14ac:dyDescent="0.45">
      <c r="A19" s="4">
        <f>A18+1</f>
        <v>2</v>
      </c>
      <c r="B19" s="5">
        <f>B18+12</f>
        <v>24</v>
      </c>
      <c r="C19" s="92">
        <f>D$27-(D$27+D$28)*B19/60</f>
        <v>277840</v>
      </c>
      <c r="D19" s="101">
        <f>D18</f>
        <v>0.1</v>
      </c>
      <c r="E19" s="104">
        <f t="shared" si="21"/>
        <v>308711.11111111112</v>
      </c>
      <c r="F19" s="11"/>
      <c r="G19" s="11"/>
      <c r="H19" s="11"/>
      <c r="I19" s="14">
        <f t="shared" si="10"/>
        <v>13</v>
      </c>
      <c r="J19" s="63">
        <f t="shared" si="11"/>
        <v>457523.03213605011</v>
      </c>
      <c r="K19" s="63">
        <f t="shared" si="1"/>
        <v>2020.8926987152154</v>
      </c>
      <c r="L19" s="63">
        <f t="shared" si="12"/>
        <v>-10598.668373599643</v>
      </c>
      <c r="M19" s="65">
        <f t="shared" si="0"/>
        <v>448945.25646116567</v>
      </c>
      <c r="O19" s="14">
        <f t="shared" si="13"/>
        <v>13</v>
      </c>
      <c r="P19" s="54">
        <f t="shared" si="14"/>
        <v>6761.625</v>
      </c>
      <c r="Q19" s="63">
        <f t="shared" si="15"/>
        <v>21894.106046689736</v>
      </c>
      <c r="R19" s="77">
        <f t="shared" si="2"/>
        <v>-10598.668373599643</v>
      </c>
      <c r="S19" s="63">
        <f t="shared" si="16"/>
        <v>-3833.3333333333335</v>
      </c>
      <c r="T19" s="63"/>
      <c r="U19" s="63">
        <f t="shared" si="17"/>
        <v>-1094.7053023344868</v>
      </c>
      <c r="V19" s="77">
        <f t="shared" si="20"/>
        <v>-752.77083333333337</v>
      </c>
      <c r="W19" s="83">
        <f t="shared" si="4"/>
        <v>5614.6282040889391</v>
      </c>
      <c r="X19" s="85">
        <f t="shared" si="18"/>
        <v>71756.791653156222</v>
      </c>
      <c r="Z19" s="92">
        <f t="shared" si="19"/>
        <v>361330</v>
      </c>
      <c r="AA19" s="5">
        <f t="shared" si="5"/>
        <v>0</v>
      </c>
      <c r="AB19" s="92">
        <f t="shared" si="6"/>
        <v>361330</v>
      </c>
      <c r="AD19" s="133">
        <f t="shared" si="7"/>
        <v>-49833.333333333343</v>
      </c>
      <c r="AE19" s="3">
        <f t="shared" si="8"/>
        <v>1</v>
      </c>
    </row>
    <row r="20" spans="1:31" x14ac:dyDescent="0.45">
      <c r="A20" s="4">
        <f>A19+1</f>
        <v>3</v>
      </c>
      <c r="B20" s="5">
        <f>B19+12</f>
        <v>36</v>
      </c>
      <c r="C20" s="92">
        <f>D$27-(D$27+D$28)*B20/60</f>
        <v>186760</v>
      </c>
      <c r="D20" s="101">
        <f>D19</f>
        <v>0.1</v>
      </c>
      <c r="E20" s="104">
        <f t="shared" si="21"/>
        <v>207511.11111111109</v>
      </c>
      <c r="F20" s="11"/>
      <c r="G20" s="11"/>
      <c r="H20" s="11"/>
      <c r="I20" s="14">
        <f t="shared" si="10"/>
        <v>14</v>
      </c>
      <c r="J20" s="63">
        <f t="shared" si="11"/>
        <v>448945.25646116567</v>
      </c>
      <c r="K20" s="63">
        <f t="shared" si="1"/>
        <v>1983.0044110990495</v>
      </c>
      <c r="L20" s="63">
        <f t="shared" si="12"/>
        <v>-10598.668373599643</v>
      </c>
      <c r="M20" s="65">
        <f t="shared" si="0"/>
        <v>440329.59249866509</v>
      </c>
      <c r="O20" s="14">
        <f t="shared" si="13"/>
        <v>14</v>
      </c>
      <c r="P20" s="54">
        <f t="shared" si="14"/>
        <v>7281.75</v>
      </c>
      <c r="Q20" s="63">
        <f t="shared" si="15"/>
        <v>21894.106046689736</v>
      </c>
      <c r="R20" s="77">
        <f t="shared" si="2"/>
        <v>-10598.668373599643</v>
      </c>
      <c r="S20" s="63">
        <f t="shared" si="16"/>
        <v>-3833.3333333333335</v>
      </c>
      <c r="T20" s="63"/>
      <c r="U20" s="63">
        <f t="shared" si="17"/>
        <v>-1094.7053023344868</v>
      </c>
      <c r="V20" s="77">
        <f t="shared" si="20"/>
        <v>-736.95833333333337</v>
      </c>
      <c r="W20" s="83">
        <f t="shared" si="4"/>
        <v>5630.4407040889391</v>
      </c>
      <c r="X20" s="85">
        <f t="shared" si="18"/>
        <v>77387.232357245157</v>
      </c>
      <c r="Z20" s="92">
        <f t="shared" si="19"/>
        <v>353740</v>
      </c>
      <c r="AA20" s="5">
        <f t="shared" si="5"/>
        <v>0</v>
      </c>
      <c r="AB20" s="92">
        <f t="shared" si="6"/>
        <v>353740</v>
      </c>
      <c r="AD20" s="133">
        <f t="shared" si="7"/>
        <v>-53666.666666666679</v>
      </c>
      <c r="AE20" s="3">
        <f t="shared" si="8"/>
        <v>1</v>
      </c>
    </row>
    <row r="21" spans="1:31" x14ac:dyDescent="0.45">
      <c r="A21" s="4">
        <f>A20+1</f>
        <v>4</v>
      </c>
      <c r="B21" s="5">
        <f>B20+12</f>
        <v>48</v>
      </c>
      <c r="C21" s="92">
        <f>D$27-(D$27+D$28)*B21/60</f>
        <v>95680</v>
      </c>
      <c r="D21" s="101">
        <f>D20</f>
        <v>0.1</v>
      </c>
      <c r="E21" s="104">
        <f t="shared" si="21"/>
        <v>106311.11111111111</v>
      </c>
      <c r="F21" s="11"/>
      <c r="G21" s="11"/>
      <c r="H21" s="11"/>
      <c r="I21" s="14">
        <f t="shared" si="10"/>
        <v>15</v>
      </c>
      <c r="J21" s="63">
        <f t="shared" si="11"/>
        <v>440329.59249866509</v>
      </c>
      <c r="K21" s="63">
        <f t="shared" si="1"/>
        <v>1944.948769801359</v>
      </c>
      <c r="L21" s="63">
        <f t="shared" si="12"/>
        <v>-10598.668373599643</v>
      </c>
      <c r="M21" s="65">
        <f t="shared" si="0"/>
        <v>431675.8728948668</v>
      </c>
      <c r="O21" s="14">
        <f t="shared" si="13"/>
        <v>15</v>
      </c>
      <c r="P21" s="54">
        <f t="shared" si="14"/>
        <v>7801.875</v>
      </c>
      <c r="Q21" s="63">
        <f t="shared" si="15"/>
        <v>21894.106046689736</v>
      </c>
      <c r="R21" s="77">
        <f t="shared" si="2"/>
        <v>-10598.668373599643</v>
      </c>
      <c r="S21" s="63">
        <f t="shared" si="16"/>
        <v>-3833.3333333333335</v>
      </c>
      <c r="T21" s="63"/>
      <c r="U21" s="63">
        <f t="shared" si="17"/>
        <v>-1094.7053023344868</v>
      </c>
      <c r="V21" s="77">
        <f t="shared" si="20"/>
        <v>-721.14583333333337</v>
      </c>
      <c r="W21" s="83">
        <f t="shared" si="4"/>
        <v>5646.2532040889391</v>
      </c>
      <c r="X21" s="85">
        <f t="shared" si="18"/>
        <v>83033.485561334091</v>
      </c>
      <c r="Z21" s="92">
        <f t="shared" si="19"/>
        <v>346150</v>
      </c>
      <c r="AA21" s="5">
        <f t="shared" si="5"/>
        <v>0</v>
      </c>
      <c r="AB21" s="92">
        <f t="shared" si="6"/>
        <v>346150</v>
      </c>
      <c r="AD21" s="133">
        <f t="shared" si="7"/>
        <v>-57500.000000000015</v>
      </c>
      <c r="AE21" s="3">
        <f t="shared" si="8"/>
        <v>1</v>
      </c>
    </row>
    <row r="22" spans="1:31" x14ac:dyDescent="0.45">
      <c r="A22" s="4">
        <f>A21+1</f>
        <v>5</v>
      </c>
      <c r="B22" s="5">
        <f>B21+12</f>
        <v>60</v>
      </c>
      <c r="C22" s="92">
        <f>D$27-(D$27+D$28)*B22/60</f>
        <v>4600</v>
      </c>
      <c r="D22" s="101">
        <f>D21</f>
        <v>0.1</v>
      </c>
      <c r="E22" s="104">
        <f t="shared" si="21"/>
        <v>5111.1111111111113</v>
      </c>
      <c r="F22" s="11"/>
      <c r="G22" s="11"/>
      <c r="H22" s="11"/>
      <c r="I22" s="14">
        <f t="shared" si="10"/>
        <v>16</v>
      </c>
      <c r="J22" s="63">
        <f t="shared" si="11"/>
        <v>431675.8728948668</v>
      </c>
      <c r="K22" s="63">
        <f t="shared" si="1"/>
        <v>1906.7250356160071</v>
      </c>
      <c r="L22" s="63">
        <f t="shared" si="12"/>
        <v>-10598.668373599643</v>
      </c>
      <c r="M22" s="65">
        <f t="shared" si="0"/>
        <v>422983.92955688317</v>
      </c>
      <c r="O22" s="14">
        <f t="shared" si="13"/>
        <v>16</v>
      </c>
      <c r="P22" s="54">
        <f t="shared" si="14"/>
        <v>8322</v>
      </c>
      <c r="Q22" s="63">
        <f t="shared" si="15"/>
        <v>21894.106046689736</v>
      </c>
      <c r="R22" s="77">
        <f t="shared" si="2"/>
        <v>-10598.668373599643</v>
      </c>
      <c r="S22" s="63">
        <f t="shared" si="16"/>
        <v>-3833.3333333333335</v>
      </c>
      <c r="T22" s="63"/>
      <c r="U22" s="63">
        <f t="shared" si="17"/>
        <v>-1094.7053023344868</v>
      </c>
      <c r="V22" s="77">
        <f t="shared" si="20"/>
        <v>-705.33333333333337</v>
      </c>
      <c r="W22" s="83">
        <f t="shared" si="4"/>
        <v>5662.0657040889391</v>
      </c>
      <c r="X22" s="85">
        <f t="shared" si="18"/>
        <v>88695.551265423026</v>
      </c>
      <c r="Z22" s="92">
        <f t="shared" si="19"/>
        <v>338560</v>
      </c>
      <c r="AA22" s="5">
        <f t="shared" si="5"/>
        <v>0</v>
      </c>
      <c r="AB22" s="92">
        <f t="shared" si="6"/>
        <v>338560</v>
      </c>
      <c r="AD22" s="133">
        <f t="shared" si="7"/>
        <v>-61333.33333333335</v>
      </c>
      <c r="AE22" s="3">
        <f t="shared" si="8"/>
        <v>1</v>
      </c>
    </row>
    <row r="23" spans="1:31" ht="14.65" thickBot="1" x14ac:dyDescent="0.5">
      <c r="A23" s="6">
        <f>A22+1</f>
        <v>6</v>
      </c>
      <c r="B23" s="7">
        <f>B22+12</f>
        <v>72</v>
      </c>
      <c r="C23" s="93">
        <v>1</v>
      </c>
      <c r="D23" s="102">
        <f>D22</f>
        <v>0.1</v>
      </c>
      <c r="E23" s="105">
        <f t="shared" si="21"/>
        <v>1.1111111111111112</v>
      </c>
      <c r="H23" s="11"/>
      <c r="I23" s="14">
        <f t="shared" si="10"/>
        <v>17</v>
      </c>
      <c r="J23" s="63">
        <f t="shared" si="11"/>
        <v>422983.92955688317</v>
      </c>
      <c r="K23" s="63">
        <f t="shared" si="1"/>
        <v>1868.332466071761</v>
      </c>
      <c r="L23" s="63">
        <f t="shared" si="12"/>
        <v>-10598.668373599643</v>
      </c>
      <c r="M23" s="65">
        <f t="shared" si="0"/>
        <v>414253.59364935529</v>
      </c>
      <c r="O23" s="14">
        <f t="shared" si="13"/>
        <v>17</v>
      </c>
      <c r="P23" s="54">
        <f t="shared" si="14"/>
        <v>8842.125</v>
      </c>
      <c r="Q23" s="63">
        <f t="shared" si="15"/>
        <v>21894.106046689736</v>
      </c>
      <c r="R23" s="77">
        <f t="shared" si="2"/>
        <v>-10598.668373599643</v>
      </c>
      <c r="S23" s="63">
        <f t="shared" si="16"/>
        <v>-3833.3333333333335</v>
      </c>
      <c r="T23" s="63"/>
      <c r="U23" s="63">
        <f t="shared" si="17"/>
        <v>-1094.7053023344868</v>
      </c>
      <c r="V23" s="77">
        <f t="shared" si="20"/>
        <v>-689.52083333333337</v>
      </c>
      <c r="W23" s="83">
        <f t="shared" si="4"/>
        <v>5677.8782040889391</v>
      </c>
      <c r="X23" s="85">
        <f t="shared" si="18"/>
        <v>94373.429469511961</v>
      </c>
      <c r="Z23" s="92">
        <f t="shared" si="19"/>
        <v>330970</v>
      </c>
      <c r="AA23" s="5">
        <f t="shared" si="5"/>
        <v>0</v>
      </c>
      <c r="AB23" s="92">
        <f t="shared" si="6"/>
        <v>330970</v>
      </c>
      <c r="AD23" s="133">
        <f t="shared" si="7"/>
        <v>-65166.666666666686</v>
      </c>
      <c r="AE23" s="3">
        <f t="shared" si="8"/>
        <v>1</v>
      </c>
    </row>
    <row r="24" spans="1:31" ht="14.65" thickBot="1" x14ac:dyDescent="0.5">
      <c r="H24" s="11"/>
      <c r="I24" s="14">
        <f>I23+1</f>
        <v>18</v>
      </c>
      <c r="J24" s="63">
        <f t="shared" si="11"/>
        <v>414253.59364935529</v>
      </c>
      <c r="K24" s="63">
        <f t="shared" si="1"/>
        <v>1829.7703154178723</v>
      </c>
      <c r="L24" s="63">
        <f t="shared" si="12"/>
        <v>-10598.668373599643</v>
      </c>
      <c r="M24" s="65">
        <f t="shared" si="0"/>
        <v>405484.69559117348</v>
      </c>
      <c r="O24" s="14">
        <f>O23+1</f>
        <v>18</v>
      </c>
      <c r="P24" s="54">
        <f t="shared" si="14"/>
        <v>9362.25</v>
      </c>
      <c r="Q24" s="63">
        <f t="shared" si="15"/>
        <v>21894.106046689736</v>
      </c>
      <c r="R24" s="77">
        <f t="shared" si="2"/>
        <v>-10598.668373599643</v>
      </c>
      <c r="S24" s="63">
        <f t="shared" si="16"/>
        <v>-3833.3333333333335</v>
      </c>
      <c r="T24" s="63"/>
      <c r="U24" s="63">
        <f t="shared" si="17"/>
        <v>-1094.7053023344868</v>
      </c>
      <c r="V24" s="77">
        <f t="shared" si="20"/>
        <v>-673.70833333333337</v>
      </c>
      <c r="W24" s="83">
        <f t="shared" si="4"/>
        <v>5693.6907040889391</v>
      </c>
      <c r="X24" s="85">
        <f t="shared" si="18"/>
        <v>100067.1201736009</v>
      </c>
      <c r="Z24" s="92">
        <f t="shared" si="19"/>
        <v>323380</v>
      </c>
      <c r="AA24" s="5">
        <f t="shared" si="5"/>
        <v>0</v>
      </c>
      <c r="AB24" s="92">
        <f t="shared" si="6"/>
        <v>323380</v>
      </c>
      <c r="AD24" s="133">
        <f t="shared" si="7"/>
        <v>-69000.000000000015</v>
      </c>
      <c r="AE24" s="3">
        <f t="shared" si="8"/>
        <v>1</v>
      </c>
    </row>
    <row r="25" spans="1:31" ht="32.25" customHeight="1" thickBot="1" x14ac:dyDescent="0.5">
      <c r="A25" s="664" t="s">
        <v>21</v>
      </c>
      <c r="B25" s="665"/>
      <c r="C25" s="665"/>
      <c r="D25" s="665"/>
      <c r="E25" s="665"/>
      <c r="F25" s="665"/>
      <c r="G25" s="666"/>
      <c r="H25" s="11"/>
      <c r="I25" s="14">
        <f t="shared" si="10"/>
        <v>19</v>
      </c>
      <c r="J25" s="63">
        <f t="shared" si="11"/>
        <v>405484.69559117348</v>
      </c>
      <c r="K25" s="63">
        <f t="shared" si="1"/>
        <v>1791.0378346095881</v>
      </c>
      <c r="L25" s="63">
        <f t="shared" si="12"/>
        <v>-10598.668373599643</v>
      </c>
      <c r="M25" s="65">
        <f t="shared" si="0"/>
        <v>396677.0650521834</v>
      </c>
      <c r="O25" s="14">
        <f t="shared" si="13"/>
        <v>19</v>
      </c>
      <c r="P25" s="54">
        <f t="shared" si="14"/>
        <v>9882.375</v>
      </c>
      <c r="Q25" s="63">
        <f t="shared" si="15"/>
        <v>21894.106046689736</v>
      </c>
      <c r="R25" s="77">
        <f t="shared" si="2"/>
        <v>-10598.668373599643</v>
      </c>
      <c r="S25" s="63">
        <f t="shared" si="16"/>
        <v>-3833.3333333333335</v>
      </c>
      <c r="T25" s="63"/>
      <c r="U25" s="63">
        <f t="shared" si="17"/>
        <v>-1094.7053023344868</v>
      </c>
      <c r="V25" s="77">
        <f t="shared" si="20"/>
        <v>-657.89583333333337</v>
      </c>
      <c r="W25" s="83">
        <f t="shared" si="4"/>
        <v>5709.5032040889391</v>
      </c>
      <c r="X25" s="85">
        <f t="shared" si="18"/>
        <v>105776.62337768983</v>
      </c>
      <c r="Z25" s="92">
        <f t="shared" si="19"/>
        <v>315790</v>
      </c>
      <c r="AA25" s="5">
        <f t="shared" si="5"/>
        <v>0</v>
      </c>
      <c r="AB25" s="92">
        <f t="shared" si="6"/>
        <v>315790</v>
      </c>
      <c r="AD25" s="133">
        <f t="shared" si="7"/>
        <v>-72833.333333333343</v>
      </c>
      <c r="AE25" s="3">
        <f t="shared" si="8"/>
        <v>1</v>
      </c>
    </row>
    <row r="26" spans="1:31" ht="28.9" thickBot="1" x14ac:dyDescent="0.5">
      <c r="A26" s="26" t="s">
        <v>0</v>
      </c>
      <c r="B26" s="27" t="s">
        <v>1</v>
      </c>
      <c r="C26" s="43" t="s">
        <v>22</v>
      </c>
      <c r="D26" s="43" t="s">
        <v>10</v>
      </c>
      <c r="E26" s="43" t="s">
        <v>23</v>
      </c>
      <c r="F26" s="43" t="s">
        <v>24</v>
      </c>
      <c r="G26" s="44" t="s">
        <v>25</v>
      </c>
      <c r="H26" s="11"/>
      <c r="I26" s="14">
        <f t="shared" si="10"/>
        <v>20</v>
      </c>
      <c r="J26" s="63">
        <f t="shared" si="11"/>
        <v>396677.0650521834</v>
      </c>
      <c r="K26" s="63">
        <f t="shared" si="1"/>
        <v>1752.1342712936028</v>
      </c>
      <c r="L26" s="63">
        <f t="shared" si="12"/>
        <v>-10598.668373599643</v>
      </c>
      <c r="M26" s="65">
        <f t="shared" si="0"/>
        <v>387830.53094987734</v>
      </c>
      <c r="O26" s="14">
        <f t="shared" si="13"/>
        <v>20</v>
      </c>
      <c r="P26" s="54">
        <f t="shared" si="14"/>
        <v>10402.5</v>
      </c>
      <c r="Q26" s="63">
        <f t="shared" si="15"/>
        <v>21894.106046689736</v>
      </c>
      <c r="R26" s="77">
        <f t="shared" si="2"/>
        <v>-10598.668373599643</v>
      </c>
      <c r="S26" s="63">
        <f t="shared" si="16"/>
        <v>-3833.3333333333335</v>
      </c>
      <c r="T26" s="63"/>
      <c r="U26" s="63">
        <f t="shared" si="17"/>
        <v>-1094.7053023344868</v>
      </c>
      <c r="V26" s="77">
        <f t="shared" si="20"/>
        <v>-642.08333333333337</v>
      </c>
      <c r="W26" s="83">
        <f t="shared" si="4"/>
        <v>5725.3157040889391</v>
      </c>
      <c r="X26" s="85">
        <f t="shared" si="18"/>
        <v>111501.93908177876</v>
      </c>
      <c r="Z26" s="92">
        <f t="shared" si="19"/>
        <v>308200</v>
      </c>
      <c r="AA26" s="5">
        <f t="shared" si="5"/>
        <v>0</v>
      </c>
      <c r="AB26" s="92">
        <f t="shared" si="6"/>
        <v>308200</v>
      </c>
      <c r="AD26" s="133">
        <f t="shared" si="7"/>
        <v>-76666.666666666672</v>
      </c>
      <c r="AE26" s="3">
        <f t="shared" si="8"/>
        <v>1</v>
      </c>
    </row>
    <row r="27" spans="1:31" x14ac:dyDescent="0.45">
      <c r="A27" s="8">
        <v>1</v>
      </c>
      <c r="B27" s="9" t="s">
        <v>16</v>
      </c>
      <c r="C27" s="48">
        <v>1</v>
      </c>
      <c r="D27" s="153">
        <f>+F7</f>
        <v>460000</v>
      </c>
      <c r="E27" s="342">
        <f>+'Summary Equip'!AE12</f>
        <v>0.8</v>
      </c>
      <c r="F27" s="62">
        <f>E27*D27</f>
        <v>368000</v>
      </c>
      <c r="G27" s="60">
        <f>D27-F27</f>
        <v>92000</v>
      </c>
      <c r="H27" s="11"/>
      <c r="I27" s="14">
        <f t="shared" si="10"/>
        <v>21</v>
      </c>
      <c r="J27" s="63">
        <f t="shared" si="11"/>
        <v>387830.53094987734</v>
      </c>
      <c r="K27" s="63">
        <f t="shared" si="1"/>
        <v>1713.0588697934461</v>
      </c>
      <c r="L27" s="63">
        <f t="shared" si="12"/>
        <v>-10598.668373599643</v>
      </c>
      <c r="M27" s="65">
        <f t="shared" si="0"/>
        <v>378944.92144607112</v>
      </c>
      <c r="O27" s="14">
        <f t="shared" si="13"/>
        <v>21</v>
      </c>
      <c r="P27" s="54">
        <f t="shared" si="14"/>
        <v>10922.625</v>
      </c>
      <c r="Q27" s="63">
        <f t="shared" si="15"/>
        <v>21894.106046689736</v>
      </c>
      <c r="R27" s="77">
        <f t="shared" si="2"/>
        <v>-10598.668373599643</v>
      </c>
      <c r="S27" s="63">
        <f t="shared" si="16"/>
        <v>-3833.3333333333335</v>
      </c>
      <c r="T27" s="63"/>
      <c r="U27" s="63">
        <f t="shared" si="17"/>
        <v>-1094.7053023344868</v>
      </c>
      <c r="V27" s="77">
        <f t="shared" si="20"/>
        <v>-626.27083333333337</v>
      </c>
      <c r="W27" s="83">
        <f t="shared" si="4"/>
        <v>5741.1282040889391</v>
      </c>
      <c r="X27" s="85">
        <f t="shared" si="18"/>
        <v>117243.0672858677</v>
      </c>
      <c r="Z27" s="92">
        <f t="shared" si="19"/>
        <v>300610</v>
      </c>
      <c r="AA27" s="5">
        <f t="shared" si="5"/>
        <v>0</v>
      </c>
      <c r="AB27" s="92">
        <f t="shared" si="6"/>
        <v>300610</v>
      </c>
      <c r="AD27" s="133">
        <f t="shared" si="7"/>
        <v>-80500</v>
      </c>
      <c r="AE27" s="3">
        <f t="shared" si="8"/>
        <v>1</v>
      </c>
    </row>
    <row r="28" spans="1:31" x14ac:dyDescent="0.45">
      <c r="A28" s="4">
        <f>A27+1</f>
        <v>2</v>
      </c>
      <c r="B28" s="5" t="s">
        <v>12</v>
      </c>
      <c r="C28" s="19">
        <f>C11</f>
        <v>0.01</v>
      </c>
      <c r="D28" s="300">
        <f>-C28*D27</f>
        <v>-4600</v>
      </c>
      <c r="E28" s="23">
        <f>E27</f>
        <v>0.8</v>
      </c>
      <c r="F28" s="63">
        <f t="shared" ref="F28:F33" si="22">E28*D28</f>
        <v>-3680</v>
      </c>
      <c r="G28" s="65">
        <f>D28-F28</f>
        <v>-920</v>
      </c>
      <c r="H28" s="11"/>
      <c r="I28" s="14">
        <f t="shared" si="10"/>
        <v>22</v>
      </c>
      <c r="J28" s="63">
        <f t="shared" si="11"/>
        <v>378944.92144607112</v>
      </c>
      <c r="K28" s="63">
        <f t="shared" si="1"/>
        <v>1673.8108710947993</v>
      </c>
      <c r="L28" s="63">
        <f t="shared" si="12"/>
        <v>-10598.668373599643</v>
      </c>
      <c r="M28" s="65">
        <f t="shared" si="0"/>
        <v>370020.06394356629</v>
      </c>
      <c r="O28" s="14">
        <f t="shared" si="13"/>
        <v>22</v>
      </c>
      <c r="P28" s="54">
        <f t="shared" si="14"/>
        <v>11442.75</v>
      </c>
      <c r="Q28" s="63">
        <f t="shared" si="15"/>
        <v>21894.106046689736</v>
      </c>
      <c r="R28" s="77">
        <f t="shared" si="2"/>
        <v>-10598.668373599643</v>
      </c>
      <c r="S28" s="63">
        <f t="shared" si="16"/>
        <v>-3833.3333333333335</v>
      </c>
      <c r="T28" s="63"/>
      <c r="U28" s="63">
        <f t="shared" si="17"/>
        <v>-1094.7053023344868</v>
      </c>
      <c r="V28" s="77">
        <f t="shared" si="20"/>
        <v>-610.45833333333337</v>
      </c>
      <c r="W28" s="83">
        <f t="shared" si="4"/>
        <v>5756.9407040889391</v>
      </c>
      <c r="X28" s="85">
        <f t="shared" si="18"/>
        <v>123000.00798995663</v>
      </c>
      <c r="Z28" s="92">
        <f t="shared" si="19"/>
        <v>293020</v>
      </c>
      <c r="AA28" s="5">
        <f t="shared" si="5"/>
        <v>0</v>
      </c>
      <c r="AB28" s="92">
        <f t="shared" si="6"/>
        <v>293020</v>
      </c>
      <c r="AD28" s="133">
        <f t="shared" si="7"/>
        <v>-84333.333333333328</v>
      </c>
      <c r="AE28" s="3">
        <f t="shared" si="8"/>
        <v>1</v>
      </c>
    </row>
    <row r="29" spans="1:31" x14ac:dyDescent="0.45">
      <c r="A29" s="4">
        <f t="shared" ref="A29:A34" si="23">A28+1</f>
        <v>3</v>
      </c>
      <c r="B29" s="5" t="s">
        <v>17</v>
      </c>
      <c r="C29" s="24">
        <f>C8</f>
        <v>5.2999999999999999E-2</v>
      </c>
      <c r="D29" s="63">
        <f>K67</f>
        <v>74788.88519518348</v>
      </c>
      <c r="E29" s="23">
        <v>1</v>
      </c>
      <c r="F29" s="63">
        <f t="shared" si="22"/>
        <v>74788.88519518348</v>
      </c>
      <c r="G29" s="65">
        <f>D29-F29</f>
        <v>0</v>
      </c>
      <c r="H29" s="11"/>
      <c r="I29" s="14">
        <f t="shared" si="10"/>
        <v>23</v>
      </c>
      <c r="J29" s="63">
        <f t="shared" si="11"/>
        <v>370020.06394356629</v>
      </c>
      <c r="K29" s="63">
        <f t="shared" si="1"/>
        <v>1634.3895128307581</v>
      </c>
      <c r="L29" s="63">
        <f t="shared" si="12"/>
        <v>-10598.668373599643</v>
      </c>
      <c r="M29" s="65">
        <f t="shared" si="0"/>
        <v>361055.7850827974</v>
      </c>
      <c r="O29" s="14">
        <f t="shared" si="13"/>
        <v>23</v>
      </c>
      <c r="P29" s="54">
        <f t="shared" si="14"/>
        <v>11962.875</v>
      </c>
      <c r="Q29" s="63">
        <f t="shared" si="15"/>
        <v>21894.106046689736</v>
      </c>
      <c r="R29" s="77">
        <f t="shared" si="2"/>
        <v>-10598.668373599643</v>
      </c>
      <c r="S29" s="63">
        <f t="shared" si="16"/>
        <v>-3833.3333333333335</v>
      </c>
      <c r="T29" s="63"/>
      <c r="U29" s="63">
        <f t="shared" si="17"/>
        <v>-1094.7053023344868</v>
      </c>
      <c r="V29" s="77">
        <f t="shared" si="20"/>
        <v>-594.64583333333337</v>
      </c>
      <c r="W29" s="83">
        <f t="shared" si="4"/>
        <v>5772.7532040889391</v>
      </c>
      <c r="X29" s="85">
        <f t="shared" si="18"/>
        <v>128772.76119404557</v>
      </c>
      <c r="Z29" s="92">
        <f t="shared" si="19"/>
        <v>285430</v>
      </c>
      <c r="AA29" s="5">
        <f t="shared" si="5"/>
        <v>0</v>
      </c>
      <c r="AB29" s="92">
        <f t="shared" si="6"/>
        <v>285430</v>
      </c>
      <c r="AD29" s="133">
        <f t="shared" si="7"/>
        <v>-88166.666666666657</v>
      </c>
      <c r="AE29" s="3">
        <f t="shared" si="8"/>
        <v>1</v>
      </c>
    </row>
    <row r="30" spans="1:31" x14ac:dyDescent="0.45">
      <c r="A30" s="4">
        <f t="shared" si="23"/>
        <v>4</v>
      </c>
      <c r="B30" s="5" t="s">
        <v>6</v>
      </c>
      <c r="C30" s="23">
        <f>C9</f>
        <v>2.5000000000000001E-2</v>
      </c>
      <c r="D30" s="63">
        <f>-V67</f>
        <v>27404.499999999971</v>
      </c>
      <c r="E30" s="23">
        <v>1</v>
      </c>
      <c r="F30" s="63">
        <f t="shared" si="22"/>
        <v>27404.499999999971</v>
      </c>
      <c r="G30" s="65">
        <f>D30-F30</f>
        <v>0</v>
      </c>
      <c r="H30" s="11"/>
      <c r="I30" s="14">
        <f t="shared" si="10"/>
        <v>24</v>
      </c>
      <c r="J30" s="63">
        <f t="shared" si="11"/>
        <v>361055.7850827974</v>
      </c>
      <c r="K30" s="63">
        <f t="shared" si="1"/>
        <v>1594.7940292670191</v>
      </c>
      <c r="L30" s="63">
        <f t="shared" si="12"/>
        <v>-10598.668373599643</v>
      </c>
      <c r="M30" s="65">
        <f t="shared" si="0"/>
        <v>352051.91073846479</v>
      </c>
      <c r="O30" s="14">
        <f t="shared" si="13"/>
        <v>24</v>
      </c>
      <c r="P30" s="54">
        <f t="shared" si="14"/>
        <v>12483</v>
      </c>
      <c r="Q30" s="63">
        <f t="shared" si="15"/>
        <v>21894.106046689736</v>
      </c>
      <c r="R30" s="77">
        <f t="shared" si="2"/>
        <v>-10598.668373599643</v>
      </c>
      <c r="S30" s="63">
        <f t="shared" si="16"/>
        <v>-3833.3333333333335</v>
      </c>
      <c r="T30" s="63"/>
      <c r="U30" s="63">
        <f t="shared" si="17"/>
        <v>-1094.7053023344868</v>
      </c>
      <c r="V30" s="77">
        <f t="shared" si="20"/>
        <v>-578.83333333333337</v>
      </c>
      <c r="W30" s="83">
        <f t="shared" si="4"/>
        <v>5788.5657040889391</v>
      </c>
      <c r="X30" s="85">
        <f t="shared" si="18"/>
        <v>134561.32689813452</v>
      </c>
      <c r="Z30" s="92">
        <f t="shared" si="19"/>
        <v>277840</v>
      </c>
      <c r="AA30" s="5">
        <f t="shared" si="5"/>
        <v>0</v>
      </c>
      <c r="AB30" s="92">
        <f t="shared" si="6"/>
        <v>277840</v>
      </c>
      <c r="AD30" s="133">
        <f t="shared" si="7"/>
        <v>-91999.999999999985</v>
      </c>
      <c r="AE30" s="3">
        <f t="shared" si="8"/>
        <v>1</v>
      </c>
    </row>
    <row r="31" spans="1:31" x14ac:dyDescent="0.45">
      <c r="A31" s="4">
        <f t="shared" si="23"/>
        <v>5</v>
      </c>
      <c r="B31" s="5" t="s">
        <v>27</v>
      </c>
      <c r="C31" s="334">
        <f>+'Summary Equip'!AH12</f>
        <v>0.5</v>
      </c>
      <c r="D31" s="63">
        <f>D27*C31</f>
        <v>230000</v>
      </c>
      <c r="E31" s="334">
        <f>+ASSUMPTIONS!B43</f>
        <v>0.1</v>
      </c>
      <c r="F31" s="63">
        <f t="shared" si="22"/>
        <v>23000</v>
      </c>
      <c r="G31" s="65">
        <f>D31</f>
        <v>230000</v>
      </c>
      <c r="H31" s="11"/>
      <c r="I31" s="14">
        <f t="shared" si="10"/>
        <v>25</v>
      </c>
      <c r="J31" s="63">
        <f t="shared" si="11"/>
        <v>352051.91073846479</v>
      </c>
      <c r="K31" s="63">
        <f t="shared" si="1"/>
        <v>1555.023651287009</v>
      </c>
      <c r="L31" s="63">
        <f t="shared" si="12"/>
        <v>-10598.668373599643</v>
      </c>
      <c r="M31" s="65">
        <f t="shared" si="0"/>
        <v>343008.26601615216</v>
      </c>
      <c r="O31" s="14">
        <f t="shared" si="13"/>
        <v>25</v>
      </c>
      <c r="P31" s="54">
        <f t="shared" si="14"/>
        <v>13003.125</v>
      </c>
      <c r="Q31" s="63">
        <f t="shared" si="15"/>
        <v>21894.106046689736</v>
      </c>
      <c r="R31" s="77">
        <f t="shared" si="2"/>
        <v>-10598.668373599643</v>
      </c>
      <c r="S31" s="63">
        <f t="shared" si="16"/>
        <v>-3833.3333333333335</v>
      </c>
      <c r="T31" s="63"/>
      <c r="U31" s="63">
        <f t="shared" si="17"/>
        <v>-1094.7053023344868</v>
      </c>
      <c r="V31" s="77">
        <f t="shared" si="20"/>
        <v>-563.02083333333337</v>
      </c>
      <c r="W31" s="83">
        <f t="shared" si="4"/>
        <v>5804.3782040889391</v>
      </c>
      <c r="X31" s="85">
        <f t="shared" si="18"/>
        <v>140365.70510222347</v>
      </c>
      <c r="Z31" s="92">
        <f t="shared" si="19"/>
        <v>270250</v>
      </c>
      <c r="AA31" s="5">
        <f t="shared" si="5"/>
        <v>0</v>
      </c>
      <c r="AB31" s="92">
        <f t="shared" si="6"/>
        <v>270250</v>
      </c>
      <c r="AD31" s="133">
        <f t="shared" si="7"/>
        <v>-95833.333333333314</v>
      </c>
      <c r="AE31" s="3">
        <f t="shared" si="8"/>
        <v>1</v>
      </c>
    </row>
    <row r="32" spans="1:31" x14ac:dyDescent="0.45">
      <c r="A32" s="4">
        <f t="shared" si="23"/>
        <v>6</v>
      </c>
      <c r="B32" s="5" t="s">
        <v>26</v>
      </c>
      <c r="C32" s="335">
        <f>+'Summary Equip'!AI12</f>
        <v>0.15</v>
      </c>
      <c r="D32" s="63">
        <f>D27*C32</f>
        <v>69000</v>
      </c>
      <c r="E32" s="334">
        <f>+ASSUMPTIONS!B44</f>
        <v>0.05</v>
      </c>
      <c r="F32" s="63">
        <f t="shared" si="22"/>
        <v>3450</v>
      </c>
      <c r="G32" s="65">
        <f>D32</f>
        <v>69000</v>
      </c>
      <c r="H32" s="11"/>
      <c r="I32" s="14">
        <f t="shared" si="10"/>
        <v>26</v>
      </c>
      <c r="J32" s="63">
        <f t="shared" si="11"/>
        <v>343008.26601615216</v>
      </c>
      <c r="K32" s="63">
        <f t="shared" si="1"/>
        <v>1515.0776063769433</v>
      </c>
      <c r="L32" s="63">
        <f t="shared" si="12"/>
        <v>-10598.668373599643</v>
      </c>
      <c r="M32" s="65">
        <f t="shared" si="0"/>
        <v>333924.67524892947</v>
      </c>
      <c r="O32" s="14">
        <f t="shared" si="13"/>
        <v>26</v>
      </c>
      <c r="P32" s="54">
        <f t="shared" si="14"/>
        <v>13523.25</v>
      </c>
      <c r="Q32" s="63">
        <f t="shared" si="15"/>
        <v>21894.106046689736</v>
      </c>
      <c r="R32" s="77">
        <f t="shared" si="2"/>
        <v>-10598.668373599643</v>
      </c>
      <c r="S32" s="63">
        <f t="shared" si="16"/>
        <v>-3833.3333333333335</v>
      </c>
      <c r="T32" s="63"/>
      <c r="U32" s="63">
        <f t="shared" si="17"/>
        <v>-1094.7053023344868</v>
      </c>
      <c r="V32" s="77">
        <f t="shared" si="20"/>
        <v>-547.20833333333337</v>
      </c>
      <c r="W32" s="83">
        <f t="shared" si="4"/>
        <v>5820.1907040889391</v>
      </c>
      <c r="X32" s="85">
        <f t="shared" si="18"/>
        <v>146185.89580631242</v>
      </c>
      <c r="Z32" s="92">
        <f t="shared" si="19"/>
        <v>262660</v>
      </c>
      <c r="AA32" s="5">
        <f t="shared" si="5"/>
        <v>0</v>
      </c>
      <c r="AB32" s="92">
        <f t="shared" si="6"/>
        <v>262660</v>
      </c>
      <c r="AD32" s="133">
        <f t="shared" si="7"/>
        <v>-99666.666666666642</v>
      </c>
      <c r="AE32" s="3">
        <f t="shared" si="8"/>
        <v>1</v>
      </c>
    </row>
    <row r="33" spans="1:31" ht="14.65" thickBot="1" x14ac:dyDescent="0.5">
      <c r="A33" s="6">
        <f t="shared" si="23"/>
        <v>7</v>
      </c>
      <c r="B33" s="7" t="s">
        <v>32</v>
      </c>
      <c r="C33" s="336">
        <f>+'Summary Equip'!AJ12</f>
        <v>0.03</v>
      </c>
      <c r="D33" s="64">
        <f>D27*C33</f>
        <v>13800</v>
      </c>
      <c r="E33" s="334">
        <f>+ASSUMPTIONS!B45</f>
        <v>0</v>
      </c>
      <c r="F33" s="64">
        <f t="shared" si="22"/>
        <v>0</v>
      </c>
      <c r="G33" s="66">
        <f>D33</f>
        <v>13800</v>
      </c>
      <c r="H33" s="11"/>
      <c r="I33" s="14">
        <f t="shared" si="10"/>
        <v>27</v>
      </c>
      <c r="J33" s="63">
        <f t="shared" si="11"/>
        <v>333924.67524892947</v>
      </c>
      <c r="K33" s="63">
        <f t="shared" si="1"/>
        <v>1474.9551186108226</v>
      </c>
      <c r="L33" s="63">
        <f t="shared" si="12"/>
        <v>-10598.668373599643</v>
      </c>
      <c r="M33" s="65">
        <f t="shared" si="0"/>
        <v>324800.96199394064</v>
      </c>
      <c r="O33" s="14">
        <f t="shared" si="13"/>
        <v>27</v>
      </c>
      <c r="P33" s="54">
        <f t="shared" si="14"/>
        <v>14043.375</v>
      </c>
      <c r="Q33" s="63">
        <f t="shared" si="15"/>
        <v>21894.106046689736</v>
      </c>
      <c r="R33" s="77">
        <f t="shared" si="2"/>
        <v>-10598.668373599643</v>
      </c>
      <c r="S33" s="63">
        <f t="shared" si="16"/>
        <v>-3833.3333333333335</v>
      </c>
      <c r="T33" s="63"/>
      <c r="U33" s="63">
        <f t="shared" si="17"/>
        <v>-1094.7053023344868</v>
      </c>
      <c r="V33" s="77">
        <f t="shared" si="20"/>
        <v>-531.39583333333337</v>
      </c>
      <c r="W33" s="83">
        <f t="shared" si="4"/>
        <v>5836.0032040889391</v>
      </c>
      <c r="X33" s="85">
        <f t="shared" si="18"/>
        <v>152021.89901040136</v>
      </c>
      <c r="Z33" s="92">
        <f t="shared" si="19"/>
        <v>255070</v>
      </c>
      <c r="AA33" s="5">
        <f t="shared" si="5"/>
        <v>0</v>
      </c>
      <c r="AB33" s="92">
        <f t="shared" si="6"/>
        <v>255070</v>
      </c>
      <c r="AD33" s="133">
        <f t="shared" si="7"/>
        <v>-103499.99999999997</v>
      </c>
      <c r="AE33" s="3">
        <f t="shared" si="8"/>
        <v>1</v>
      </c>
    </row>
    <row r="34" spans="1:31" ht="14.65" thickBot="1" x14ac:dyDescent="0.5">
      <c r="A34" s="33">
        <f t="shared" si="23"/>
        <v>8</v>
      </c>
      <c r="B34" s="30" t="s">
        <v>8</v>
      </c>
      <c r="C34" s="45"/>
      <c r="D34" s="46"/>
      <c r="E34" s="47"/>
      <c r="F34" s="67">
        <f>SUM(F27:F33)</f>
        <v>492963.38519518345</v>
      </c>
      <c r="G34" s="68">
        <f>SUM(G27:G33)</f>
        <v>403880</v>
      </c>
      <c r="H34" s="11"/>
      <c r="I34" s="14">
        <f t="shared" si="10"/>
        <v>28</v>
      </c>
      <c r="J34" s="63">
        <f t="shared" si="11"/>
        <v>324800.96199394064</v>
      </c>
      <c r="K34" s="63">
        <f t="shared" si="1"/>
        <v>1434.6554086353574</v>
      </c>
      <c r="L34" s="63">
        <f t="shared" si="12"/>
        <v>-10598.668373599643</v>
      </c>
      <c r="M34" s="65">
        <f t="shared" si="0"/>
        <v>315636.94902897638</v>
      </c>
      <c r="O34" s="14">
        <f t="shared" si="13"/>
        <v>28</v>
      </c>
      <c r="P34" s="54">
        <f t="shared" si="14"/>
        <v>14563.5</v>
      </c>
      <c r="Q34" s="63">
        <f t="shared" si="15"/>
        <v>21894.106046689736</v>
      </c>
      <c r="R34" s="77">
        <f t="shared" si="2"/>
        <v>-10598.668373599643</v>
      </c>
      <c r="S34" s="63">
        <f t="shared" si="16"/>
        <v>-3833.3333333333335</v>
      </c>
      <c r="T34" s="63"/>
      <c r="U34" s="63">
        <f t="shared" si="17"/>
        <v>-1094.7053023344868</v>
      </c>
      <c r="V34" s="77">
        <f t="shared" si="20"/>
        <v>-515.58333333333337</v>
      </c>
      <c r="W34" s="83">
        <f t="shared" si="4"/>
        <v>5851.8157040889391</v>
      </c>
      <c r="X34" s="85">
        <f t="shared" si="18"/>
        <v>157873.71471449031</v>
      </c>
      <c r="Z34" s="92">
        <f t="shared" si="19"/>
        <v>247480</v>
      </c>
      <c r="AA34" s="5">
        <f t="shared" si="5"/>
        <v>0</v>
      </c>
      <c r="AB34" s="92">
        <f t="shared" si="6"/>
        <v>247480</v>
      </c>
      <c r="AD34" s="133">
        <f t="shared" si="7"/>
        <v>-107333.3333333333</v>
      </c>
      <c r="AE34" s="3">
        <f t="shared" si="8"/>
        <v>1</v>
      </c>
    </row>
    <row r="35" spans="1:31" ht="14.65" thickBot="1" x14ac:dyDescent="0.5">
      <c r="A35" s="31">
        <f>A34+1</f>
        <v>9</v>
      </c>
      <c r="B35" s="32" t="s">
        <v>7</v>
      </c>
      <c r="C35" s="42">
        <f>+C10</f>
        <v>0.05</v>
      </c>
      <c r="D35" s="22"/>
      <c r="E35" s="34"/>
      <c r="F35" s="69">
        <f>F36-F34</f>
        <v>25945.441326062311</v>
      </c>
      <c r="G35" s="70">
        <f>G36-G34</f>
        <v>21256.842105263204</v>
      </c>
      <c r="H35" s="11"/>
      <c r="I35" s="14">
        <f t="shared" si="10"/>
        <v>29</v>
      </c>
      <c r="J35" s="63">
        <f t="shared" si="11"/>
        <v>315636.94902897638</v>
      </c>
      <c r="K35" s="63">
        <f t="shared" si="1"/>
        <v>1394.1776936548342</v>
      </c>
      <c r="L35" s="63">
        <f t="shared" si="12"/>
        <v>-10598.668373599643</v>
      </c>
      <c r="M35" s="65">
        <f t="shared" si="0"/>
        <v>306432.45834903157</v>
      </c>
      <c r="O35" s="14">
        <f t="shared" si="13"/>
        <v>29</v>
      </c>
      <c r="P35" s="54">
        <f t="shared" si="14"/>
        <v>15083.625</v>
      </c>
      <c r="Q35" s="63">
        <f t="shared" si="15"/>
        <v>21894.106046689736</v>
      </c>
      <c r="R35" s="77">
        <f t="shared" si="2"/>
        <v>-10598.668373599643</v>
      </c>
      <c r="S35" s="63">
        <f t="shared" si="16"/>
        <v>-3833.3333333333335</v>
      </c>
      <c r="T35" s="63"/>
      <c r="U35" s="63">
        <f t="shared" si="17"/>
        <v>-1094.7053023344868</v>
      </c>
      <c r="V35" s="77">
        <f t="shared" si="20"/>
        <v>-499.77083333333331</v>
      </c>
      <c r="W35" s="83">
        <f t="shared" si="4"/>
        <v>5867.6282040889391</v>
      </c>
      <c r="X35" s="85">
        <f t="shared" si="18"/>
        <v>163741.34291857926</v>
      </c>
      <c r="Z35" s="92">
        <f t="shared" si="19"/>
        <v>239890</v>
      </c>
      <c r="AA35" s="5">
        <f t="shared" si="5"/>
        <v>0</v>
      </c>
      <c r="AB35" s="92">
        <f t="shared" si="6"/>
        <v>239890</v>
      </c>
      <c r="AD35" s="133">
        <f t="shared" si="7"/>
        <v>-111166.66666666663</v>
      </c>
      <c r="AE35" s="3">
        <f t="shared" si="8"/>
        <v>1</v>
      </c>
    </row>
    <row r="36" spans="1:31" ht="14.65" thickBot="1" x14ac:dyDescent="0.5">
      <c r="A36" s="37">
        <f>A35+1</f>
        <v>10</v>
      </c>
      <c r="B36" s="38" t="s">
        <v>28</v>
      </c>
      <c r="C36" s="39"/>
      <c r="D36" s="40"/>
      <c r="E36" s="41"/>
      <c r="F36" s="71">
        <f>F34/(100%-C35)</f>
        <v>518908.82652124576</v>
      </c>
      <c r="G36" s="72">
        <f>G34/(100%-C35)</f>
        <v>425136.8421052632</v>
      </c>
      <c r="H36" s="11"/>
      <c r="I36" s="14">
        <f t="shared" si="10"/>
        <v>30</v>
      </c>
      <c r="J36" s="63">
        <f t="shared" si="11"/>
        <v>306432.45834903157</v>
      </c>
      <c r="K36" s="63">
        <f t="shared" si="1"/>
        <v>1353.5211874159058</v>
      </c>
      <c r="L36" s="63">
        <f t="shared" si="12"/>
        <v>-10598.668373599643</v>
      </c>
      <c r="M36" s="65">
        <f t="shared" si="0"/>
        <v>297187.31116284785</v>
      </c>
      <c r="O36" s="14">
        <f t="shared" si="13"/>
        <v>30</v>
      </c>
      <c r="P36" s="54">
        <f t="shared" si="14"/>
        <v>15603.75</v>
      </c>
      <c r="Q36" s="63">
        <f t="shared" si="15"/>
        <v>21894.106046689736</v>
      </c>
      <c r="R36" s="77">
        <f t="shared" si="2"/>
        <v>-10598.668373599643</v>
      </c>
      <c r="S36" s="63">
        <f t="shared" si="16"/>
        <v>-3833.3333333333335</v>
      </c>
      <c r="T36" s="63">
        <f>-T68*0.5</f>
        <v>-34500</v>
      </c>
      <c r="U36" s="63">
        <f t="shared" si="17"/>
        <v>-1094.7053023344868</v>
      </c>
      <c r="V36" s="77">
        <f t="shared" si="20"/>
        <v>-483.95833333333331</v>
      </c>
      <c r="W36" s="83">
        <f t="shared" si="4"/>
        <v>-28616.559295911058</v>
      </c>
      <c r="X36" s="85">
        <f t="shared" si="18"/>
        <v>135124.78362266821</v>
      </c>
      <c r="Z36" s="92">
        <f t="shared" si="19"/>
        <v>232300</v>
      </c>
      <c r="AA36" s="5">
        <f t="shared" si="5"/>
        <v>0</v>
      </c>
      <c r="AB36" s="92">
        <f t="shared" si="6"/>
        <v>232300</v>
      </c>
      <c r="AD36" s="133">
        <f t="shared" si="7"/>
        <v>-114999.99999999996</v>
      </c>
      <c r="AE36" s="3">
        <f t="shared" si="8"/>
        <v>1</v>
      </c>
    </row>
    <row r="37" spans="1:31" x14ac:dyDescent="0.45">
      <c r="C37" s="11"/>
      <c r="D37" s="11"/>
      <c r="E37" s="11"/>
      <c r="F37" s="11"/>
      <c r="G37" s="11"/>
      <c r="H37" s="11"/>
      <c r="I37" s="14">
        <f t="shared" si="10"/>
        <v>31</v>
      </c>
      <c r="J37" s="63">
        <f t="shared" si="11"/>
        <v>297187.31116284785</v>
      </c>
      <c r="K37" s="63">
        <f t="shared" si="1"/>
        <v>1312.6851001923221</v>
      </c>
      <c r="L37" s="63">
        <f t="shared" si="12"/>
        <v>-10598.668373599643</v>
      </c>
      <c r="M37" s="65">
        <f t="shared" si="0"/>
        <v>287901.32788944052</v>
      </c>
      <c r="O37" s="14">
        <f t="shared" si="13"/>
        <v>31</v>
      </c>
      <c r="P37" s="54">
        <f t="shared" si="14"/>
        <v>16123.875</v>
      </c>
      <c r="Q37" s="63">
        <f t="shared" si="15"/>
        <v>21894.106046689736</v>
      </c>
      <c r="R37" s="77">
        <f t="shared" si="2"/>
        <v>-10598.668373599643</v>
      </c>
      <c r="S37" s="63">
        <f t="shared" si="16"/>
        <v>-3833.3333333333335</v>
      </c>
      <c r="T37" s="63"/>
      <c r="U37" s="63">
        <f t="shared" si="17"/>
        <v>-1094.7053023344868</v>
      </c>
      <c r="V37" s="77">
        <f t="shared" si="20"/>
        <v>-468.14583333333331</v>
      </c>
      <c r="W37" s="83">
        <f t="shared" si="4"/>
        <v>5899.2532040889391</v>
      </c>
      <c r="X37" s="85">
        <f t="shared" si="18"/>
        <v>141024.03682675716</v>
      </c>
      <c r="Z37" s="92">
        <f t="shared" si="19"/>
        <v>224710</v>
      </c>
      <c r="AA37" s="5">
        <f t="shared" si="5"/>
        <v>0</v>
      </c>
      <c r="AB37" s="92">
        <f t="shared" si="6"/>
        <v>224710</v>
      </c>
      <c r="AD37" s="133">
        <f t="shared" si="7"/>
        <v>-118833.33333333328</v>
      </c>
      <c r="AE37" s="3">
        <f t="shared" si="8"/>
        <v>1</v>
      </c>
    </row>
    <row r="38" spans="1:31" x14ac:dyDescent="0.45">
      <c r="C38" s="11"/>
      <c r="D38" s="11"/>
      <c r="E38" s="11"/>
      <c r="F38" s="11"/>
      <c r="G38" s="11"/>
      <c r="H38" s="11"/>
      <c r="I38" s="14">
        <f t="shared" si="10"/>
        <v>32</v>
      </c>
      <c r="J38" s="63">
        <f t="shared" si="11"/>
        <v>287901.32788944052</v>
      </c>
      <c r="K38" s="63">
        <f t="shared" si="1"/>
        <v>1271.6686387695886</v>
      </c>
      <c r="L38" s="63">
        <f t="shared" si="12"/>
        <v>-10598.668373599643</v>
      </c>
      <c r="M38" s="65">
        <f t="shared" si="0"/>
        <v>278574.32815461047</v>
      </c>
      <c r="O38" s="14">
        <f t="shared" si="13"/>
        <v>32</v>
      </c>
      <c r="P38" s="54">
        <f t="shared" si="14"/>
        <v>16644</v>
      </c>
      <c r="Q38" s="63">
        <f t="shared" si="15"/>
        <v>21894.106046689736</v>
      </c>
      <c r="R38" s="77">
        <f t="shared" si="2"/>
        <v>-10598.668373599643</v>
      </c>
      <c r="S38" s="63">
        <f t="shared" si="16"/>
        <v>-3833.3333333333335</v>
      </c>
      <c r="T38" s="63"/>
      <c r="U38" s="63">
        <f t="shared" si="17"/>
        <v>-1094.7053023344868</v>
      </c>
      <c r="V38" s="77">
        <f t="shared" si="20"/>
        <v>-452.33333333333331</v>
      </c>
      <c r="W38" s="83">
        <f t="shared" si="4"/>
        <v>5915.0657040889391</v>
      </c>
      <c r="X38" s="85">
        <f t="shared" si="18"/>
        <v>146939.10253084611</v>
      </c>
      <c r="Z38" s="92">
        <f t="shared" si="19"/>
        <v>217120</v>
      </c>
      <c r="AA38" s="5">
        <f t="shared" si="5"/>
        <v>0</v>
      </c>
      <c r="AB38" s="92">
        <f t="shared" si="6"/>
        <v>217120</v>
      </c>
      <c r="AD38" s="133">
        <f t="shared" si="7"/>
        <v>-122666.66666666661</v>
      </c>
      <c r="AE38" s="3">
        <f t="shared" si="8"/>
        <v>1</v>
      </c>
    </row>
    <row r="39" spans="1:31" x14ac:dyDescent="0.45">
      <c r="C39" s="11"/>
      <c r="D39" s="11"/>
      <c r="E39" s="11"/>
      <c r="F39" s="11"/>
      <c r="G39" s="11"/>
      <c r="H39" s="11"/>
      <c r="I39" s="14">
        <f t="shared" si="10"/>
        <v>33</v>
      </c>
      <c r="J39" s="63">
        <f t="shared" si="11"/>
        <v>278574.32815461047</v>
      </c>
      <c r="K39" s="63">
        <f t="shared" si="1"/>
        <v>1230.4710064295582</v>
      </c>
      <c r="L39" s="63">
        <f t="shared" si="12"/>
        <v>-10598.668373599643</v>
      </c>
      <c r="M39" s="65">
        <f t="shared" si="0"/>
        <v>269206.1307874404</v>
      </c>
      <c r="O39" s="14">
        <f t="shared" si="13"/>
        <v>33</v>
      </c>
      <c r="P39" s="54">
        <f t="shared" si="14"/>
        <v>17164.125</v>
      </c>
      <c r="Q39" s="63">
        <f t="shared" si="15"/>
        <v>21894.106046689736</v>
      </c>
      <c r="R39" s="77">
        <f t="shared" si="2"/>
        <v>-10598.668373599643</v>
      </c>
      <c r="S39" s="63">
        <f t="shared" si="16"/>
        <v>-3833.3333333333335</v>
      </c>
      <c r="T39" s="63"/>
      <c r="U39" s="63">
        <f t="shared" si="17"/>
        <v>-1094.7053023344868</v>
      </c>
      <c r="V39" s="77">
        <f t="shared" si="20"/>
        <v>-436.52083333333331</v>
      </c>
      <c r="W39" s="83">
        <f t="shared" si="4"/>
        <v>5930.8782040889391</v>
      </c>
      <c r="X39" s="85">
        <f t="shared" si="18"/>
        <v>152869.98073493506</v>
      </c>
      <c r="Z39" s="92">
        <f t="shared" si="19"/>
        <v>209530</v>
      </c>
      <c r="AA39" s="5">
        <f t="shared" si="5"/>
        <v>0</v>
      </c>
      <c r="AB39" s="92">
        <f t="shared" si="6"/>
        <v>209530</v>
      </c>
      <c r="AD39" s="133">
        <f t="shared" si="7"/>
        <v>-126499.99999999994</v>
      </c>
      <c r="AE39" s="3">
        <f t="shared" si="8"/>
        <v>1</v>
      </c>
    </row>
    <row r="40" spans="1:31" ht="14.65" thickBot="1" x14ac:dyDescent="0.5">
      <c r="C40" s="11"/>
      <c r="D40" s="11"/>
      <c r="E40" s="11"/>
      <c r="F40" s="11"/>
      <c r="G40" s="11"/>
      <c r="H40" s="11"/>
      <c r="I40" s="14">
        <f t="shared" si="10"/>
        <v>34</v>
      </c>
      <c r="J40" s="63">
        <f t="shared" si="11"/>
        <v>269206.1307874404</v>
      </c>
      <c r="K40" s="63">
        <f t="shared" si="1"/>
        <v>1189.0914029349576</v>
      </c>
      <c r="L40" s="63">
        <f t="shared" si="12"/>
        <v>-10598.668373599643</v>
      </c>
      <c r="M40" s="65">
        <f t="shared" si="0"/>
        <v>259796.55381677573</v>
      </c>
      <c r="O40" s="14">
        <f t="shared" si="13"/>
        <v>34</v>
      </c>
      <c r="P40" s="54">
        <f t="shared" si="14"/>
        <v>17684.25</v>
      </c>
      <c r="Q40" s="63">
        <f t="shared" si="15"/>
        <v>21894.106046689736</v>
      </c>
      <c r="R40" s="77">
        <f t="shared" si="2"/>
        <v>-10598.668373599643</v>
      </c>
      <c r="S40" s="63">
        <f t="shared" si="16"/>
        <v>-3833.3333333333335</v>
      </c>
      <c r="T40" s="63"/>
      <c r="U40" s="63">
        <f t="shared" si="17"/>
        <v>-1094.7053023344868</v>
      </c>
      <c r="V40" s="77">
        <f t="shared" si="20"/>
        <v>-420.70833333333331</v>
      </c>
      <c r="W40" s="83">
        <f t="shared" si="4"/>
        <v>5946.6907040889391</v>
      </c>
      <c r="X40" s="85">
        <f t="shared" si="18"/>
        <v>158816.67143902401</v>
      </c>
      <c r="Z40" s="92">
        <f t="shared" si="19"/>
        <v>201940</v>
      </c>
      <c r="AA40" s="5">
        <f t="shared" si="5"/>
        <v>0</v>
      </c>
      <c r="AB40" s="92">
        <f t="shared" si="6"/>
        <v>201940</v>
      </c>
      <c r="AD40" s="133">
        <f t="shared" si="7"/>
        <v>-130333.33333333327</v>
      </c>
      <c r="AE40" s="3">
        <f t="shared" si="8"/>
        <v>1</v>
      </c>
    </row>
    <row r="41" spans="1:31" ht="32.25" customHeight="1" thickBot="1" x14ac:dyDescent="0.5">
      <c r="A41" s="667" t="s">
        <v>29</v>
      </c>
      <c r="B41" s="668"/>
      <c r="C41" s="668"/>
      <c r="D41" s="668"/>
      <c r="E41" s="668"/>
      <c r="F41" s="668"/>
      <c r="G41" s="669"/>
      <c r="H41" s="11"/>
      <c r="I41" s="14">
        <f t="shared" si="10"/>
        <v>35</v>
      </c>
      <c r="J41" s="63">
        <f t="shared" si="11"/>
        <v>259796.55381677573</v>
      </c>
      <c r="K41" s="63">
        <f t="shared" si="1"/>
        <v>1147.5290245138415</v>
      </c>
      <c r="L41" s="63">
        <f t="shared" si="12"/>
        <v>-10598.668373599643</v>
      </c>
      <c r="M41" s="65">
        <f t="shared" si="0"/>
        <v>250345.41446768993</v>
      </c>
      <c r="O41" s="14">
        <f t="shared" si="13"/>
        <v>35</v>
      </c>
      <c r="P41" s="54">
        <f t="shared" si="14"/>
        <v>18204.375</v>
      </c>
      <c r="Q41" s="63">
        <f t="shared" si="15"/>
        <v>21894.106046689736</v>
      </c>
      <c r="R41" s="77">
        <f t="shared" si="2"/>
        <v>-10598.668373599643</v>
      </c>
      <c r="S41" s="63">
        <f t="shared" si="16"/>
        <v>-3833.3333333333335</v>
      </c>
      <c r="T41" s="63"/>
      <c r="U41" s="63">
        <f t="shared" si="17"/>
        <v>-1094.7053023344868</v>
      </c>
      <c r="V41" s="77">
        <f t="shared" si="20"/>
        <v>-404.89583333333331</v>
      </c>
      <c r="W41" s="83">
        <f t="shared" si="4"/>
        <v>5962.5032040889391</v>
      </c>
      <c r="X41" s="85">
        <f t="shared" si="18"/>
        <v>164779.17464311296</v>
      </c>
      <c r="Z41" s="92">
        <f t="shared" si="19"/>
        <v>194350</v>
      </c>
      <c r="AA41" s="5">
        <f t="shared" si="5"/>
        <v>0</v>
      </c>
      <c r="AB41" s="92">
        <f t="shared" si="6"/>
        <v>194350</v>
      </c>
      <c r="AD41" s="133">
        <f t="shared" si="7"/>
        <v>-134166.6666666666</v>
      </c>
      <c r="AE41" s="3">
        <f t="shared" si="8"/>
        <v>1</v>
      </c>
    </row>
    <row r="42" spans="1:31" ht="19.5" customHeight="1" x14ac:dyDescent="0.45">
      <c r="A42" s="35">
        <v>1</v>
      </c>
      <c r="B42" s="670" t="s">
        <v>30</v>
      </c>
      <c r="C42" s="671"/>
      <c r="D42" s="671"/>
      <c r="E42" s="672"/>
      <c r="F42" s="73">
        <f>F36/C12/C14</f>
        <v>9609.4227133564018</v>
      </c>
      <c r="G42" s="74">
        <f>G36/C13/C14</f>
        <v>23.6187134502924</v>
      </c>
      <c r="H42" s="11"/>
      <c r="I42" s="20">
        <f t="shared" si="10"/>
        <v>36</v>
      </c>
      <c r="J42" s="63">
        <f t="shared" si="11"/>
        <v>250345.41446768993</v>
      </c>
      <c r="K42" s="79">
        <f t="shared" si="1"/>
        <v>1105.7830638439796</v>
      </c>
      <c r="L42" s="63">
        <f t="shared" si="12"/>
        <v>-10598.668373599643</v>
      </c>
      <c r="M42" s="80">
        <f t="shared" si="0"/>
        <v>240852.52915793427</v>
      </c>
      <c r="O42" s="20">
        <f t="shared" si="13"/>
        <v>36</v>
      </c>
      <c r="P42" s="54">
        <f t="shared" si="14"/>
        <v>18724.5</v>
      </c>
      <c r="Q42" s="63">
        <f t="shared" si="15"/>
        <v>21894.106046689736</v>
      </c>
      <c r="R42" s="77">
        <f t="shared" si="2"/>
        <v>-10598.668373599643</v>
      </c>
      <c r="S42" s="63">
        <f t="shared" si="16"/>
        <v>-3833.3333333333335</v>
      </c>
      <c r="T42" s="63"/>
      <c r="U42" s="63">
        <f t="shared" si="17"/>
        <v>-1094.7053023344868</v>
      </c>
      <c r="V42" s="77">
        <f t="shared" si="20"/>
        <v>-389.08333333333331</v>
      </c>
      <c r="W42" s="83">
        <f t="shared" si="4"/>
        <v>5978.3157040889391</v>
      </c>
      <c r="X42" s="85">
        <f t="shared" si="18"/>
        <v>170757.49034720191</v>
      </c>
      <c r="Z42" s="92">
        <f t="shared" si="19"/>
        <v>186760</v>
      </c>
      <c r="AA42" s="5">
        <f t="shared" si="5"/>
        <v>0</v>
      </c>
      <c r="AB42" s="92">
        <f t="shared" si="6"/>
        <v>186760</v>
      </c>
      <c r="AD42" s="133">
        <f t="shared" si="7"/>
        <v>-137999.99999999994</v>
      </c>
      <c r="AE42" s="3">
        <f t="shared" si="8"/>
        <v>1</v>
      </c>
    </row>
    <row r="43" spans="1:31" ht="19.5" customHeight="1" thickBot="1" x14ac:dyDescent="0.5">
      <c r="A43" s="36">
        <f>A42+1</f>
        <v>2</v>
      </c>
      <c r="B43" s="673" t="s">
        <v>31</v>
      </c>
      <c r="C43" s="674"/>
      <c r="D43" s="674"/>
      <c r="E43" s="675"/>
      <c r="F43" s="75"/>
      <c r="G43" s="76">
        <f>+(F42*C12+D13*G42)/D13</f>
        <v>55.650122494813743</v>
      </c>
      <c r="H43" s="11"/>
      <c r="I43" s="20">
        <f t="shared" si="10"/>
        <v>37</v>
      </c>
      <c r="J43" s="63">
        <f t="shared" si="11"/>
        <v>240852.52915793427</v>
      </c>
      <c r="K43" s="79">
        <f t="shared" si="1"/>
        <v>1063.8527100371759</v>
      </c>
      <c r="L43" s="63">
        <f t="shared" si="12"/>
        <v>-10598.668373599643</v>
      </c>
      <c r="M43" s="80">
        <f t="shared" si="0"/>
        <v>231317.7134943718</v>
      </c>
      <c r="O43" s="20">
        <f t="shared" si="13"/>
        <v>37</v>
      </c>
      <c r="P43" s="54">
        <f t="shared" si="14"/>
        <v>19244.625</v>
      </c>
      <c r="Q43" s="63">
        <f t="shared" si="15"/>
        <v>21894.106046689736</v>
      </c>
      <c r="R43" s="77">
        <f t="shared" si="2"/>
        <v>-10598.668373599643</v>
      </c>
      <c r="S43" s="63">
        <f t="shared" si="16"/>
        <v>-3833.3333333333335</v>
      </c>
      <c r="T43" s="63"/>
      <c r="U43" s="63">
        <f t="shared" si="17"/>
        <v>-1094.7053023344868</v>
      </c>
      <c r="V43" s="77">
        <f t="shared" si="20"/>
        <v>-373.27083333333331</v>
      </c>
      <c r="W43" s="83">
        <f t="shared" si="4"/>
        <v>5994.1282040889391</v>
      </c>
      <c r="X43" s="85">
        <f t="shared" si="18"/>
        <v>176751.61855129086</v>
      </c>
      <c r="Z43" s="92">
        <f t="shared" si="19"/>
        <v>179170</v>
      </c>
      <c r="AA43" s="5">
        <f t="shared" si="5"/>
        <v>0</v>
      </c>
      <c r="AB43" s="92">
        <f t="shared" si="6"/>
        <v>179170</v>
      </c>
      <c r="AD43" s="133">
        <f t="shared" si="7"/>
        <v>-141833.33333333328</v>
      </c>
      <c r="AE43" s="3">
        <f t="shared" si="8"/>
        <v>1</v>
      </c>
    </row>
    <row r="44" spans="1:31" x14ac:dyDescent="0.45">
      <c r="I44" s="20">
        <f t="shared" si="10"/>
        <v>38</v>
      </c>
      <c r="J44" s="63">
        <f t="shared" si="11"/>
        <v>231317.7134943718</v>
      </c>
      <c r="K44" s="79">
        <f t="shared" si="1"/>
        <v>1021.737148623518</v>
      </c>
      <c r="L44" s="63">
        <f t="shared" si="12"/>
        <v>-10598.668373599643</v>
      </c>
      <c r="M44" s="80">
        <f t="shared" si="0"/>
        <v>221740.78226939566</v>
      </c>
      <c r="O44" s="20">
        <f t="shared" si="13"/>
        <v>38</v>
      </c>
      <c r="P44" s="54">
        <f t="shared" si="14"/>
        <v>19764.75</v>
      </c>
      <c r="Q44" s="63">
        <f t="shared" si="15"/>
        <v>21894.106046689736</v>
      </c>
      <c r="R44" s="77">
        <f t="shared" si="2"/>
        <v>-10598.668373599643</v>
      </c>
      <c r="S44" s="63">
        <f t="shared" si="16"/>
        <v>-3833.3333333333335</v>
      </c>
      <c r="T44" s="63"/>
      <c r="U44" s="63">
        <f t="shared" si="17"/>
        <v>-1094.7053023344868</v>
      </c>
      <c r="V44" s="77">
        <f t="shared" si="20"/>
        <v>-357.45833333333331</v>
      </c>
      <c r="W44" s="83">
        <f t="shared" si="4"/>
        <v>6009.9407040889391</v>
      </c>
      <c r="X44" s="85">
        <f t="shared" si="18"/>
        <v>182761.55925537981</v>
      </c>
      <c r="Z44" s="92">
        <f t="shared" si="19"/>
        <v>171580</v>
      </c>
      <c r="AA44" s="5">
        <f t="shared" si="5"/>
        <v>0</v>
      </c>
      <c r="AB44" s="92">
        <f t="shared" si="6"/>
        <v>171580</v>
      </c>
      <c r="AD44" s="133">
        <f t="shared" si="7"/>
        <v>-145666.66666666663</v>
      </c>
      <c r="AE44" s="3">
        <f t="shared" si="8"/>
        <v>1</v>
      </c>
    </row>
    <row r="45" spans="1:31" x14ac:dyDescent="0.45">
      <c r="I45" s="20">
        <f t="shared" si="10"/>
        <v>39</v>
      </c>
      <c r="J45" s="63">
        <f t="shared" si="11"/>
        <v>221740.78226939566</v>
      </c>
      <c r="K45" s="79">
        <f t="shared" si="1"/>
        <v>979.43556153555471</v>
      </c>
      <c r="L45" s="63">
        <f t="shared" si="12"/>
        <v>-10598.668373599643</v>
      </c>
      <c r="M45" s="80">
        <f t="shared" si="0"/>
        <v>212121.54945733157</v>
      </c>
      <c r="O45" s="20">
        <f t="shared" si="13"/>
        <v>39</v>
      </c>
      <c r="P45" s="54">
        <f t="shared" si="14"/>
        <v>20284.875</v>
      </c>
      <c r="Q45" s="63">
        <f t="shared" si="15"/>
        <v>21894.106046689736</v>
      </c>
      <c r="R45" s="77">
        <f t="shared" si="2"/>
        <v>-10598.668373599643</v>
      </c>
      <c r="S45" s="63">
        <f t="shared" si="16"/>
        <v>-3833.3333333333335</v>
      </c>
      <c r="T45" s="63"/>
      <c r="U45" s="63">
        <f t="shared" si="17"/>
        <v>-1094.7053023344868</v>
      </c>
      <c r="V45" s="77">
        <f t="shared" si="20"/>
        <v>-341.64583333333331</v>
      </c>
      <c r="W45" s="83">
        <f t="shared" si="4"/>
        <v>6025.7532040889391</v>
      </c>
      <c r="X45" s="85">
        <f t="shared" si="18"/>
        <v>188787.31245946875</v>
      </c>
      <c r="Z45" s="92">
        <f t="shared" si="19"/>
        <v>163990</v>
      </c>
      <c r="AA45" s="5">
        <f t="shared" si="5"/>
        <v>0</v>
      </c>
      <c r="AB45" s="92">
        <f t="shared" si="6"/>
        <v>163990</v>
      </c>
      <c r="AD45" s="133">
        <f t="shared" si="7"/>
        <v>-149499.99999999997</v>
      </c>
      <c r="AE45" s="3">
        <f t="shared" si="8"/>
        <v>1</v>
      </c>
    </row>
    <row r="46" spans="1:31" x14ac:dyDescent="0.45">
      <c r="I46" s="20">
        <f t="shared" si="10"/>
        <v>40</v>
      </c>
      <c r="J46" s="63">
        <f t="shared" si="11"/>
        <v>212121.54945733157</v>
      </c>
      <c r="K46" s="79">
        <f t="shared" si="1"/>
        <v>936.94712709240844</v>
      </c>
      <c r="L46" s="63">
        <f t="shared" si="12"/>
        <v>-10598.668373599643</v>
      </c>
      <c r="M46" s="80">
        <f t="shared" si="0"/>
        <v>202459.82821082431</v>
      </c>
      <c r="O46" s="20">
        <f t="shared" si="13"/>
        <v>40</v>
      </c>
      <c r="P46" s="54">
        <f t="shared" si="14"/>
        <v>20805</v>
      </c>
      <c r="Q46" s="63">
        <f t="shared" si="15"/>
        <v>21894.106046689736</v>
      </c>
      <c r="R46" s="77">
        <f t="shared" si="2"/>
        <v>-10598.668373599643</v>
      </c>
      <c r="S46" s="63">
        <f t="shared" si="16"/>
        <v>-3833.3333333333335</v>
      </c>
      <c r="T46" s="63"/>
      <c r="U46" s="63">
        <f t="shared" si="17"/>
        <v>-1094.7053023344868</v>
      </c>
      <c r="V46" s="77">
        <f t="shared" si="20"/>
        <v>-325.83333333333331</v>
      </c>
      <c r="W46" s="83">
        <f t="shared" si="4"/>
        <v>6041.5657040889391</v>
      </c>
      <c r="X46" s="85">
        <f t="shared" si="18"/>
        <v>194828.8781635577</v>
      </c>
      <c r="Z46" s="92">
        <f t="shared" si="19"/>
        <v>156400</v>
      </c>
      <c r="AA46" s="5">
        <f t="shared" si="5"/>
        <v>0</v>
      </c>
      <c r="AB46" s="92">
        <f t="shared" si="6"/>
        <v>156400</v>
      </c>
      <c r="AD46" s="133">
        <f t="shared" si="7"/>
        <v>-153333.33333333331</v>
      </c>
      <c r="AE46" s="3">
        <f t="shared" si="8"/>
        <v>1</v>
      </c>
    </row>
    <row r="47" spans="1:31" x14ac:dyDescent="0.45">
      <c r="I47" s="20">
        <f t="shared" si="10"/>
        <v>41</v>
      </c>
      <c r="J47" s="63">
        <f t="shared" si="11"/>
        <v>202459.82821082431</v>
      </c>
      <c r="K47" s="79">
        <f t="shared" si="1"/>
        <v>894.27101998381136</v>
      </c>
      <c r="L47" s="63">
        <f t="shared" si="12"/>
        <v>-10598.668373599643</v>
      </c>
      <c r="M47" s="80">
        <f t="shared" si="0"/>
        <v>192755.43085720847</v>
      </c>
      <c r="O47" s="20">
        <f t="shared" si="13"/>
        <v>41</v>
      </c>
      <c r="P47" s="54">
        <f t="shared" si="14"/>
        <v>21325.125</v>
      </c>
      <c r="Q47" s="63">
        <f t="shared" si="15"/>
        <v>21894.106046689736</v>
      </c>
      <c r="R47" s="77">
        <f t="shared" si="2"/>
        <v>-10598.668373599643</v>
      </c>
      <c r="S47" s="63">
        <f t="shared" si="16"/>
        <v>-3833.3333333333335</v>
      </c>
      <c r="T47" s="63"/>
      <c r="U47" s="63">
        <f t="shared" si="17"/>
        <v>-1094.7053023344868</v>
      </c>
      <c r="V47" s="77">
        <f t="shared" si="20"/>
        <v>-310.02083333333331</v>
      </c>
      <c r="W47" s="83">
        <f t="shared" si="4"/>
        <v>6057.3782040889391</v>
      </c>
      <c r="X47" s="85">
        <f t="shared" si="18"/>
        <v>200886.25636764665</v>
      </c>
      <c r="Z47" s="92">
        <f t="shared" si="19"/>
        <v>148810</v>
      </c>
      <c r="AA47" s="5">
        <f t="shared" si="5"/>
        <v>0</v>
      </c>
      <c r="AB47" s="92">
        <f t="shared" si="6"/>
        <v>148810</v>
      </c>
      <c r="AD47" s="133">
        <f t="shared" si="7"/>
        <v>-157166.66666666666</v>
      </c>
      <c r="AE47" s="3">
        <f t="shared" si="8"/>
        <v>1</v>
      </c>
    </row>
    <row r="48" spans="1:31" x14ac:dyDescent="0.45">
      <c r="I48" s="20">
        <f t="shared" si="10"/>
        <v>42</v>
      </c>
      <c r="J48" s="63">
        <f t="shared" si="11"/>
        <v>192755.43085720847</v>
      </c>
      <c r="K48" s="79">
        <f t="shared" si="1"/>
        <v>851.40641125407694</v>
      </c>
      <c r="L48" s="63">
        <f t="shared" si="12"/>
        <v>-10598.668373599643</v>
      </c>
      <c r="M48" s="80">
        <f t="shared" si="0"/>
        <v>183008.1688948629</v>
      </c>
      <c r="O48" s="20">
        <f t="shared" si="13"/>
        <v>42</v>
      </c>
      <c r="P48" s="54">
        <f t="shared" si="14"/>
        <v>21845.25</v>
      </c>
      <c r="Q48" s="63">
        <f t="shared" si="15"/>
        <v>21894.106046689736</v>
      </c>
      <c r="R48" s="77">
        <f t="shared" si="2"/>
        <v>-10598.668373599643</v>
      </c>
      <c r="S48" s="63">
        <f t="shared" si="16"/>
        <v>-3833.3333333333335</v>
      </c>
      <c r="T48" s="63"/>
      <c r="U48" s="63">
        <f t="shared" si="17"/>
        <v>-1094.7053023344868</v>
      </c>
      <c r="V48" s="77">
        <f t="shared" si="20"/>
        <v>-294.20833333333331</v>
      </c>
      <c r="W48" s="83">
        <f t="shared" si="4"/>
        <v>6073.1907040889391</v>
      </c>
      <c r="X48" s="85">
        <f t="shared" si="18"/>
        <v>206959.4470717356</v>
      </c>
      <c r="Z48" s="92">
        <f t="shared" si="19"/>
        <v>141220</v>
      </c>
      <c r="AA48" s="5">
        <f t="shared" si="5"/>
        <v>0</v>
      </c>
      <c r="AB48" s="92">
        <f t="shared" si="6"/>
        <v>141220</v>
      </c>
      <c r="AD48" s="133">
        <f t="shared" si="7"/>
        <v>-161000</v>
      </c>
      <c r="AE48" s="3">
        <f t="shared" si="8"/>
        <v>1</v>
      </c>
    </row>
    <row r="49" spans="9:31" x14ac:dyDescent="0.45">
      <c r="I49" s="20">
        <f t="shared" si="10"/>
        <v>43</v>
      </c>
      <c r="J49" s="63">
        <f t="shared" si="11"/>
        <v>183008.1688948629</v>
      </c>
      <c r="K49" s="79">
        <f t="shared" si="1"/>
        <v>808.35246828599668</v>
      </c>
      <c r="L49" s="63">
        <f t="shared" si="12"/>
        <v>-10598.668373599643</v>
      </c>
      <c r="M49" s="80">
        <f t="shared" si="0"/>
        <v>173217.85298954925</v>
      </c>
      <c r="O49" s="20">
        <f t="shared" si="13"/>
        <v>43</v>
      </c>
      <c r="P49" s="54">
        <f t="shared" si="14"/>
        <v>22365.375</v>
      </c>
      <c r="Q49" s="63">
        <f t="shared" si="15"/>
        <v>21894.106046689736</v>
      </c>
      <c r="R49" s="77">
        <f t="shared" si="2"/>
        <v>-10598.668373599643</v>
      </c>
      <c r="S49" s="63">
        <f t="shared" si="16"/>
        <v>-3833.3333333333335</v>
      </c>
      <c r="T49" s="63"/>
      <c r="U49" s="63">
        <f t="shared" si="17"/>
        <v>-1094.7053023344868</v>
      </c>
      <c r="V49" s="77">
        <f t="shared" si="20"/>
        <v>-278.39583333333331</v>
      </c>
      <c r="W49" s="83">
        <f t="shared" si="4"/>
        <v>6089.0032040889391</v>
      </c>
      <c r="X49" s="85">
        <f t="shared" si="18"/>
        <v>213048.45027582455</v>
      </c>
      <c r="Z49" s="92">
        <f t="shared" si="19"/>
        <v>133630</v>
      </c>
      <c r="AA49" s="5">
        <f t="shared" si="5"/>
        <v>0</v>
      </c>
      <c r="AB49" s="92">
        <f t="shared" si="6"/>
        <v>133630</v>
      </c>
      <c r="AD49" s="133">
        <f t="shared" si="7"/>
        <v>-164833.33333333334</v>
      </c>
      <c r="AE49" s="3">
        <f t="shared" si="8"/>
        <v>1</v>
      </c>
    </row>
    <row r="50" spans="9:31" x14ac:dyDescent="0.45">
      <c r="I50" s="20">
        <f t="shared" si="10"/>
        <v>44</v>
      </c>
      <c r="J50" s="63">
        <f t="shared" si="11"/>
        <v>173217.85298954925</v>
      </c>
      <c r="K50" s="79">
        <f t="shared" si="1"/>
        <v>765.10835478466697</v>
      </c>
      <c r="L50" s="63">
        <f t="shared" si="12"/>
        <v>-10598.668373599643</v>
      </c>
      <c r="M50" s="80">
        <f t="shared" si="0"/>
        <v>163384.29297073427</v>
      </c>
      <c r="O50" s="20">
        <f t="shared" si="13"/>
        <v>44</v>
      </c>
      <c r="P50" s="54">
        <f t="shared" si="14"/>
        <v>22885.5</v>
      </c>
      <c r="Q50" s="63">
        <f t="shared" si="15"/>
        <v>21894.106046689736</v>
      </c>
      <c r="R50" s="77">
        <f t="shared" si="2"/>
        <v>-10598.668373599643</v>
      </c>
      <c r="S50" s="63">
        <f t="shared" si="16"/>
        <v>-3833.3333333333335</v>
      </c>
      <c r="T50" s="63"/>
      <c r="U50" s="63">
        <f t="shared" si="17"/>
        <v>-1094.7053023344868</v>
      </c>
      <c r="V50" s="77">
        <f t="shared" si="20"/>
        <v>-262.58333333333331</v>
      </c>
      <c r="W50" s="83">
        <f t="shared" si="4"/>
        <v>6104.8157040889391</v>
      </c>
      <c r="X50" s="85">
        <f t="shared" si="18"/>
        <v>219153.2659799135</v>
      </c>
      <c r="Z50" s="92">
        <f t="shared" si="19"/>
        <v>126040</v>
      </c>
      <c r="AA50" s="5">
        <f t="shared" si="5"/>
        <v>0</v>
      </c>
      <c r="AB50" s="92">
        <f t="shared" si="6"/>
        <v>126040</v>
      </c>
      <c r="AD50" s="133">
        <f t="shared" si="7"/>
        <v>-168666.66666666669</v>
      </c>
      <c r="AE50" s="3">
        <f t="shared" si="8"/>
        <v>1</v>
      </c>
    </row>
    <row r="51" spans="9:31" x14ac:dyDescent="0.45">
      <c r="I51" s="20">
        <f t="shared" si="10"/>
        <v>45</v>
      </c>
      <c r="J51" s="63">
        <f t="shared" si="11"/>
        <v>163384.29297073427</v>
      </c>
      <c r="K51" s="79">
        <f t="shared" si="1"/>
        <v>721.67323076124569</v>
      </c>
      <c r="L51" s="63">
        <f t="shared" si="12"/>
        <v>-10598.668373599643</v>
      </c>
      <c r="M51" s="80">
        <f t="shared" si="0"/>
        <v>153507.29782789588</v>
      </c>
      <c r="O51" s="20">
        <f t="shared" si="13"/>
        <v>45</v>
      </c>
      <c r="P51" s="54">
        <f t="shared" si="14"/>
        <v>23405.625</v>
      </c>
      <c r="Q51" s="63">
        <f t="shared" si="15"/>
        <v>21894.106046689736</v>
      </c>
      <c r="R51" s="77">
        <f t="shared" si="2"/>
        <v>-10598.668373599643</v>
      </c>
      <c r="S51" s="63">
        <f t="shared" si="16"/>
        <v>-3833.3333333333335</v>
      </c>
      <c r="T51" s="63"/>
      <c r="U51" s="63">
        <f t="shared" si="17"/>
        <v>-1094.7053023344868</v>
      </c>
      <c r="V51" s="77">
        <f t="shared" si="20"/>
        <v>-246.77083333333334</v>
      </c>
      <c r="W51" s="83">
        <f t="shared" si="4"/>
        <v>6120.6282040889391</v>
      </c>
      <c r="X51" s="85">
        <f t="shared" si="18"/>
        <v>225273.89418400245</v>
      </c>
      <c r="Z51" s="92">
        <f t="shared" si="19"/>
        <v>118450</v>
      </c>
      <c r="AA51" s="5">
        <f t="shared" si="5"/>
        <v>0</v>
      </c>
      <c r="AB51" s="92">
        <f t="shared" si="6"/>
        <v>118450</v>
      </c>
      <c r="AD51" s="133">
        <f t="shared" si="7"/>
        <v>-172500.00000000003</v>
      </c>
      <c r="AE51" s="3">
        <f t="shared" si="8"/>
        <v>1</v>
      </c>
    </row>
    <row r="52" spans="9:31" x14ac:dyDescent="0.45">
      <c r="I52" s="20">
        <f t="shared" si="10"/>
        <v>46</v>
      </c>
      <c r="J52" s="63">
        <f t="shared" si="11"/>
        <v>153507.29782789588</v>
      </c>
      <c r="K52" s="79">
        <f t="shared" si="1"/>
        <v>678.04625251663515</v>
      </c>
      <c r="L52" s="63">
        <f t="shared" si="12"/>
        <v>-10598.668373599643</v>
      </c>
      <c r="M52" s="80">
        <f t="shared" si="0"/>
        <v>143586.67570681285</v>
      </c>
      <c r="O52" s="20">
        <f t="shared" si="13"/>
        <v>46</v>
      </c>
      <c r="P52" s="54">
        <f t="shared" si="14"/>
        <v>23925.75</v>
      </c>
      <c r="Q52" s="63">
        <f t="shared" si="15"/>
        <v>21894.106046689736</v>
      </c>
      <c r="R52" s="77">
        <f t="shared" si="2"/>
        <v>-10598.668373599643</v>
      </c>
      <c r="S52" s="63">
        <f t="shared" si="16"/>
        <v>-3833.3333333333335</v>
      </c>
      <c r="T52" s="63"/>
      <c r="U52" s="63">
        <f t="shared" si="17"/>
        <v>-1094.7053023344868</v>
      </c>
      <c r="V52" s="77">
        <f t="shared" si="20"/>
        <v>-230.95833333333334</v>
      </c>
      <c r="W52" s="83">
        <f t="shared" si="4"/>
        <v>6136.4407040889391</v>
      </c>
      <c r="X52" s="85">
        <f t="shared" si="18"/>
        <v>231410.3348880914</v>
      </c>
      <c r="Z52" s="92">
        <f t="shared" si="19"/>
        <v>110860</v>
      </c>
      <c r="AA52" s="5">
        <f t="shared" si="5"/>
        <v>0</v>
      </c>
      <c r="AB52" s="92">
        <f t="shared" si="6"/>
        <v>110860</v>
      </c>
      <c r="AD52" s="133">
        <f t="shared" si="7"/>
        <v>-176333.33333333337</v>
      </c>
      <c r="AE52" s="3">
        <f t="shared" si="8"/>
        <v>1</v>
      </c>
    </row>
    <row r="53" spans="9:31" x14ac:dyDescent="0.45">
      <c r="I53" s="20">
        <f t="shared" si="10"/>
        <v>47</v>
      </c>
      <c r="J53" s="63">
        <f t="shared" si="11"/>
        <v>143586.67570681285</v>
      </c>
      <c r="K53" s="79">
        <f t="shared" si="1"/>
        <v>634.22657262509324</v>
      </c>
      <c r="L53" s="63">
        <f t="shared" si="12"/>
        <v>-10598.668373599643</v>
      </c>
      <c r="M53" s="80">
        <f t="shared" si="0"/>
        <v>133622.23390583831</v>
      </c>
      <c r="O53" s="20">
        <f t="shared" si="13"/>
        <v>47</v>
      </c>
      <c r="P53" s="54">
        <f t="shared" si="14"/>
        <v>24445.875</v>
      </c>
      <c r="Q53" s="63">
        <f t="shared" si="15"/>
        <v>21894.106046689736</v>
      </c>
      <c r="R53" s="77">
        <f t="shared" si="2"/>
        <v>-10598.668373599643</v>
      </c>
      <c r="S53" s="63">
        <f t="shared" si="16"/>
        <v>-3833.3333333333335</v>
      </c>
      <c r="T53" s="63"/>
      <c r="U53" s="63">
        <f t="shared" si="17"/>
        <v>-1094.7053023344868</v>
      </c>
      <c r="V53" s="77">
        <f t="shared" si="20"/>
        <v>-215.14583333333334</v>
      </c>
      <c r="W53" s="83">
        <f t="shared" si="4"/>
        <v>6152.2532040889391</v>
      </c>
      <c r="X53" s="85">
        <f t="shared" si="18"/>
        <v>237562.58809218035</v>
      </c>
      <c r="Z53" s="92">
        <f t="shared" si="19"/>
        <v>103270</v>
      </c>
      <c r="AA53" s="5">
        <f t="shared" si="5"/>
        <v>0</v>
      </c>
      <c r="AB53" s="92">
        <f t="shared" si="6"/>
        <v>103270</v>
      </c>
      <c r="AD53" s="133">
        <f t="shared" si="7"/>
        <v>-180166.66666666672</v>
      </c>
      <c r="AE53" s="3">
        <f t="shared" si="8"/>
        <v>1</v>
      </c>
    </row>
    <row r="54" spans="9:31" x14ac:dyDescent="0.45">
      <c r="I54" s="20">
        <f t="shared" si="10"/>
        <v>48</v>
      </c>
      <c r="J54" s="63">
        <f t="shared" si="11"/>
        <v>133622.23390583831</v>
      </c>
      <c r="K54" s="79">
        <f t="shared" si="1"/>
        <v>590.21333991777431</v>
      </c>
      <c r="L54" s="63">
        <f t="shared" si="12"/>
        <v>-10598.668373599643</v>
      </c>
      <c r="M54" s="80">
        <f t="shared" si="0"/>
        <v>123613.77887215643</v>
      </c>
      <c r="O54" s="20">
        <f t="shared" si="13"/>
        <v>48</v>
      </c>
      <c r="P54" s="54">
        <f t="shared" si="14"/>
        <v>24966</v>
      </c>
      <c r="Q54" s="63">
        <f t="shared" si="15"/>
        <v>21894.106046689736</v>
      </c>
      <c r="R54" s="77">
        <f t="shared" si="2"/>
        <v>-10598.668373599643</v>
      </c>
      <c r="S54" s="63">
        <f t="shared" si="16"/>
        <v>-3833.3333333333335</v>
      </c>
      <c r="T54" s="63">
        <f>-T68*0.5</f>
        <v>-34500</v>
      </c>
      <c r="U54" s="63">
        <f t="shared" si="17"/>
        <v>-1094.7053023344868</v>
      </c>
      <c r="V54" s="77">
        <f t="shared" si="20"/>
        <v>-199.33333333333334</v>
      </c>
      <c r="W54" s="83">
        <f t="shared" si="4"/>
        <v>-28331.934295911058</v>
      </c>
      <c r="X54" s="85">
        <f t="shared" si="18"/>
        <v>209230.6537962693</v>
      </c>
      <c r="Z54" s="92">
        <f t="shared" si="19"/>
        <v>95680</v>
      </c>
      <c r="AA54" s="5">
        <f t="shared" si="5"/>
        <v>0</v>
      </c>
      <c r="AB54" s="92">
        <f t="shared" si="6"/>
        <v>95680</v>
      </c>
      <c r="AD54" s="133">
        <f t="shared" ref="AD54:AD62" si="24">IF(AD53=0,0,IF(+S54+AD53&lt;-$S$68,0,+S54+AD53))</f>
        <v>-184000.00000000006</v>
      </c>
      <c r="AE54" s="3">
        <f t="shared" si="8"/>
        <v>1</v>
      </c>
    </row>
    <row r="55" spans="9:31" x14ac:dyDescent="0.45">
      <c r="I55" s="20">
        <f t="shared" si="10"/>
        <v>49</v>
      </c>
      <c r="J55" s="63">
        <f t="shared" si="11"/>
        <v>123613.77887215643</v>
      </c>
      <c r="K55" s="79">
        <f>J55*$C$8*30.44/365.25</f>
        <v>546.00569946619419</v>
      </c>
      <c r="L55" s="63">
        <f t="shared" si="12"/>
        <v>-10598.668373599643</v>
      </c>
      <c r="M55" s="80">
        <f t="shared" si="0"/>
        <v>113561.11619802298</v>
      </c>
      <c r="O55" s="20">
        <f t="shared" si="13"/>
        <v>49</v>
      </c>
      <c r="P55" s="54">
        <f t="shared" si="14"/>
        <v>25486.125</v>
      </c>
      <c r="Q55" s="63">
        <f t="shared" si="15"/>
        <v>21894.106046689736</v>
      </c>
      <c r="R55" s="77">
        <f t="shared" si="2"/>
        <v>-10598.668373599643</v>
      </c>
      <c r="S55" s="63">
        <f t="shared" si="16"/>
        <v>-3833.3333333333335</v>
      </c>
      <c r="T55" s="63">
        <f>-T69*0.5</f>
        <v>0</v>
      </c>
      <c r="U55" s="63">
        <f t="shared" si="17"/>
        <v>-1094.7053023344868</v>
      </c>
      <c r="V55" s="77">
        <f t="shared" si="20"/>
        <v>-183.52083333333334</v>
      </c>
      <c r="W55" s="83">
        <f t="shared" si="4"/>
        <v>6183.8782040889391</v>
      </c>
      <c r="X55" s="85">
        <f t="shared" si="18"/>
        <v>215414.53200035825</v>
      </c>
      <c r="Z55" s="92">
        <f t="shared" si="19"/>
        <v>88090</v>
      </c>
      <c r="AA55" s="5">
        <f t="shared" si="5"/>
        <v>0</v>
      </c>
      <c r="AB55" s="92">
        <f t="shared" si="6"/>
        <v>88090</v>
      </c>
      <c r="AD55" s="133">
        <f t="shared" si="24"/>
        <v>-187833.3333333334</v>
      </c>
      <c r="AE55" s="3">
        <f t="shared" si="8"/>
        <v>1</v>
      </c>
    </row>
    <row r="56" spans="9:31" x14ac:dyDescent="0.45">
      <c r="I56" s="20">
        <f t="shared" si="10"/>
        <v>50</v>
      </c>
      <c r="J56" s="63">
        <f t="shared" si="11"/>
        <v>113561.11619802298</v>
      </c>
      <c r="K56" s="79">
        <f>J56*$C$8*30.44/365.25</f>
        <v>501.60279256562472</v>
      </c>
      <c r="L56" s="63">
        <f t="shared" si="12"/>
        <v>-10598.668373599643</v>
      </c>
      <c r="M56" s="80">
        <f t="shared" si="0"/>
        <v>103464.05061698896</v>
      </c>
      <c r="O56" s="20">
        <f t="shared" si="13"/>
        <v>50</v>
      </c>
      <c r="P56" s="54">
        <f t="shared" si="14"/>
        <v>26006.25</v>
      </c>
      <c r="Q56" s="63">
        <f t="shared" si="15"/>
        <v>21894.106046689736</v>
      </c>
      <c r="R56" s="77">
        <f t="shared" si="2"/>
        <v>-10598.668373599643</v>
      </c>
      <c r="S56" s="63">
        <f t="shared" si="16"/>
        <v>-3833.3333333333335</v>
      </c>
      <c r="T56" s="63">
        <f>-T70*0.5</f>
        <v>0</v>
      </c>
      <c r="U56" s="63">
        <f t="shared" si="17"/>
        <v>-1094.7053023344868</v>
      </c>
      <c r="V56" s="77">
        <f t="shared" si="20"/>
        <v>-167.70833333333334</v>
      </c>
      <c r="W56" s="83">
        <f t="shared" si="4"/>
        <v>6199.6907040889391</v>
      </c>
      <c r="X56" s="85">
        <f t="shared" si="18"/>
        <v>221614.22270444719</v>
      </c>
      <c r="Z56" s="92">
        <f t="shared" si="19"/>
        <v>80500</v>
      </c>
      <c r="AA56" s="5">
        <f t="shared" si="5"/>
        <v>0</v>
      </c>
      <c r="AB56" s="92">
        <f t="shared" si="6"/>
        <v>80500</v>
      </c>
      <c r="AD56" s="133">
        <f t="shared" si="24"/>
        <v>-191666.66666666674</v>
      </c>
      <c r="AE56" s="3">
        <f t="shared" si="8"/>
        <v>1</v>
      </c>
    </row>
    <row r="57" spans="9:31" x14ac:dyDescent="0.45">
      <c r="I57" s="20">
        <f t="shared" si="10"/>
        <v>51</v>
      </c>
      <c r="J57" s="63">
        <f t="shared" si="11"/>
        <v>103464.05061698896</v>
      </c>
      <c r="K57" s="79">
        <f t="shared" ref="K57:K66" si="25">J57*$C$8*30.44/365.25</f>
        <v>457.00375671841374</v>
      </c>
      <c r="L57" s="63">
        <f t="shared" si="12"/>
        <v>-10598.668373599643</v>
      </c>
      <c r="M57" s="80">
        <f t="shared" si="0"/>
        <v>93322.386000107726</v>
      </c>
      <c r="O57" s="20">
        <f t="shared" si="13"/>
        <v>51</v>
      </c>
      <c r="P57" s="54">
        <f t="shared" si="14"/>
        <v>26526.375</v>
      </c>
      <c r="Q57" s="63">
        <f t="shared" si="15"/>
        <v>21894.106046689736</v>
      </c>
      <c r="R57" s="77">
        <f t="shared" si="2"/>
        <v>-10598.668373599643</v>
      </c>
      <c r="S57" s="63">
        <f t="shared" si="16"/>
        <v>-3833.3333333333335</v>
      </c>
      <c r="T57" s="63">
        <f>-T71*0.5</f>
        <v>0</v>
      </c>
      <c r="U57" s="63">
        <f t="shared" si="17"/>
        <v>-1094.7053023344868</v>
      </c>
      <c r="V57" s="77">
        <f t="shared" si="20"/>
        <v>-151.89583333333334</v>
      </c>
      <c r="W57" s="83">
        <f t="shared" si="4"/>
        <v>6215.5032040889391</v>
      </c>
      <c r="X57" s="85">
        <f t="shared" si="18"/>
        <v>227829.72590853614</v>
      </c>
      <c r="Z57" s="92">
        <f t="shared" si="19"/>
        <v>72910</v>
      </c>
      <c r="AA57" s="5">
        <f t="shared" si="5"/>
        <v>0</v>
      </c>
      <c r="AB57" s="92">
        <f t="shared" si="6"/>
        <v>72910</v>
      </c>
      <c r="AD57" s="133">
        <f t="shared" si="24"/>
        <v>-195500.00000000009</v>
      </c>
      <c r="AE57" s="3">
        <f t="shared" si="8"/>
        <v>1</v>
      </c>
    </row>
    <row r="58" spans="9:31" x14ac:dyDescent="0.45">
      <c r="I58" s="20">
        <f t="shared" si="10"/>
        <v>52</v>
      </c>
      <c r="J58" s="63">
        <f t="shared" si="11"/>
        <v>93322.386000107726</v>
      </c>
      <c r="K58" s="79">
        <f t="shared" si="25"/>
        <v>412.20772561723146</v>
      </c>
      <c r="L58" s="63">
        <f t="shared" si="12"/>
        <v>-10598.668373599643</v>
      </c>
      <c r="M58" s="80">
        <f t="shared" si="0"/>
        <v>83135.925352125312</v>
      </c>
      <c r="O58" s="20">
        <f t="shared" si="13"/>
        <v>52</v>
      </c>
      <c r="P58" s="54">
        <f t="shared" si="14"/>
        <v>27046.5</v>
      </c>
      <c r="Q58" s="63">
        <f t="shared" si="15"/>
        <v>21894.106046689736</v>
      </c>
      <c r="R58" s="77">
        <f t="shared" si="2"/>
        <v>-10598.668373599643</v>
      </c>
      <c r="S58" s="63">
        <f t="shared" si="16"/>
        <v>-3833.3333333333335</v>
      </c>
      <c r="T58" s="63"/>
      <c r="U58" s="63">
        <f t="shared" si="17"/>
        <v>-1094.7053023344868</v>
      </c>
      <c r="V58" s="77">
        <f t="shared" si="20"/>
        <v>-136.08333333333334</v>
      </c>
      <c r="W58" s="83">
        <f t="shared" si="4"/>
        <v>6231.3157040889391</v>
      </c>
      <c r="X58" s="85">
        <f t="shared" si="18"/>
        <v>234061.04161262509</v>
      </c>
      <c r="Z58" s="92">
        <f t="shared" si="19"/>
        <v>65320</v>
      </c>
      <c r="AA58" s="5">
        <f t="shared" si="5"/>
        <v>0</v>
      </c>
      <c r="AB58" s="92">
        <f t="shared" si="6"/>
        <v>65320</v>
      </c>
      <c r="AD58" s="133">
        <f t="shared" si="24"/>
        <v>-199333.33333333343</v>
      </c>
      <c r="AE58" s="3">
        <f t="shared" si="8"/>
        <v>1</v>
      </c>
    </row>
    <row r="59" spans="9:31" x14ac:dyDescent="0.45">
      <c r="I59" s="20">
        <f t="shared" si="10"/>
        <v>53</v>
      </c>
      <c r="J59" s="63">
        <f t="shared" si="11"/>
        <v>83135.925352125312</v>
      </c>
      <c r="K59" s="79">
        <f t="shared" si="25"/>
        <v>367.21382912824316</v>
      </c>
      <c r="L59" s="63">
        <f t="shared" si="12"/>
        <v>-10598.668373599643</v>
      </c>
      <c r="M59" s="80">
        <f t="shared" si="0"/>
        <v>72904.47080765391</v>
      </c>
      <c r="O59" s="20">
        <f t="shared" si="13"/>
        <v>53</v>
      </c>
      <c r="P59" s="54">
        <f t="shared" si="14"/>
        <v>27566.625</v>
      </c>
      <c r="Q59" s="63">
        <f t="shared" si="15"/>
        <v>21894.106046689736</v>
      </c>
      <c r="R59" s="77">
        <f t="shared" si="2"/>
        <v>-10598.668373599643</v>
      </c>
      <c r="S59" s="63">
        <f t="shared" si="16"/>
        <v>-3833.3333333333335</v>
      </c>
      <c r="T59" s="63"/>
      <c r="U59" s="63">
        <f t="shared" si="17"/>
        <v>-1094.7053023344868</v>
      </c>
      <c r="V59" s="77">
        <f t="shared" si="20"/>
        <v>-120.27083333333333</v>
      </c>
      <c r="W59" s="83">
        <f t="shared" si="4"/>
        <v>6247.1282040889391</v>
      </c>
      <c r="X59" s="85">
        <f t="shared" si="18"/>
        <v>240308.16981671404</v>
      </c>
      <c r="Z59" s="92">
        <f t="shared" si="19"/>
        <v>57730</v>
      </c>
      <c r="AA59" s="5">
        <f t="shared" si="5"/>
        <v>0</v>
      </c>
      <c r="AB59" s="92">
        <f t="shared" si="6"/>
        <v>57730</v>
      </c>
      <c r="AD59" s="133">
        <f t="shared" si="24"/>
        <v>-203166.66666666677</v>
      </c>
      <c r="AE59" s="3">
        <f t="shared" si="8"/>
        <v>1</v>
      </c>
    </row>
    <row r="60" spans="9:31" x14ac:dyDescent="0.45">
      <c r="I60" s="20">
        <f t="shared" si="10"/>
        <v>54</v>
      </c>
      <c r="J60" s="63">
        <f t="shared" si="11"/>
        <v>72904.47080765391</v>
      </c>
      <c r="K60" s="79">
        <f t="shared" si="25"/>
        <v>322.02119327420729</v>
      </c>
      <c r="L60" s="63">
        <f t="shared" si="12"/>
        <v>-10598.668373599643</v>
      </c>
      <c r="M60" s="80">
        <f t="shared" si="0"/>
        <v>62627.823627328478</v>
      </c>
      <c r="O60" s="20">
        <f t="shared" si="13"/>
        <v>54</v>
      </c>
      <c r="P60" s="54">
        <f t="shared" si="14"/>
        <v>28086.75</v>
      </c>
      <c r="Q60" s="63">
        <f t="shared" si="15"/>
        <v>21894.106046689736</v>
      </c>
      <c r="R60" s="77">
        <f t="shared" si="2"/>
        <v>-10598.668373599643</v>
      </c>
      <c r="S60" s="63">
        <f t="shared" si="16"/>
        <v>-3833.3333333333335</v>
      </c>
      <c r="T60" s="63"/>
      <c r="U60" s="63">
        <f t="shared" si="17"/>
        <v>-1094.7053023344868</v>
      </c>
      <c r="V60" s="77">
        <f t="shared" si="20"/>
        <v>-104.45833333333333</v>
      </c>
      <c r="W60" s="83">
        <f t="shared" si="4"/>
        <v>6262.9407040889391</v>
      </c>
      <c r="X60" s="85">
        <f t="shared" si="18"/>
        <v>246571.11052080299</v>
      </c>
      <c r="Z60" s="92">
        <f t="shared" si="19"/>
        <v>50140</v>
      </c>
      <c r="AA60" s="5">
        <f t="shared" si="5"/>
        <v>0</v>
      </c>
      <c r="AB60" s="92">
        <f t="shared" si="6"/>
        <v>50140</v>
      </c>
      <c r="AD60" s="133">
        <f t="shared" si="24"/>
        <v>-207000.00000000012</v>
      </c>
      <c r="AE60" s="3">
        <f t="shared" si="8"/>
        <v>1</v>
      </c>
    </row>
    <row r="61" spans="9:31" x14ac:dyDescent="0.45">
      <c r="I61" s="20">
        <f t="shared" si="10"/>
        <v>55</v>
      </c>
      <c r="J61" s="63">
        <f t="shared" si="11"/>
        <v>62627.823627328478</v>
      </c>
      <c r="K61" s="79">
        <f t="shared" si="25"/>
        <v>276.62894021749923</v>
      </c>
      <c r="L61" s="63">
        <f t="shared" si="12"/>
        <v>-10598.668373599643</v>
      </c>
      <c r="M61" s="80">
        <f t="shared" si="0"/>
        <v>52305.78419394634</v>
      </c>
      <c r="O61" s="20">
        <f t="shared" si="13"/>
        <v>55</v>
      </c>
      <c r="P61" s="54">
        <f t="shared" si="14"/>
        <v>28606.875</v>
      </c>
      <c r="Q61" s="63">
        <f t="shared" si="15"/>
        <v>21894.106046689736</v>
      </c>
      <c r="R61" s="77">
        <f t="shared" si="2"/>
        <v>-10598.668373599643</v>
      </c>
      <c r="S61" s="63">
        <f t="shared" si="16"/>
        <v>-3833.3333333333335</v>
      </c>
      <c r="T61" s="63">
        <f>-T75*0.5</f>
        <v>0</v>
      </c>
      <c r="U61" s="63">
        <f t="shared" si="17"/>
        <v>-1094.7053023344868</v>
      </c>
      <c r="V61" s="77">
        <f t="shared" si="20"/>
        <v>-88.645833333333329</v>
      </c>
      <c r="W61" s="83">
        <f t="shared" si="4"/>
        <v>6278.7532040889391</v>
      </c>
      <c r="X61" s="85">
        <f t="shared" si="18"/>
        <v>252849.86372489194</v>
      </c>
      <c r="Z61" s="92">
        <f t="shared" si="19"/>
        <v>42550</v>
      </c>
      <c r="AA61" s="5">
        <f t="shared" si="5"/>
        <v>0</v>
      </c>
      <c r="AB61" s="92">
        <f t="shared" si="6"/>
        <v>42550</v>
      </c>
      <c r="AD61" s="133">
        <f t="shared" si="24"/>
        <v>-210833.33333333346</v>
      </c>
      <c r="AE61" s="3">
        <f t="shared" si="8"/>
        <v>1</v>
      </c>
    </row>
    <row r="62" spans="9:31" x14ac:dyDescent="0.45">
      <c r="I62" s="20">
        <f t="shared" si="10"/>
        <v>56</v>
      </c>
      <c r="J62" s="63">
        <f t="shared" si="11"/>
        <v>52305.78419394634</v>
      </c>
      <c r="K62" s="79">
        <f t="shared" si="25"/>
        <v>231.0361882430596</v>
      </c>
      <c r="L62" s="63">
        <f t="shared" si="12"/>
        <v>-10598.668373599643</v>
      </c>
      <c r="M62" s="80">
        <f t="shared" si="0"/>
        <v>41938.152008589757</v>
      </c>
      <c r="O62" s="20">
        <f t="shared" si="13"/>
        <v>56</v>
      </c>
      <c r="P62" s="54">
        <f t="shared" si="14"/>
        <v>29127</v>
      </c>
      <c r="Q62" s="63">
        <f t="shared" si="15"/>
        <v>21894.106046689736</v>
      </c>
      <c r="R62" s="77">
        <f t="shared" si="2"/>
        <v>-10598.668373599643</v>
      </c>
      <c r="S62" s="63">
        <f t="shared" si="16"/>
        <v>-3833.3333333333335</v>
      </c>
      <c r="T62" s="63">
        <f>-T76*0.5</f>
        <v>0</v>
      </c>
      <c r="U62" s="63">
        <f t="shared" si="17"/>
        <v>-1094.7053023344868</v>
      </c>
      <c r="V62" s="77">
        <f t="shared" si="20"/>
        <v>-72.833333333333329</v>
      </c>
      <c r="W62" s="83">
        <f t="shared" si="4"/>
        <v>6294.5657040889391</v>
      </c>
      <c r="X62" s="85">
        <f t="shared" si="18"/>
        <v>259144.42942898089</v>
      </c>
      <c r="Z62" s="92">
        <f t="shared" si="19"/>
        <v>34960</v>
      </c>
      <c r="AA62" s="5">
        <f t="shared" si="5"/>
        <v>0</v>
      </c>
      <c r="AB62" s="92">
        <f t="shared" si="6"/>
        <v>34960</v>
      </c>
      <c r="AD62" s="133">
        <f t="shared" si="24"/>
        <v>-214666.6666666668</v>
      </c>
      <c r="AE62" s="3">
        <f t="shared" si="8"/>
        <v>1</v>
      </c>
    </row>
    <row r="63" spans="9:31" x14ac:dyDescent="0.45">
      <c r="I63" s="20">
        <f t="shared" si="10"/>
        <v>57</v>
      </c>
      <c r="J63" s="63">
        <f t="shared" si="11"/>
        <v>41938.152008589757</v>
      </c>
      <c r="K63" s="79">
        <f t="shared" si="25"/>
        <v>185.24205174126772</v>
      </c>
      <c r="L63" s="63">
        <f t="shared" si="12"/>
        <v>-10598.668373599643</v>
      </c>
      <c r="M63" s="80">
        <f t="shared" si="0"/>
        <v>31524.725686731384</v>
      </c>
      <c r="O63" s="20">
        <f t="shared" si="13"/>
        <v>57</v>
      </c>
      <c r="P63" s="54">
        <f t="shared" si="14"/>
        <v>29647.125</v>
      </c>
      <c r="Q63" s="63">
        <f t="shared" si="15"/>
        <v>21894.106046689736</v>
      </c>
      <c r="R63" s="77">
        <f t="shared" si="2"/>
        <v>-10598.668373599643</v>
      </c>
      <c r="S63" s="63">
        <f>+S61</f>
        <v>-3833.3333333333335</v>
      </c>
      <c r="T63" s="63">
        <f>-T76*0.5</f>
        <v>0</v>
      </c>
      <c r="U63" s="63">
        <f>U61</f>
        <v>-1094.7053023344868</v>
      </c>
      <c r="V63" s="77">
        <f t="shared" si="20"/>
        <v>-57.020833333333336</v>
      </c>
      <c r="W63" s="83">
        <f t="shared" si="4"/>
        <v>6310.3782040889391</v>
      </c>
      <c r="X63" s="85">
        <f>X61+W63</f>
        <v>259160.24192898089</v>
      </c>
      <c r="Z63" s="92">
        <f t="shared" si="19"/>
        <v>27370</v>
      </c>
      <c r="AA63" s="5">
        <f t="shared" si="5"/>
        <v>0</v>
      </c>
      <c r="AB63" s="92">
        <f t="shared" si="6"/>
        <v>27370</v>
      </c>
      <c r="AD63" s="133">
        <f>IF(AD61=0,0,IF(+S63+AD61&lt;-$S$68,0,+S63+AD61))</f>
        <v>-214666.6666666668</v>
      </c>
      <c r="AE63" s="3">
        <f t="shared" si="8"/>
        <v>1</v>
      </c>
    </row>
    <row r="64" spans="9:31" x14ac:dyDescent="0.45">
      <c r="I64" s="20">
        <f t="shared" si="10"/>
        <v>58</v>
      </c>
      <c r="J64" s="63">
        <f t="shared" si="11"/>
        <v>31524.725686731384</v>
      </c>
      <c r="K64" s="79">
        <f t="shared" si="25"/>
        <v>139.24564119073915</v>
      </c>
      <c r="L64" s="63">
        <f t="shared" si="12"/>
        <v>-10598.668373599643</v>
      </c>
      <c r="M64" s="80">
        <f t="shared" si="0"/>
        <v>21065.302954322484</v>
      </c>
      <c r="O64" s="20">
        <f t="shared" si="13"/>
        <v>58</v>
      </c>
      <c r="P64" s="54">
        <f t="shared" si="14"/>
        <v>30167.25</v>
      </c>
      <c r="Q64" s="63">
        <f t="shared" si="15"/>
        <v>21894.106046689736</v>
      </c>
      <c r="R64" s="77">
        <f t="shared" si="2"/>
        <v>-10598.668373599643</v>
      </c>
      <c r="S64" s="63">
        <f>+S61</f>
        <v>-3833.3333333333335</v>
      </c>
      <c r="T64" s="63">
        <f>-T76*0.5</f>
        <v>0</v>
      </c>
      <c r="U64" s="63">
        <f>U61</f>
        <v>-1094.7053023344868</v>
      </c>
      <c r="V64" s="77">
        <f t="shared" si="20"/>
        <v>-41.208333333333336</v>
      </c>
      <c r="W64" s="83">
        <f t="shared" si="4"/>
        <v>6326.1907040889391</v>
      </c>
      <c r="X64" s="85">
        <f>X61+W64</f>
        <v>259176.05442898089</v>
      </c>
      <c r="Z64" s="92">
        <f t="shared" si="19"/>
        <v>19780</v>
      </c>
      <c r="AA64" s="5">
        <f t="shared" si="5"/>
        <v>0</v>
      </c>
      <c r="AB64" s="92">
        <f t="shared" si="6"/>
        <v>19780</v>
      </c>
      <c r="AD64" s="133">
        <f>IF(AD61=0,0,IF(+S64+AD61&lt;-$S$68,0,+S64+AD61))</f>
        <v>-214666.6666666668</v>
      </c>
      <c r="AE64" s="3">
        <f t="shared" si="8"/>
        <v>1</v>
      </c>
    </row>
    <row r="65" spans="1:31" x14ac:dyDescent="0.45">
      <c r="I65" s="20">
        <f t="shared" si="10"/>
        <v>59</v>
      </c>
      <c r="J65" s="63">
        <f t="shared" si="11"/>
        <v>21065.302954322484</v>
      </c>
      <c r="K65" s="79">
        <f t="shared" si="25"/>
        <v>93.046063141047355</v>
      </c>
      <c r="L65" s="63">
        <f t="shared" si="12"/>
        <v>-10598.668373599643</v>
      </c>
      <c r="M65" s="80">
        <f t="shared" si="0"/>
        <v>10559.680643863887</v>
      </c>
      <c r="O65" s="20">
        <f t="shared" si="13"/>
        <v>59</v>
      </c>
      <c r="P65" s="54">
        <f t="shared" si="14"/>
        <v>30687.375</v>
      </c>
      <c r="Q65" s="63">
        <f t="shared" si="15"/>
        <v>21894.106046689736</v>
      </c>
      <c r="R65" s="77">
        <f t="shared" si="2"/>
        <v>-10598.668373599643</v>
      </c>
      <c r="S65" s="63">
        <f>+S62</f>
        <v>-3833.3333333333335</v>
      </c>
      <c r="T65" s="63">
        <f>-T77*0.5</f>
        <v>0</v>
      </c>
      <c r="U65" s="63">
        <f>U62</f>
        <v>-1094.7053023344868</v>
      </c>
      <c r="V65" s="77">
        <f t="shared" si="20"/>
        <v>-25.395833333333332</v>
      </c>
      <c r="W65" s="83">
        <f t="shared" si="4"/>
        <v>6342.0032040889391</v>
      </c>
      <c r="X65" s="85">
        <f>X62+W65</f>
        <v>265486.43263306981</v>
      </c>
      <c r="Z65" s="92">
        <f t="shared" si="19"/>
        <v>12190</v>
      </c>
      <c r="AA65" s="5">
        <f t="shared" si="5"/>
        <v>0</v>
      </c>
      <c r="AB65" s="92">
        <f t="shared" si="6"/>
        <v>12190</v>
      </c>
      <c r="AD65" s="133">
        <f>IF(AD62=0,0,IF(+S65+AD62&lt;-$S$68,0,+S65+AD62))</f>
        <v>-218500.00000000015</v>
      </c>
      <c r="AE65" s="3">
        <f t="shared" si="8"/>
        <v>1</v>
      </c>
    </row>
    <row r="66" spans="1:31" ht="14.65" thickBot="1" x14ac:dyDescent="0.5">
      <c r="I66" s="20">
        <f t="shared" si="10"/>
        <v>60</v>
      </c>
      <c r="J66" s="63">
        <f t="shared" si="11"/>
        <v>10559.680643863887</v>
      </c>
      <c r="K66" s="79">
        <f t="shared" si="25"/>
        <v>46.642420195368885</v>
      </c>
      <c r="L66" s="63">
        <f t="shared" si="12"/>
        <v>-10598.668373599643</v>
      </c>
      <c r="M66" s="80">
        <f t="shared" si="0"/>
        <v>7.6546904596125387</v>
      </c>
      <c r="O66" s="20">
        <f t="shared" si="13"/>
        <v>60</v>
      </c>
      <c r="P66" s="54">
        <f t="shared" si="14"/>
        <v>31207.5</v>
      </c>
      <c r="Q66" s="63">
        <f t="shared" si="15"/>
        <v>21894.106046689736</v>
      </c>
      <c r="R66" s="77">
        <f t="shared" si="2"/>
        <v>-10598.668373599643</v>
      </c>
      <c r="S66" s="63">
        <f>+S62</f>
        <v>-3833.3333333333335</v>
      </c>
      <c r="T66" s="63">
        <f>-T77*0.5</f>
        <v>0</v>
      </c>
      <c r="U66" s="63">
        <f>U62</f>
        <v>-1094.7053023344868</v>
      </c>
      <c r="V66" s="77">
        <f t="shared" si="20"/>
        <v>-9.5833333333333339</v>
      </c>
      <c r="W66" s="83">
        <f t="shared" si="4"/>
        <v>6357.8157040889391</v>
      </c>
      <c r="X66" s="85">
        <f>X62+W66</f>
        <v>265502.24513306981</v>
      </c>
      <c r="Z66" s="92">
        <f t="shared" si="19"/>
        <v>4600</v>
      </c>
      <c r="AA66" s="5">
        <f t="shared" si="5"/>
        <v>0</v>
      </c>
      <c r="AB66" s="92">
        <f t="shared" si="6"/>
        <v>4600</v>
      </c>
      <c r="AD66" s="133">
        <f>IF(AD62=0,0,IF(+S66+AD62&lt;-$S$68,0,+S66+AD62))</f>
        <v>-218500.00000000015</v>
      </c>
      <c r="AE66" s="3">
        <f t="shared" si="8"/>
        <v>1</v>
      </c>
    </row>
    <row r="67" spans="1:31" ht="14.65" thickBot="1" x14ac:dyDescent="0.5">
      <c r="I67" s="21" t="s">
        <v>20</v>
      </c>
      <c r="J67" s="69">
        <f>C7*C11</f>
        <v>5575.6097560975604</v>
      </c>
      <c r="K67" s="69">
        <f>SUM(K7:K54)</f>
        <v>74788.88519518348</v>
      </c>
      <c r="L67" s="81"/>
      <c r="M67" s="82"/>
      <c r="O67" s="58"/>
      <c r="P67" s="59"/>
      <c r="Q67" s="69">
        <f t="shared" ref="Q67:V67" si="26">SUM(Q7:Q54)</f>
        <v>1050917.0902411086</v>
      </c>
      <c r="R67" s="69">
        <f t="shared" si="26"/>
        <v>-508736.08193278307</v>
      </c>
      <c r="S67" s="87">
        <f t="shared" si="26"/>
        <v>-184000.00000000006</v>
      </c>
      <c r="T67" s="87">
        <f t="shared" si="26"/>
        <v>-69000</v>
      </c>
      <c r="U67" s="69">
        <f t="shared" si="26"/>
        <v>-52545.854512055317</v>
      </c>
      <c r="V67" s="69">
        <f t="shared" si="26"/>
        <v>-27404.499999999971</v>
      </c>
      <c r="W67" s="88"/>
      <c r="X67" s="82"/>
    </row>
    <row r="68" spans="1:31" x14ac:dyDescent="0.45">
      <c r="Q68" s="89">
        <f>+SUM(Q67:V67)</f>
        <v>209230.65379627008</v>
      </c>
      <c r="R68" s="89"/>
      <c r="S68" s="90">
        <f>D31</f>
        <v>230000</v>
      </c>
      <c r="T68" s="60">
        <f>D32</f>
        <v>69000</v>
      </c>
      <c r="U68" s="89"/>
      <c r="V68" s="89"/>
      <c r="W68" s="89"/>
      <c r="X68" s="89"/>
    </row>
    <row r="69" spans="1:31" ht="14.65" thickBot="1" x14ac:dyDescent="0.5">
      <c r="L69" s="129">
        <f>+PMT(C8/12,C12,(C7),,)</f>
        <v>-10598.668373599643</v>
      </c>
      <c r="Q69" s="89"/>
      <c r="R69" s="89"/>
      <c r="S69" s="91">
        <f>S67+S68</f>
        <v>45999.999999999942</v>
      </c>
      <c r="T69" s="66">
        <f>T67+T68</f>
        <v>0</v>
      </c>
      <c r="U69" s="89"/>
      <c r="V69" s="89"/>
      <c r="W69" s="89"/>
      <c r="X69" s="89"/>
    </row>
    <row r="70" spans="1:31" ht="14.65" thickBot="1" x14ac:dyDescent="0.5">
      <c r="I70" s="12"/>
      <c r="J70" s="316"/>
      <c r="K70" s="316"/>
      <c r="L70" s="316"/>
      <c r="M70" s="316"/>
      <c r="O70" s="12"/>
      <c r="P70" s="12"/>
      <c r="Q70" s="316"/>
      <c r="R70" s="316"/>
      <c r="S70" s="317"/>
      <c r="T70" s="318"/>
      <c r="U70" s="316"/>
      <c r="V70" s="316"/>
      <c r="W70" s="316"/>
      <c r="X70" s="316"/>
    </row>
    <row r="71" spans="1:31" ht="14.65" thickBot="1" x14ac:dyDescent="0.5">
      <c r="I71" s="12"/>
      <c r="J71" s="316"/>
      <c r="K71" s="316"/>
      <c r="L71" s="316"/>
      <c r="M71" s="316"/>
      <c r="O71" s="12"/>
      <c r="P71" s="12"/>
      <c r="Q71" s="316"/>
      <c r="R71" s="316"/>
      <c r="S71" s="317"/>
      <c r="T71" s="318"/>
      <c r="U71" s="316"/>
      <c r="V71" s="316"/>
      <c r="W71" s="316"/>
      <c r="X71" s="316"/>
    </row>
    <row r="72" spans="1:31" x14ac:dyDescent="0.45">
      <c r="Q72" s="89"/>
      <c r="R72" s="89"/>
      <c r="S72" s="90">
        <f>D31</f>
        <v>230000</v>
      </c>
      <c r="T72" s="60">
        <f>D32</f>
        <v>69000</v>
      </c>
      <c r="U72" s="89"/>
      <c r="V72" s="89"/>
      <c r="W72" s="89"/>
      <c r="X72" s="89"/>
    </row>
    <row r="73" spans="1:31" ht="14.65" thickBot="1" x14ac:dyDescent="0.5">
      <c r="L73" s="129"/>
      <c r="Q73" s="89"/>
      <c r="R73" s="89"/>
      <c r="S73" s="91">
        <f>S55+S72</f>
        <v>226166.66666666666</v>
      </c>
      <c r="T73" s="66">
        <f>T55+T72</f>
        <v>69000</v>
      </c>
      <c r="U73" s="89"/>
      <c r="V73" s="89"/>
      <c r="W73" s="89"/>
      <c r="X73" s="89"/>
    </row>
    <row r="74" spans="1:31" s="131" customFormat="1" ht="14.65" thickBot="1" x14ac:dyDescent="0.5"/>
    <row r="75" spans="1:31" ht="31.15" thickBot="1" x14ac:dyDescent="0.5">
      <c r="A75" s="679" t="str">
        <f>+A3</f>
        <v>CAT D10 Dozer</v>
      </c>
      <c r="B75" s="680"/>
      <c r="C75" s="681"/>
      <c r="D75" s="682" t="s">
        <v>2</v>
      </c>
      <c r="E75" s="694"/>
      <c r="F75" s="694"/>
      <c r="G75" s="694"/>
      <c r="H75" s="683"/>
      <c r="I75" s="683"/>
      <c r="J75" s="683"/>
      <c r="K75" s="683"/>
      <c r="L75" s="683"/>
      <c r="M75" s="683"/>
      <c r="N75" s="683"/>
      <c r="O75" s="683"/>
      <c r="P75" s="683"/>
      <c r="Q75" s="683"/>
      <c r="R75" s="683"/>
      <c r="S75" s="683"/>
      <c r="T75" s="683"/>
      <c r="U75" s="683"/>
      <c r="V75" s="683"/>
      <c r="W75" s="683"/>
      <c r="X75" s="684"/>
    </row>
    <row r="76" spans="1:31" ht="28.9" thickBot="1" x14ac:dyDescent="0.5">
      <c r="C76" s="11"/>
      <c r="D76" s="11"/>
      <c r="E76" s="164" t="s">
        <v>77</v>
      </c>
      <c r="F76" s="164" t="s">
        <v>78</v>
      </c>
      <c r="G76" s="164" t="s">
        <v>79</v>
      </c>
      <c r="H76" s="11"/>
      <c r="I76" s="12"/>
      <c r="J76" s="11"/>
      <c r="K76" s="11"/>
      <c r="L76" s="11"/>
      <c r="M76" s="11"/>
      <c r="Q76" s="56">
        <v>416</v>
      </c>
      <c r="U76" s="57">
        <v>0.05</v>
      </c>
    </row>
    <row r="77" spans="1:31" ht="23.65" thickBot="1" x14ac:dyDescent="0.5">
      <c r="A77" s="685" t="s">
        <v>9</v>
      </c>
      <c r="B77" s="686"/>
      <c r="C77" s="687"/>
      <c r="D77" s="11"/>
      <c r="E77" s="165" t="e">
        <v>#REF!</v>
      </c>
      <c r="F77" s="165" t="e">
        <v>#REF!</v>
      </c>
      <c r="G77" s="165" t="e">
        <v>#REF!</v>
      </c>
      <c r="H77" s="11"/>
      <c r="I77" s="688" t="s">
        <v>34</v>
      </c>
      <c r="J77" s="689"/>
      <c r="K77" s="689"/>
      <c r="L77" s="689"/>
      <c r="M77" s="690"/>
      <c r="O77" s="688" t="s">
        <v>35</v>
      </c>
      <c r="P77" s="691"/>
      <c r="Q77" s="689"/>
      <c r="R77" s="689"/>
      <c r="S77" s="689"/>
      <c r="T77" s="689"/>
      <c r="U77" s="689"/>
      <c r="V77" s="689"/>
      <c r="W77" s="692"/>
      <c r="X77" s="693"/>
      <c r="AA77" s="145">
        <v>0</v>
      </c>
    </row>
    <row r="78" spans="1:31" ht="28.9" thickBot="1" x14ac:dyDescent="0.5">
      <c r="A78" s="29" t="s">
        <v>0</v>
      </c>
      <c r="B78" s="28" t="s">
        <v>1</v>
      </c>
      <c r="C78" s="50" t="s">
        <v>10</v>
      </c>
      <c r="D78" s="11"/>
      <c r="E78" s="11"/>
      <c r="F78" s="11"/>
      <c r="G78" s="11"/>
      <c r="H78" s="11"/>
      <c r="I78" s="16" t="s">
        <v>15</v>
      </c>
      <c r="J78" s="17" t="s">
        <v>16</v>
      </c>
      <c r="K78" s="17" t="s">
        <v>17</v>
      </c>
      <c r="L78" s="17" t="s">
        <v>18</v>
      </c>
      <c r="M78" s="18" t="s">
        <v>19</v>
      </c>
      <c r="O78" s="16" t="s">
        <v>15</v>
      </c>
      <c r="P78" s="52" t="s">
        <v>39</v>
      </c>
      <c r="Q78" s="17" t="s">
        <v>36</v>
      </c>
      <c r="R78" s="17" t="s">
        <v>37</v>
      </c>
      <c r="S78" s="17" t="s">
        <v>27</v>
      </c>
      <c r="T78" s="17" t="s">
        <v>38</v>
      </c>
      <c r="U78" s="17" t="s">
        <v>7</v>
      </c>
      <c r="V78" s="17" t="s">
        <v>41</v>
      </c>
      <c r="W78" s="18" t="s">
        <v>40</v>
      </c>
      <c r="X78" s="55" t="s">
        <v>42</v>
      </c>
      <c r="Z78" s="5" t="s">
        <v>71</v>
      </c>
      <c r="AA78" s="5" t="s">
        <v>46</v>
      </c>
      <c r="AB78" s="5" t="s">
        <v>47</v>
      </c>
    </row>
    <row r="79" spans="1:31" x14ac:dyDescent="0.45">
      <c r="A79" s="8">
        <v>1</v>
      </c>
      <c r="B79" s="9" t="s">
        <v>11</v>
      </c>
      <c r="C79" s="61" t="e">
        <v>#REF!</v>
      </c>
      <c r="D79" s="163"/>
      <c r="E79" s="8" t="s">
        <v>61</v>
      </c>
      <c r="F79" s="148" t="e">
        <v>#REF!</v>
      </c>
      <c r="G79" s="106"/>
      <c r="H79" s="11"/>
      <c r="I79" s="15">
        <v>1</v>
      </c>
      <c r="J79" s="77" t="e">
        <f>C79</f>
        <v>#REF!</v>
      </c>
      <c r="K79" s="77" t="e">
        <f>J79*$C$8*30.44/365.25</f>
        <v>#REF!</v>
      </c>
      <c r="L79" s="77" t="e">
        <f>L126</f>
        <v>#REF!</v>
      </c>
      <c r="M79" s="78" t="e">
        <f t="shared" ref="M79:M126" si="27">J79+K79+L79</f>
        <v>#REF!</v>
      </c>
      <c r="O79" s="15">
        <v>1</v>
      </c>
      <c r="P79" s="53">
        <f>Q76</f>
        <v>416</v>
      </c>
      <c r="Q79" s="77">
        <f>$F$42+($Q$4*$G$42)</f>
        <v>21894.106046689736</v>
      </c>
      <c r="R79" s="77" t="e">
        <f>L79</f>
        <v>#REF!</v>
      </c>
      <c r="S79" s="77" t="e">
        <f>-S128/C84</f>
        <v>#REF!</v>
      </c>
      <c r="T79" s="77"/>
      <c r="U79" s="77">
        <f>-Q79*U76</f>
        <v>-1094.7053023344868</v>
      </c>
      <c r="V79" s="77">
        <f>-(AB79*$C$9/12)</f>
        <v>-942.52083333333337</v>
      </c>
      <c r="W79" s="83" t="e">
        <f>SUM(Q79:V79)</f>
        <v>#REF!</v>
      </c>
      <c r="X79" s="84" t="e">
        <f>W79</f>
        <v>#REF!</v>
      </c>
      <c r="Z79" s="92">
        <f>+$D$27-(($D$27+$D$28)*O79/$B$22)</f>
        <v>452410</v>
      </c>
      <c r="AA79" s="5">
        <f>+Z79*$AA$5</f>
        <v>0</v>
      </c>
      <c r="AB79" s="92">
        <f>+Z79+AA79</f>
        <v>452410</v>
      </c>
    </row>
    <row r="80" spans="1:31" ht="28.5" x14ac:dyDescent="0.45">
      <c r="A80" s="4">
        <f>A79+1</f>
        <v>2</v>
      </c>
      <c r="B80" s="5" t="s">
        <v>3</v>
      </c>
      <c r="C80" s="51">
        <f t="shared" ref="C80:C86" si="28">+C8</f>
        <v>5.2999999999999999E-2</v>
      </c>
      <c r="D80" s="11"/>
      <c r="E80" s="107" t="s">
        <v>64</v>
      </c>
      <c r="F80" s="314" t="e">
        <v>#REF!</v>
      </c>
      <c r="G80" s="108"/>
      <c r="H80" s="11"/>
      <c r="I80" s="14">
        <f>I79+1</f>
        <v>2</v>
      </c>
      <c r="J80" s="63" t="e">
        <f>M79</f>
        <v>#REF!</v>
      </c>
      <c r="K80" s="63" t="e">
        <f t="shared" ref="K80:K126" si="29">J80*$C$8*30.44/365.25</f>
        <v>#REF!</v>
      </c>
      <c r="L80" s="63" t="e">
        <f>L79</f>
        <v>#REF!</v>
      </c>
      <c r="M80" s="65" t="e">
        <f t="shared" si="27"/>
        <v>#REF!</v>
      </c>
      <c r="O80" s="14">
        <f>O79+1</f>
        <v>2</v>
      </c>
      <c r="P80" s="54">
        <f>P79+$Q$4</f>
        <v>936.125</v>
      </c>
      <c r="Q80" s="63">
        <f>$F$42+($Q$4*$G$42)</f>
        <v>21894.106046689736</v>
      </c>
      <c r="R80" s="63" t="e">
        <f>R79</f>
        <v>#REF!</v>
      </c>
      <c r="S80" s="63" t="e">
        <f>+S79</f>
        <v>#REF!</v>
      </c>
      <c r="T80" s="63"/>
      <c r="U80" s="63">
        <f>U79</f>
        <v>-1094.7053023344868</v>
      </c>
      <c r="V80" s="77">
        <f t="shared" ref="V80:V86" si="30">-(AB80*$C$9/12)</f>
        <v>-926.70833333333337</v>
      </c>
      <c r="W80" s="83" t="e">
        <f t="shared" ref="W80:W126" si="31">SUM(Q80:V80)</f>
        <v>#REF!</v>
      </c>
      <c r="X80" s="85" t="e">
        <f>X79+W80</f>
        <v>#REF!</v>
      </c>
      <c r="Z80" s="92">
        <f>+$D$27-(($D$27+$D$28)*O80/$B$22)</f>
        <v>444820</v>
      </c>
      <c r="AA80" s="5">
        <f t="shared" ref="AA80:AA126" si="32">+Z80*$AA$5</f>
        <v>0</v>
      </c>
      <c r="AB80" s="92">
        <f t="shared" ref="AB80:AB126" si="33">+Z80+AA80</f>
        <v>444820</v>
      </c>
    </row>
    <row r="81" spans="1:28" x14ac:dyDescent="0.45">
      <c r="A81" s="4">
        <f t="shared" ref="A81:A86" si="34">A80+1</f>
        <v>3</v>
      </c>
      <c r="B81" s="5" t="s">
        <v>4</v>
      </c>
      <c r="C81" s="51">
        <f t="shared" si="28"/>
        <v>2.5000000000000001E-2</v>
      </c>
      <c r="D81" s="11"/>
      <c r="E81" s="109" t="s">
        <v>69</v>
      </c>
      <c r="F81" s="149">
        <f>+F9</f>
        <v>97560.975609756104</v>
      </c>
      <c r="G81" s="110"/>
      <c r="H81" s="11"/>
      <c r="I81" s="14">
        <f t="shared" ref="I81:I126" si="35">I80+1</f>
        <v>3</v>
      </c>
      <c r="J81" s="63" t="e">
        <f t="shared" ref="J81:J95" si="36">M80</f>
        <v>#REF!</v>
      </c>
      <c r="K81" s="63" t="e">
        <f t="shared" si="29"/>
        <v>#REF!</v>
      </c>
      <c r="L81" s="63" t="e">
        <f t="shared" ref="L81:L113" si="37">L80</f>
        <v>#REF!</v>
      </c>
      <c r="M81" s="65" t="e">
        <f t="shared" si="27"/>
        <v>#REF!</v>
      </c>
      <c r="O81" s="14">
        <f t="shared" ref="O81:O126" si="38">O80+1</f>
        <v>3</v>
      </c>
      <c r="P81" s="54">
        <f t="shared" ref="P81:P126" si="39">P80+$Q$4</f>
        <v>1456.25</v>
      </c>
      <c r="Q81" s="63">
        <f t="shared" ref="Q81:Q126" si="40">$F$42+($Q$4*$G$42)</f>
        <v>21894.106046689736</v>
      </c>
      <c r="R81" s="63" t="e">
        <f>R80</f>
        <v>#REF!</v>
      </c>
      <c r="S81" s="63" t="e">
        <f t="shared" ref="S81:S126" si="41">+S80</f>
        <v>#REF!</v>
      </c>
      <c r="T81" s="63"/>
      <c r="U81" s="63">
        <f t="shared" ref="U81:U126" si="42">U80</f>
        <v>-1094.7053023344868</v>
      </c>
      <c r="V81" s="77">
        <f t="shared" si="30"/>
        <v>-910.89583333333337</v>
      </c>
      <c r="W81" s="83" t="e">
        <f t="shared" si="31"/>
        <v>#REF!</v>
      </c>
      <c r="X81" s="85" t="e">
        <f t="shared" ref="X81:X126" si="43">X80+W81</f>
        <v>#REF!</v>
      </c>
      <c r="Z81" s="92">
        <f t="shared" ref="Z81:Z126" si="44">+$D$27-(($D$27+$D$28)*O81/$B$22)</f>
        <v>437230</v>
      </c>
      <c r="AA81" s="5">
        <f t="shared" si="32"/>
        <v>0</v>
      </c>
      <c r="AB81" s="92">
        <f t="shared" si="33"/>
        <v>437230</v>
      </c>
    </row>
    <row r="82" spans="1:28" ht="14.65" thickBot="1" x14ac:dyDescent="0.5">
      <c r="A82" s="4">
        <f t="shared" si="34"/>
        <v>4</v>
      </c>
      <c r="B82" s="5" t="s">
        <v>5</v>
      </c>
      <c r="C82" s="51">
        <f t="shared" si="28"/>
        <v>0.05</v>
      </c>
      <c r="D82" s="11"/>
      <c r="E82" s="111" t="s">
        <v>52</v>
      </c>
      <c r="F82" s="315" t="e">
        <f>(SUM(F79:F81)*G82)*(1-F77)</f>
        <v>#REF!</v>
      </c>
      <c r="G82" s="128">
        <f>+G10</f>
        <v>0</v>
      </c>
      <c r="H82" s="11"/>
      <c r="I82" s="14">
        <f t="shared" si="35"/>
        <v>4</v>
      </c>
      <c r="J82" s="63" t="e">
        <f t="shared" si="36"/>
        <v>#REF!</v>
      </c>
      <c r="K82" s="63" t="e">
        <f t="shared" si="29"/>
        <v>#REF!</v>
      </c>
      <c r="L82" s="63" t="e">
        <f t="shared" si="37"/>
        <v>#REF!</v>
      </c>
      <c r="M82" s="65" t="e">
        <f t="shared" si="27"/>
        <v>#REF!</v>
      </c>
      <c r="O82" s="14">
        <f t="shared" si="38"/>
        <v>4</v>
      </c>
      <c r="P82" s="54">
        <f t="shared" si="39"/>
        <v>1976.375</v>
      </c>
      <c r="Q82" s="63">
        <f t="shared" si="40"/>
        <v>21894.106046689736</v>
      </c>
      <c r="R82" s="63" t="e">
        <f t="shared" ref="R82:R126" si="45">R81</f>
        <v>#REF!</v>
      </c>
      <c r="S82" s="63" t="e">
        <f t="shared" si="41"/>
        <v>#REF!</v>
      </c>
      <c r="T82" s="63"/>
      <c r="U82" s="63">
        <f t="shared" si="42"/>
        <v>-1094.7053023344868</v>
      </c>
      <c r="V82" s="77">
        <f t="shared" si="30"/>
        <v>-895.08333333333337</v>
      </c>
      <c r="W82" s="83" t="e">
        <f t="shared" si="31"/>
        <v>#REF!</v>
      </c>
      <c r="X82" s="85" t="e">
        <f t="shared" si="43"/>
        <v>#REF!</v>
      </c>
      <c r="Z82" s="92">
        <f t="shared" si="44"/>
        <v>429640</v>
      </c>
      <c r="AA82" s="5">
        <f t="shared" si="32"/>
        <v>0</v>
      </c>
      <c r="AB82" s="92">
        <f t="shared" si="33"/>
        <v>429640</v>
      </c>
    </row>
    <row r="83" spans="1:28" ht="14.65" thickBot="1" x14ac:dyDescent="0.5">
      <c r="A83" s="4">
        <f t="shared" si="34"/>
        <v>5</v>
      </c>
      <c r="B83" s="5" t="s">
        <v>12</v>
      </c>
      <c r="C83" s="51">
        <f t="shared" si="28"/>
        <v>0.01</v>
      </c>
      <c r="D83" s="11"/>
      <c r="E83" s="112" t="s">
        <v>28</v>
      </c>
      <c r="F83" s="313" t="e">
        <f>SUM(F79:F82)</f>
        <v>#REF!</v>
      </c>
      <c r="G83" s="113"/>
      <c r="H83" s="11"/>
      <c r="I83" s="14">
        <f t="shared" si="35"/>
        <v>5</v>
      </c>
      <c r="J83" s="63" t="e">
        <f t="shared" si="36"/>
        <v>#REF!</v>
      </c>
      <c r="K83" s="63" t="e">
        <f t="shared" si="29"/>
        <v>#REF!</v>
      </c>
      <c r="L83" s="63" t="e">
        <f t="shared" si="37"/>
        <v>#REF!</v>
      </c>
      <c r="M83" s="65" t="e">
        <f t="shared" si="27"/>
        <v>#REF!</v>
      </c>
      <c r="O83" s="14">
        <f t="shared" si="38"/>
        <v>5</v>
      </c>
      <c r="P83" s="54">
        <f t="shared" si="39"/>
        <v>2496.5</v>
      </c>
      <c r="Q83" s="63">
        <f t="shared" si="40"/>
        <v>21894.106046689736</v>
      </c>
      <c r="R83" s="63" t="e">
        <f t="shared" si="45"/>
        <v>#REF!</v>
      </c>
      <c r="S83" s="63" t="e">
        <f t="shared" si="41"/>
        <v>#REF!</v>
      </c>
      <c r="T83" s="63"/>
      <c r="U83" s="63">
        <f t="shared" si="42"/>
        <v>-1094.7053023344868</v>
      </c>
      <c r="V83" s="77">
        <f t="shared" si="30"/>
        <v>-879.27083333333337</v>
      </c>
      <c r="W83" s="83" t="e">
        <f t="shared" si="31"/>
        <v>#REF!</v>
      </c>
      <c r="X83" s="85" t="e">
        <f t="shared" si="43"/>
        <v>#REF!</v>
      </c>
      <c r="Z83" s="92">
        <f t="shared" si="44"/>
        <v>422050</v>
      </c>
      <c r="AA83" s="5">
        <f t="shared" si="32"/>
        <v>0</v>
      </c>
      <c r="AB83" s="92">
        <f t="shared" si="33"/>
        <v>422050</v>
      </c>
    </row>
    <row r="84" spans="1:28" x14ac:dyDescent="0.45">
      <c r="A84" s="4">
        <f t="shared" si="34"/>
        <v>6</v>
      </c>
      <c r="B84" s="5" t="s">
        <v>13</v>
      </c>
      <c r="C84" s="166">
        <f t="shared" si="28"/>
        <v>60</v>
      </c>
      <c r="D84" s="11"/>
      <c r="E84" s="11"/>
      <c r="F84" s="11"/>
      <c r="G84" s="11"/>
      <c r="H84" s="11"/>
      <c r="I84" s="14">
        <f t="shared" si="35"/>
        <v>6</v>
      </c>
      <c r="J84" s="63" t="e">
        <f t="shared" si="36"/>
        <v>#REF!</v>
      </c>
      <c r="K84" s="63" t="e">
        <f t="shared" si="29"/>
        <v>#REF!</v>
      </c>
      <c r="L84" s="63" t="e">
        <f t="shared" si="37"/>
        <v>#REF!</v>
      </c>
      <c r="M84" s="65" t="e">
        <f t="shared" si="27"/>
        <v>#REF!</v>
      </c>
      <c r="O84" s="14">
        <f t="shared" si="38"/>
        <v>6</v>
      </c>
      <c r="P84" s="54">
        <f t="shared" si="39"/>
        <v>3016.625</v>
      </c>
      <c r="Q84" s="63">
        <f t="shared" si="40"/>
        <v>21894.106046689736</v>
      </c>
      <c r="R84" s="63" t="e">
        <f t="shared" si="45"/>
        <v>#REF!</v>
      </c>
      <c r="S84" s="63" t="e">
        <f t="shared" si="41"/>
        <v>#REF!</v>
      </c>
      <c r="T84" s="63"/>
      <c r="U84" s="63">
        <f t="shared" si="42"/>
        <v>-1094.7053023344868</v>
      </c>
      <c r="V84" s="77">
        <f t="shared" si="30"/>
        <v>-863.45833333333337</v>
      </c>
      <c r="W84" s="83" t="e">
        <f t="shared" si="31"/>
        <v>#REF!</v>
      </c>
      <c r="X84" s="85" t="e">
        <f t="shared" si="43"/>
        <v>#REF!</v>
      </c>
      <c r="Z84" s="92">
        <f t="shared" si="44"/>
        <v>414460</v>
      </c>
      <c r="AA84" s="5">
        <f t="shared" si="32"/>
        <v>0</v>
      </c>
      <c r="AB84" s="92">
        <f t="shared" si="33"/>
        <v>414460</v>
      </c>
    </row>
    <row r="85" spans="1:28" x14ac:dyDescent="0.45">
      <c r="A85" s="4">
        <f t="shared" si="34"/>
        <v>7</v>
      </c>
      <c r="B85" s="5" t="s">
        <v>14</v>
      </c>
      <c r="C85" s="166">
        <f t="shared" si="28"/>
        <v>20000</v>
      </c>
      <c r="D85" s="11"/>
      <c r="E85" s="11"/>
      <c r="F85" s="11"/>
      <c r="G85" s="11"/>
      <c r="H85" s="11"/>
      <c r="I85" s="14">
        <f t="shared" si="35"/>
        <v>7</v>
      </c>
      <c r="J85" s="63" t="e">
        <f t="shared" si="36"/>
        <v>#REF!</v>
      </c>
      <c r="K85" s="63" t="e">
        <f t="shared" si="29"/>
        <v>#REF!</v>
      </c>
      <c r="L85" s="63" t="e">
        <f t="shared" si="37"/>
        <v>#REF!</v>
      </c>
      <c r="M85" s="65" t="e">
        <f t="shared" si="27"/>
        <v>#REF!</v>
      </c>
      <c r="O85" s="14">
        <f t="shared" si="38"/>
        <v>7</v>
      </c>
      <c r="P85" s="54">
        <f t="shared" si="39"/>
        <v>3536.75</v>
      </c>
      <c r="Q85" s="63">
        <f t="shared" si="40"/>
        <v>21894.106046689736</v>
      </c>
      <c r="R85" s="63" t="e">
        <f t="shared" si="45"/>
        <v>#REF!</v>
      </c>
      <c r="S85" s="63" t="e">
        <f t="shared" si="41"/>
        <v>#REF!</v>
      </c>
      <c r="T85" s="63"/>
      <c r="U85" s="63">
        <f t="shared" si="42"/>
        <v>-1094.7053023344868</v>
      </c>
      <c r="V85" s="77">
        <f t="shared" si="30"/>
        <v>-847.64583333333337</v>
      </c>
      <c r="W85" s="83" t="e">
        <f t="shared" si="31"/>
        <v>#REF!</v>
      </c>
      <c r="X85" s="85" t="e">
        <f t="shared" si="43"/>
        <v>#REF!</v>
      </c>
      <c r="Z85" s="92">
        <f t="shared" si="44"/>
        <v>406870</v>
      </c>
      <c r="AA85" s="5">
        <f t="shared" si="32"/>
        <v>0</v>
      </c>
      <c r="AB85" s="92">
        <f t="shared" si="33"/>
        <v>406870</v>
      </c>
    </row>
    <row r="86" spans="1:28" ht="14.65" thickBot="1" x14ac:dyDescent="0.5">
      <c r="A86" s="6">
        <f t="shared" si="34"/>
        <v>8</v>
      </c>
      <c r="B86" s="7" t="s">
        <v>33</v>
      </c>
      <c r="C86" s="51">
        <f t="shared" si="28"/>
        <v>0.9</v>
      </c>
      <c r="D86" s="11"/>
      <c r="E86" s="11"/>
      <c r="F86" s="11"/>
      <c r="G86" s="11"/>
      <c r="H86" s="11"/>
      <c r="I86" s="14">
        <f t="shared" si="35"/>
        <v>8</v>
      </c>
      <c r="J86" s="63" t="e">
        <f t="shared" si="36"/>
        <v>#REF!</v>
      </c>
      <c r="K86" s="63" t="e">
        <f t="shared" si="29"/>
        <v>#REF!</v>
      </c>
      <c r="L86" s="63" t="e">
        <f t="shared" si="37"/>
        <v>#REF!</v>
      </c>
      <c r="M86" s="65" t="e">
        <f t="shared" si="27"/>
        <v>#REF!</v>
      </c>
      <c r="O86" s="14">
        <f t="shared" si="38"/>
        <v>8</v>
      </c>
      <c r="P86" s="54">
        <f t="shared" si="39"/>
        <v>4056.875</v>
      </c>
      <c r="Q86" s="63">
        <f t="shared" si="40"/>
        <v>21894.106046689736</v>
      </c>
      <c r="R86" s="63" t="e">
        <f t="shared" si="45"/>
        <v>#REF!</v>
      </c>
      <c r="S86" s="63" t="e">
        <f t="shared" si="41"/>
        <v>#REF!</v>
      </c>
      <c r="T86" s="63"/>
      <c r="U86" s="63">
        <f t="shared" si="42"/>
        <v>-1094.7053023344868</v>
      </c>
      <c r="V86" s="77">
        <f t="shared" si="30"/>
        <v>-831.83333333333337</v>
      </c>
      <c r="W86" s="83" t="e">
        <f t="shared" si="31"/>
        <v>#REF!</v>
      </c>
      <c r="X86" s="85" t="e">
        <f t="shared" si="43"/>
        <v>#REF!</v>
      </c>
      <c r="Z86" s="92">
        <f t="shared" si="44"/>
        <v>399280</v>
      </c>
      <c r="AA86" s="5">
        <f t="shared" si="32"/>
        <v>0</v>
      </c>
      <c r="AB86" s="92">
        <f t="shared" si="33"/>
        <v>399280</v>
      </c>
    </row>
    <row r="87" spans="1:28" ht="14.65" thickBot="1" x14ac:dyDescent="0.5">
      <c r="C87" s="11"/>
      <c r="D87" s="11"/>
      <c r="E87" s="11"/>
      <c r="F87" s="11"/>
      <c r="G87" s="11"/>
      <c r="H87" s="11"/>
      <c r="I87" s="14">
        <f t="shared" si="35"/>
        <v>9</v>
      </c>
      <c r="J87" s="63" t="e">
        <f t="shared" si="36"/>
        <v>#REF!</v>
      </c>
      <c r="K87" s="63" t="e">
        <f t="shared" si="29"/>
        <v>#REF!</v>
      </c>
      <c r="L87" s="63" t="e">
        <f t="shared" si="37"/>
        <v>#REF!</v>
      </c>
      <c r="M87" s="65" t="e">
        <f t="shared" si="27"/>
        <v>#REF!</v>
      </c>
      <c r="O87" s="14">
        <f t="shared" si="38"/>
        <v>9</v>
      </c>
      <c r="P87" s="54">
        <f t="shared" si="39"/>
        <v>4577</v>
      </c>
      <c r="Q87" s="63">
        <f t="shared" si="40"/>
        <v>21894.106046689736</v>
      </c>
      <c r="R87" s="63" t="e">
        <f t="shared" si="45"/>
        <v>#REF!</v>
      </c>
      <c r="S87" s="63" t="e">
        <f t="shared" si="41"/>
        <v>#REF!</v>
      </c>
      <c r="T87" s="63"/>
      <c r="U87" s="63">
        <f t="shared" si="42"/>
        <v>-1094.7053023344868</v>
      </c>
      <c r="V87" s="77">
        <f>-(AB87*$C$9/12)</f>
        <v>-816.02083333333337</v>
      </c>
      <c r="W87" s="83" t="e">
        <f t="shared" si="31"/>
        <v>#REF!</v>
      </c>
      <c r="X87" s="85" t="e">
        <f t="shared" si="43"/>
        <v>#REF!</v>
      </c>
      <c r="Z87" s="92">
        <f t="shared" si="44"/>
        <v>391690</v>
      </c>
      <c r="AA87" s="5">
        <f t="shared" si="32"/>
        <v>0</v>
      </c>
      <c r="AB87" s="92">
        <f t="shared" si="33"/>
        <v>391690</v>
      </c>
    </row>
    <row r="88" spans="1:28" ht="16.149999999999999" thickBot="1" x14ac:dyDescent="0.5">
      <c r="A88" s="661" t="s">
        <v>43</v>
      </c>
      <c r="B88" s="662"/>
      <c r="C88" s="662"/>
      <c r="D88" s="662"/>
      <c r="E88" s="663"/>
      <c r="F88" s="1"/>
      <c r="G88" s="1"/>
      <c r="H88" s="117"/>
      <c r="I88" s="14">
        <f t="shared" si="35"/>
        <v>10</v>
      </c>
      <c r="J88" s="63" t="e">
        <f t="shared" si="36"/>
        <v>#REF!</v>
      </c>
      <c r="K88" s="63" t="e">
        <f t="shared" si="29"/>
        <v>#REF!</v>
      </c>
      <c r="L88" s="63" t="e">
        <f t="shared" si="37"/>
        <v>#REF!</v>
      </c>
      <c r="M88" s="65" t="e">
        <f t="shared" si="27"/>
        <v>#REF!</v>
      </c>
      <c r="O88" s="14">
        <f t="shared" si="38"/>
        <v>10</v>
      </c>
      <c r="P88" s="54">
        <f t="shared" si="39"/>
        <v>5097.125</v>
      </c>
      <c r="Q88" s="63">
        <f t="shared" si="40"/>
        <v>21894.106046689736</v>
      </c>
      <c r="R88" s="63" t="e">
        <f t="shared" si="45"/>
        <v>#REF!</v>
      </c>
      <c r="S88" s="63" t="e">
        <f t="shared" si="41"/>
        <v>#REF!</v>
      </c>
      <c r="T88" s="63"/>
      <c r="U88" s="63">
        <f t="shared" si="42"/>
        <v>-1094.7053023344868</v>
      </c>
      <c r="V88" s="77">
        <f t="shared" ref="V88:V126" si="46">-(AB88*$C$9/12)</f>
        <v>-800.20833333333337</v>
      </c>
      <c r="W88" s="83" t="e">
        <f t="shared" si="31"/>
        <v>#REF!</v>
      </c>
      <c r="X88" s="85" t="e">
        <f t="shared" si="43"/>
        <v>#REF!</v>
      </c>
      <c r="Z88" s="92">
        <f t="shared" si="44"/>
        <v>384100</v>
      </c>
      <c r="AA88" s="5">
        <f t="shared" si="32"/>
        <v>0</v>
      </c>
      <c r="AB88" s="92">
        <f t="shared" si="33"/>
        <v>384100</v>
      </c>
    </row>
    <row r="89" spans="1:28" ht="14.65" thickBot="1" x14ac:dyDescent="0.5">
      <c r="A89" s="97" t="s">
        <v>44</v>
      </c>
      <c r="B89" s="98" t="s">
        <v>48</v>
      </c>
      <c r="C89" s="98" t="s">
        <v>45</v>
      </c>
      <c r="D89" s="99" t="s">
        <v>46</v>
      </c>
      <c r="E89" s="55" t="s">
        <v>47</v>
      </c>
      <c r="F89" s="1"/>
      <c r="G89" s="1"/>
      <c r="H89" s="117"/>
      <c r="I89" s="14">
        <f t="shared" si="35"/>
        <v>11</v>
      </c>
      <c r="J89" s="63" t="e">
        <f t="shared" si="36"/>
        <v>#REF!</v>
      </c>
      <c r="K89" s="63" t="e">
        <f t="shared" si="29"/>
        <v>#REF!</v>
      </c>
      <c r="L89" s="63" t="e">
        <f t="shared" si="37"/>
        <v>#REF!</v>
      </c>
      <c r="M89" s="65" t="e">
        <f t="shared" si="27"/>
        <v>#REF!</v>
      </c>
      <c r="O89" s="14">
        <f t="shared" si="38"/>
        <v>11</v>
      </c>
      <c r="P89" s="54">
        <f t="shared" si="39"/>
        <v>5617.25</v>
      </c>
      <c r="Q89" s="63">
        <f t="shared" si="40"/>
        <v>21894.106046689736</v>
      </c>
      <c r="R89" s="63" t="e">
        <f t="shared" si="45"/>
        <v>#REF!</v>
      </c>
      <c r="S89" s="63" t="e">
        <f t="shared" si="41"/>
        <v>#REF!</v>
      </c>
      <c r="T89" s="63"/>
      <c r="U89" s="63">
        <f t="shared" si="42"/>
        <v>-1094.7053023344868</v>
      </c>
      <c r="V89" s="77">
        <f t="shared" si="46"/>
        <v>-784.39583333333337</v>
      </c>
      <c r="W89" s="83" t="e">
        <f t="shared" si="31"/>
        <v>#REF!</v>
      </c>
      <c r="X89" s="85" t="e">
        <f t="shared" si="43"/>
        <v>#REF!</v>
      </c>
      <c r="Z89" s="92">
        <f t="shared" si="44"/>
        <v>376510</v>
      </c>
      <c r="AA89" s="5">
        <f t="shared" si="32"/>
        <v>0</v>
      </c>
      <c r="AB89" s="92">
        <f t="shared" si="33"/>
        <v>376510</v>
      </c>
    </row>
    <row r="90" spans="1:28" x14ac:dyDescent="0.45">
      <c r="A90" s="94">
        <v>1</v>
      </c>
      <c r="B90" s="95">
        <v>12</v>
      </c>
      <c r="C90" s="96">
        <f>D$27-(D$27+D$28)*B90/60</f>
        <v>368920</v>
      </c>
      <c r="D90" s="100">
        <v>0.1</v>
      </c>
      <c r="E90" s="103">
        <f t="shared" ref="E90:E95" si="47">C90/(100%-D90)</f>
        <v>409911.11111111112</v>
      </c>
      <c r="F90" s="11"/>
      <c r="G90" s="11"/>
      <c r="H90" s="11"/>
      <c r="I90" s="14">
        <f t="shared" si="35"/>
        <v>12</v>
      </c>
      <c r="J90" s="63" t="e">
        <f t="shared" si="36"/>
        <v>#REF!</v>
      </c>
      <c r="K90" s="63" t="e">
        <f t="shared" si="29"/>
        <v>#REF!</v>
      </c>
      <c r="L90" s="63" t="e">
        <f t="shared" si="37"/>
        <v>#REF!</v>
      </c>
      <c r="M90" s="65" t="e">
        <f t="shared" si="27"/>
        <v>#REF!</v>
      </c>
      <c r="O90" s="14">
        <f t="shared" si="38"/>
        <v>12</v>
      </c>
      <c r="P90" s="54">
        <f t="shared" si="39"/>
        <v>6137.375</v>
      </c>
      <c r="Q90" s="63">
        <f t="shared" si="40"/>
        <v>21894.106046689736</v>
      </c>
      <c r="R90" s="63" t="e">
        <f t="shared" si="45"/>
        <v>#REF!</v>
      </c>
      <c r="S90" s="63" t="e">
        <f t="shared" si="41"/>
        <v>#REF!</v>
      </c>
      <c r="T90" s="63"/>
      <c r="U90" s="63">
        <f t="shared" si="42"/>
        <v>-1094.7053023344868</v>
      </c>
      <c r="V90" s="77">
        <f t="shared" si="46"/>
        <v>-768.58333333333337</v>
      </c>
      <c r="W90" s="83" t="e">
        <f t="shared" si="31"/>
        <v>#REF!</v>
      </c>
      <c r="X90" s="85" t="e">
        <f t="shared" si="43"/>
        <v>#REF!</v>
      </c>
      <c r="Z90" s="92">
        <f t="shared" si="44"/>
        <v>368920</v>
      </c>
      <c r="AA90" s="5">
        <f t="shared" si="32"/>
        <v>0</v>
      </c>
      <c r="AB90" s="92">
        <f t="shared" si="33"/>
        <v>368920</v>
      </c>
    </row>
    <row r="91" spans="1:28" x14ac:dyDescent="0.45">
      <c r="A91" s="4">
        <f>A90+1</f>
        <v>2</v>
      </c>
      <c r="B91" s="5">
        <f>B90+12</f>
        <v>24</v>
      </c>
      <c r="C91" s="92">
        <f>D$27-(D$27+D$28)*B91/60</f>
        <v>277840</v>
      </c>
      <c r="D91" s="101">
        <f>D90</f>
        <v>0.1</v>
      </c>
      <c r="E91" s="104">
        <f t="shared" si="47"/>
        <v>308711.11111111112</v>
      </c>
      <c r="F91" s="11"/>
      <c r="G91" s="11"/>
      <c r="H91" s="11"/>
      <c r="I91" s="14">
        <f t="shared" si="35"/>
        <v>13</v>
      </c>
      <c r="J91" s="63" t="e">
        <f t="shared" si="36"/>
        <v>#REF!</v>
      </c>
      <c r="K91" s="63" t="e">
        <f t="shared" si="29"/>
        <v>#REF!</v>
      </c>
      <c r="L91" s="63" t="e">
        <f t="shared" si="37"/>
        <v>#REF!</v>
      </c>
      <c r="M91" s="65" t="e">
        <f t="shared" si="27"/>
        <v>#REF!</v>
      </c>
      <c r="O91" s="14">
        <f t="shared" si="38"/>
        <v>13</v>
      </c>
      <c r="P91" s="54">
        <f t="shared" si="39"/>
        <v>6657.5</v>
      </c>
      <c r="Q91" s="63">
        <f t="shared" si="40"/>
        <v>21894.106046689736</v>
      </c>
      <c r="R91" s="63" t="e">
        <f t="shared" si="45"/>
        <v>#REF!</v>
      </c>
      <c r="S91" s="63" t="e">
        <f t="shared" si="41"/>
        <v>#REF!</v>
      </c>
      <c r="T91" s="63"/>
      <c r="U91" s="63">
        <f t="shared" si="42"/>
        <v>-1094.7053023344868</v>
      </c>
      <c r="V91" s="77">
        <f t="shared" si="46"/>
        <v>-752.77083333333337</v>
      </c>
      <c r="W91" s="83" t="e">
        <f t="shared" si="31"/>
        <v>#REF!</v>
      </c>
      <c r="X91" s="85" t="e">
        <f t="shared" si="43"/>
        <v>#REF!</v>
      </c>
      <c r="Z91" s="92">
        <f t="shared" si="44"/>
        <v>361330</v>
      </c>
      <c r="AA91" s="5">
        <f t="shared" si="32"/>
        <v>0</v>
      </c>
      <c r="AB91" s="92">
        <f t="shared" si="33"/>
        <v>361330</v>
      </c>
    </row>
    <row r="92" spans="1:28" x14ac:dyDescent="0.45">
      <c r="A92" s="4">
        <f>A91+1</f>
        <v>3</v>
      </c>
      <c r="B92" s="5">
        <f>B91+12</f>
        <v>36</v>
      </c>
      <c r="C92" s="92">
        <f>D$27-(D$27+D$28)*B92/60</f>
        <v>186760</v>
      </c>
      <c r="D92" s="101">
        <f>D91</f>
        <v>0.1</v>
      </c>
      <c r="E92" s="104">
        <f t="shared" si="47"/>
        <v>207511.11111111109</v>
      </c>
      <c r="F92" s="11"/>
      <c r="G92" s="11"/>
      <c r="H92" s="11"/>
      <c r="I92" s="14">
        <f t="shared" si="35"/>
        <v>14</v>
      </c>
      <c r="J92" s="63" t="e">
        <f t="shared" si="36"/>
        <v>#REF!</v>
      </c>
      <c r="K92" s="63" t="e">
        <f t="shared" si="29"/>
        <v>#REF!</v>
      </c>
      <c r="L92" s="63" t="e">
        <f t="shared" si="37"/>
        <v>#REF!</v>
      </c>
      <c r="M92" s="65" t="e">
        <f t="shared" si="27"/>
        <v>#REF!</v>
      </c>
      <c r="O92" s="14">
        <f t="shared" si="38"/>
        <v>14</v>
      </c>
      <c r="P92" s="54">
        <f t="shared" si="39"/>
        <v>7177.625</v>
      </c>
      <c r="Q92" s="63">
        <f t="shared" si="40"/>
        <v>21894.106046689736</v>
      </c>
      <c r="R92" s="63" t="e">
        <f t="shared" si="45"/>
        <v>#REF!</v>
      </c>
      <c r="S92" s="63" t="e">
        <f t="shared" si="41"/>
        <v>#REF!</v>
      </c>
      <c r="T92" s="63"/>
      <c r="U92" s="63">
        <f t="shared" si="42"/>
        <v>-1094.7053023344868</v>
      </c>
      <c r="V92" s="77">
        <f t="shared" si="46"/>
        <v>-736.95833333333337</v>
      </c>
      <c r="W92" s="83" t="e">
        <f t="shared" si="31"/>
        <v>#REF!</v>
      </c>
      <c r="X92" s="85" t="e">
        <f t="shared" si="43"/>
        <v>#REF!</v>
      </c>
      <c r="Z92" s="92">
        <f t="shared" si="44"/>
        <v>353740</v>
      </c>
      <c r="AA92" s="5">
        <f t="shared" si="32"/>
        <v>0</v>
      </c>
      <c r="AB92" s="92">
        <f t="shared" si="33"/>
        <v>353740</v>
      </c>
    </row>
    <row r="93" spans="1:28" x14ac:dyDescent="0.45">
      <c r="A93" s="4">
        <f>A92+1</f>
        <v>4</v>
      </c>
      <c r="B93" s="5">
        <f>B92+12</f>
        <v>48</v>
      </c>
      <c r="C93" s="92">
        <f>D$27-(D$27+D$28)*B93/60</f>
        <v>95680</v>
      </c>
      <c r="D93" s="101">
        <f>D92</f>
        <v>0.1</v>
      </c>
      <c r="E93" s="104">
        <f t="shared" si="47"/>
        <v>106311.11111111111</v>
      </c>
      <c r="F93" s="11"/>
      <c r="G93" s="11"/>
      <c r="H93" s="11"/>
      <c r="I93" s="14">
        <f t="shared" si="35"/>
        <v>15</v>
      </c>
      <c r="J93" s="63" t="e">
        <f t="shared" si="36"/>
        <v>#REF!</v>
      </c>
      <c r="K93" s="63" t="e">
        <f t="shared" si="29"/>
        <v>#REF!</v>
      </c>
      <c r="L93" s="63" t="e">
        <f t="shared" si="37"/>
        <v>#REF!</v>
      </c>
      <c r="M93" s="65" t="e">
        <f t="shared" si="27"/>
        <v>#REF!</v>
      </c>
      <c r="O93" s="14">
        <f t="shared" si="38"/>
        <v>15</v>
      </c>
      <c r="P93" s="54">
        <f t="shared" si="39"/>
        <v>7697.75</v>
      </c>
      <c r="Q93" s="63">
        <f t="shared" si="40"/>
        <v>21894.106046689736</v>
      </c>
      <c r="R93" s="63" t="e">
        <f t="shared" si="45"/>
        <v>#REF!</v>
      </c>
      <c r="S93" s="63" t="e">
        <f t="shared" si="41"/>
        <v>#REF!</v>
      </c>
      <c r="T93" s="63"/>
      <c r="U93" s="63">
        <f t="shared" si="42"/>
        <v>-1094.7053023344868</v>
      </c>
      <c r="V93" s="77">
        <f t="shared" si="46"/>
        <v>-721.14583333333337</v>
      </c>
      <c r="W93" s="83" t="e">
        <f t="shared" si="31"/>
        <v>#REF!</v>
      </c>
      <c r="X93" s="85" t="e">
        <f t="shared" si="43"/>
        <v>#REF!</v>
      </c>
      <c r="Z93" s="92">
        <f t="shared" si="44"/>
        <v>346150</v>
      </c>
      <c r="AA93" s="5">
        <f t="shared" si="32"/>
        <v>0</v>
      </c>
      <c r="AB93" s="92">
        <f t="shared" si="33"/>
        <v>346150</v>
      </c>
    </row>
    <row r="94" spans="1:28" x14ac:dyDescent="0.45">
      <c r="A94" s="4">
        <f>A93+1</f>
        <v>5</v>
      </c>
      <c r="B94" s="5">
        <f>B93+12</f>
        <v>60</v>
      </c>
      <c r="C94" s="92">
        <f>D$27-(D$27+D$28)*B94/60</f>
        <v>4600</v>
      </c>
      <c r="D94" s="101">
        <f>D93</f>
        <v>0.1</v>
      </c>
      <c r="E94" s="104">
        <f t="shared" si="47"/>
        <v>5111.1111111111113</v>
      </c>
      <c r="F94" s="11"/>
      <c r="G94" s="11"/>
      <c r="H94" s="11"/>
      <c r="I94" s="14">
        <f t="shared" si="35"/>
        <v>16</v>
      </c>
      <c r="J94" s="63" t="e">
        <f t="shared" si="36"/>
        <v>#REF!</v>
      </c>
      <c r="K94" s="63" t="e">
        <f t="shared" si="29"/>
        <v>#REF!</v>
      </c>
      <c r="L94" s="63" t="e">
        <f t="shared" si="37"/>
        <v>#REF!</v>
      </c>
      <c r="M94" s="65" t="e">
        <f t="shared" si="27"/>
        <v>#REF!</v>
      </c>
      <c r="O94" s="14">
        <f t="shared" si="38"/>
        <v>16</v>
      </c>
      <c r="P94" s="54">
        <f t="shared" si="39"/>
        <v>8217.875</v>
      </c>
      <c r="Q94" s="63">
        <f t="shared" si="40"/>
        <v>21894.106046689736</v>
      </c>
      <c r="R94" s="63" t="e">
        <f t="shared" si="45"/>
        <v>#REF!</v>
      </c>
      <c r="S94" s="63" t="e">
        <f t="shared" si="41"/>
        <v>#REF!</v>
      </c>
      <c r="T94" s="63"/>
      <c r="U94" s="63">
        <f t="shared" si="42"/>
        <v>-1094.7053023344868</v>
      </c>
      <c r="V94" s="77">
        <f t="shared" si="46"/>
        <v>-705.33333333333337</v>
      </c>
      <c r="W94" s="83" t="e">
        <f t="shared" si="31"/>
        <v>#REF!</v>
      </c>
      <c r="X94" s="85" t="e">
        <f t="shared" si="43"/>
        <v>#REF!</v>
      </c>
      <c r="Z94" s="92">
        <f t="shared" si="44"/>
        <v>338560</v>
      </c>
      <c r="AA94" s="5">
        <f t="shared" si="32"/>
        <v>0</v>
      </c>
      <c r="AB94" s="92">
        <f t="shared" si="33"/>
        <v>338560</v>
      </c>
    </row>
    <row r="95" spans="1:28" ht="14.65" thickBot="1" x14ac:dyDescent="0.5">
      <c r="A95" s="6">
        <f>A94+1</f>
        <v>6</v>
      </c>
      <c r="B95" s="7">
        <f>B94+12</f>
        <v>72</v>
      </c>
      <c r="C95" s="93">
        <v>1</v>
      </c>
      <c r="D95" s="102">
        <f>D94</f>
        <v>0.1</v>
      </c>
      <c r="E95" s="105">
        <f t="shared" si="47"/>
        <v>1.1111111111111112</v>
      </c>
      <c r="H95" s="11"/>
      <c r="I95" s="14">
        <f t="shared" si="35"/>
        <v>17</v>
      </c>
      <c r="J95" s="63" t="e">
        <f t="shared" si="36"/>
        <v>#REF!</v>
      </c>
      <c r="K95" s="63" t="e">
        <f t="shared" si="29"/>
        <v>#REF!</v>
      </c>
      <c r="L95" s="63" t="e">
        <f t="shared" si="37"/>
        <v>#REF!</v>
      </c>
      <c r="M95" s="65" t="e">
        <f t="shared" si="27"/>
        <v>#REF!</v>
      </c>
      <c r="O95" s="14">
        <f t="shared" si="38"/>
        <v>17</v>
      </c>
      <c r="P95" s="54">
        <f t="shared" si="39"/>
        <v>8738</v>
      </c>
      <c r="Q95" s="63">
        <f t="shared" si="40"/>
        <v>21894.106046689736</v>
      </c>
      <c r="R95" s="63" t="e">
        <f t="shared" si="45"/>
        <v>#REF!</v>
      </c>
      <c r="S95" s="63" t="e">
        <f t="shared" si="41"/>
        <v>#REF!</v>
      </c>
      <c r="T95" s="63"/>
      <c r="U95" s="63">
        <f t="shared" si="42"/>
        <v>-1094.7053023344868</v>
      </c>
      <c r="V95" s="77">
        <f t="shared" si="46"/>
        <v>-689.52083333333337</v>
      </c>
      <c r="W95" s="83" t="e">
        <f t="shared" si="31"/>
        <v>#REF!</v>
      </c>
      <c r="X95" s="85" t="e">
        <f t="shared" si="43"/>
        <v>#REF!</v>
      </c>
      <c r="Z95" s="92">
        <f t="shared" si="44"/>
        <v>330970</v>
      </c>
      <c r="AA95" s="5">
        <f t="shared" si="32"/>
        <v>0</v>
      </c>
      <c r="AB95" s="92">
        <f t="shared" si="33"/>
        <v>330970</v>
      </c>
    </row>
    <row r="96" spans="1:28" ht="14.65" thickBot="1" x14ac:dyDescent="0.5">
      <c r="H96" s="11"/>
      <c r="I96" s="14">
        <f>I95+1</f>
        <v>18</v>
      </c>
      <c r="J96" s="63" t="e">
        <f>M95</f>
        <v>#REF!</v>
      </c>
      <c r="K96" s="63" t="e">
        <f t="shared" si="29"/>
        <v>#REF!</v>
      </c>
      <c r="L96" s="63" t="e">
        <f>L95</f>
        <v>#REF!</v>
      </c>
      <c r="M96" s="65" t="e">
        <f t="shared" si="27"/>
        <v>#REF!</v>
      </c>
      <c r="O96" s="14">
        <f>O95+1</f>
        <v>18</v>
      </c>
      <c r="P96" s="54">
        <f t="shared" si="39"/>
        <v>9258.125</v>
      </c>
      <c r="Q96" s="63">
        <f t="shared" si="40"/>
        <v>21894.106046689736</v>
      </c>
      <c r="R96" s="63" t="e">
        <f t="shared" si="45"/>
        <v>#REF!</v>
      </c>
      <c r="S96" s="63" t="e">
        <f t="shared" si="41"/>
        <v>#REF!</v>
      </c>
      <c r="T96" s="63"/>
      <c r="U96" s="63">
        <f t="shared" si="42"/>
        <v>-1094.7053023344868</v>
      </c>
      <c r="V96" s="77">
        <f t="shared" si="46"/>
        <v>-673.70833333333337</v>
      </c>
      <c r="W96" s="83" t="e">
        <f t="shared" si="31"/>
        <v>#REF!</v>
      </c>
      <c r="X96" s="85" t="e">
        <f t="shared" si="43"/>
        <v>#REF!</v>
      </c>
      <c r="Z96" s="92">
        <f t="shared" si="44"/>
        <v>323380</v>
      </c>
      <c r="AA96" s="5">
        <f t="shared" si="32"/>
        <v>0</v>
      </c>
      <c r="AB96" s="92">
        <f t="shared" si="33"/>
        <v>323380</v>
      </c>
    </row>
    <row r="97" spans="1:28" ht="31.15" thickBot="1" x14ac:dyDescent="0.5">
      <c r="A97" s="664" t="s">
        <v>21</v>
      </c>
      <c r="B97" s="665"/>
      <c r="C97" s="665"/>
      <c r="D97" s="665"/>
      <c r="E97" s="665"/>
      <c r="F97" s="665"/>
      <c r="G97" s="666"/>
      <c r="H97" s="11"/>
      <c r="I97" s="14">
        <f t="shared" si="35"/>
        <v>19</v>
      </c>
      <c r="J97" s="63" t="e">
        <f t="shared" ref="J97:J126" si="48">M96</f>
        <v>#REF!</v>
      </c>
      <c r="K97" s="63" t="e">
        <f t="shared" si="29"/>
        <v>#REF!</v>
      </c>
      <c r="L97" s="63" t="e">
        <f t="shared" si="37"/>
        <v>#REF!</v>
      </c>
      <c r="M97" s="65" t="e">
        <f t="shared" si="27"/>
        <v>#REF!</v>
      </c>
      <c r="O97" s="14">
        <f t="shared" si="38"/>
        <v>19</v>
      </c>
      <c r="P97" s="54">
        <f t="shared" si="39"/>
        <v>9778.25</v>
      </c>
      <c r="Q97" s="63">
        <f t="shared" si="40"/>
        <v>21894.106046689736</v>
      </c>
      <c r="R97" s="63" t="e">
        <f t="shared" si="45"/>
        <v>#REF!</v>
      </c>
      <c r="S97" s="63" t="e">
        <f t="shared" si="41"/>
        <v>#REF!</v>
      </c>
      <c r="T97" s="63"/>
      <c r="U97" s="63">
        <f t="shared" si="42"/>
        <v>-1094.7053023344868</v>
      </c>
      <c r="V97" s="77">
        <f t="shared" si="46"/>
        <v>-657.89583333333337</v>
      </c>
      <c r="W97" s="83" t="e">
        <f t="shared" si="31"/>
        <v>#REF!</v>
      </c>
      <c r="X97" s="85" t="e">
        <f t="shared" si="43"/>
        <v>#REF!</v>
      </c>
      <c r="Z97" s="92">
        <f t="shared" si="44"/>
        <v>315790</v>
      </c>
      <c r="AA97" s="5">
        <f t="shared" si="32"/>
        <v>0</v>
      </c>
      <c r="AB97" s="92">
        <f t="shared" si="33"/>
        <v>315790</v>
      </c>
    </row>
    <row r="98" spans="1:28" ht="28.9" thickBot="1" x14ac:dyDescent="0.5">
      <c r="A98" s="26" t="s">
        <v>0</v>
      </c>
      <c r="B98" s="27" t="s">
        <v>1</v>
      </c>
      <c r="C98" s="43" t="s">
        <v>22</v>
      </c>
      <c r="D98" s="43" t="s">
        <v>10</v>
      </c>
      <c r="E98" s="43" t="s">
        <v>23</v>
      </c>
      <c r="F98" s="43" t="s">
        <v>24</v>
      </c>
      <c r="G98" s="44" t="s">
        <v>25</v>
      </c>
      <c r="H98" s="11"/>
      <c r="I98" s="14">
        <f t="shared" si="35"/>
        <v>20</v>
      </c>
      <c r="J98" s="63" t="e">
        <f t="shared" si="48"/>
        <v>#REF!</v>
      </c>
      <c r="K98" s="63" t="e">
        <f t="shared" si="29"/>
        <v>#REF!</v>
      </c>
      <c r="L98" s="63" t="e">
        <f t="shared" si="37"/>
        <v>#REF!</v>
      </c>
      <c r="M98" s="65" t="e">
        <f t="shared" si="27"/>
        <v>#REF!</v>
      </c>
      <c r="O98" s="14">
        <f t="shared" si="38"/>
        <v>20</v>
      </c>
      <c r="P98" s="54">
        <f t="shared" si="39"/>
        <v>10298.375</v>
      </c>
      <c r="Q98" s="63">
        <f t="shared" si="40"/>
        <v>21894.106046689736</v>
      </c>
      <c r="R98" s="63" t="e">
        <f t="shared" si="45"/>
        <v>#REF!</v>
      </c>
      <c r="S98" s="63" t="e">
        <f t="shared" si="41"/>
        <v>#REF!</v>
      </c>
      <c r="T98" s="63"/>
      <c r="U98" s="63">
        <f t="shared" si="42"/>
        <v>-1094.7053023344868</v>
      </c>
      <c r="V98" s="77">
        <f t="shared" si="46"/>
        <v>-642.08333333333337</v>
      </c>
      <c r="W98" s="83" t="e">
        <f t="shared" si="31"/>
        <v>#REF!</v>
      </c>
      <c r="X98" s="85" t="e">
        <f t="shared" si="43"/>
        <v>#REF!</v>
      </c>
      <c r="Z98" s="92">
        <f t="shared" si="44"/>
        <v>308200</v>
      </c>
      <c r="AA98" s="5">
        <f t="shared" si="32"/>
        <v>0</v>
      </c>
      <c r="AB98" s="92">
        <f t="shared" si="33"/>
        <v>308200</v>
      </c>
    </row>
    <row r="99" spans="1:28" x14ac:dyDescent="0.45">
      <c r="A99" s="8">
        <v>1</v>
      </c>
      <c r="B99" s="9" t="s">
        <v>16</v>
      </c>
      <c r="C99" s="48">
        <v>1</v>
      </c>
      <c r="D99" s="153" t="e">
        <f>+C79*C99</f>
        <v>#REF!</v>
      </c>
      <c r="E99" s="49">
        <v>0.5</v>
      </c>
      <c r="F99" s="62" t="e">
        <f>E99*D99</f>
        <v>#REF!</v>
      </c>
      <c r="G99" s="60" t="e">
        <f>D99-F99</f>
        <v>#REF!</v>
      </c>
      <c r="H99" s="11"/>
      <c r="I99" s="14">
        <f t="shared" si="35"/>
        <v>21</v>
      </c>
      <c r="J99" s="63" t="e">
        <f t="shared" si="48"/>
        <v>#REF!</v>
      </c>
      <c r="K99" s="63" t="e">
        <f t="shared" si="29"/>
        <v>#REF!</v>
      </c>
      <c r="L99" s="63" t="e">
        <f t="shared" si="37"/>
        <v>#REF!</v>
      </c>
      <c r="M99" s="65" t="e">
        <f t="shared" si="27"/>
        <v>#REF!</v>
      </c>
      <c r="O99" s="14">
        <f t="shared" si="38"/>
        <v>21</v>
      </c>
      <c r="P99" s="54">
        <f t="shared" si="39"/>
        <v>10818.5</v>
      </c>
      <c r="Q99" s="63">
        <f t="shared" si="40"/>
        <v>21894.106046689736</v>
      </c>
      <c r="R99" s="63" t="e">
        <f t="shared" si="45"/>
        <v>#REF!</v>
      </c>
      <c r="S99" s="63" t="e">
        <f t="shared" si="41"/>
        <v>#REF!</v>
      </c>
      <c r="T99" s="63"/>
      <c r="U99" s="63">
        <f t="shared" si="42"/>
        <v>-1094.7053023344868</v>
      </c>
      <c r="V99" s="77">
        <f t="shared" si="46"/>
        <v>-626.27083333333337</v>
      </c>
      <c r="W99" s="83" t="e">
        <f t="shared" si="31"/>
        <v>#REF!</v>
      </c>
      <c r="X99" s="85" t="e">
        <f t="shared" si="43"/>
        <v>#REF!</v>
      </c>
      <c r="Z99" s="92">
        <f t="shared" si="44"/>
        <v>300610</v>
      </c>
      <c r="AA99" s="5">
        <f t="shared" si="32"/>
        <v>0</v>
      </c>
      <c r="AB99" s="92">
        <f t="shared" si="33"/>
        <v>300610</v>
      </c>
    </row>
    <row r="100" spans="1:28" x14ac:dyDescent="0.45">
      <c r="A100" s="4">
        <f>A99+1</f>
        <v>2</v>
      </c>
      <c r="B100" s="5" t="s">
        <v>12</v>
      </c>
      <c r="C100" s="19">
        <f>C83</f>
        <v>0.01</v>
      </c>
      <c r="D100" s="154" t="e">
        <f>-C100*C79</f>
        <v>#REF!</v>
      </c>
      <c r="E100" s="23">
        <f>E99</f>
        <v>0.5</v>
      </c>
      <c r="F100" s="63" t="e">
        <f t="shared" ref="F100:F105" si="49">E100*D100</f>
        <v>#REF!</v>
      </c>
      <c r="G100" s="65" t="e">
        <f>D100-F100</f>
        <v>#REF!</v>
      </c>
      <c r="H100" s="11"/>
      <c r="I100" s="14">
        <f t="shared" si="35"/>
        <v>22</v>
      </c>
      <c r="J100" s="63" t="e">
        <f t="shared" si="48"/>
        <v>#REF!</v>
      </c>
      <c r="K100" s="63" t="e">
        <f t="shared" si="29"/>
        <v>#REF!</v>
      </c>
      <c r="L100" s="63" t="e">
        <f t="shared" si="37"/>
        <v>#REF!</v>
      </c>
      <c r="M100" s="65" t="e">
        <f t="shared" si="27"/>
        <v>#REF!</v>
      </c>
      <c r="O100" s="14">
        <f t="shared" si="38"/>
        <v>22</v>
      </c>
      <c r="P100" s="54">
        <f t="shared" si="39"/>
        <v>11338.625</v>
      </c>
      <c r="Q100" s="63">
        <f t="shared" si="40"/>
        <v>21894.106046689736</v>
      </c>
      <c r="R100" s="63" t="e">
        <f t="shared" si="45"/>
        <v>#REF!</v>
      </c>
      <c r="S100" s="63" t="e">
        <f t="shared" si="41"/>
        <v>#REF!</v>
      </c>
      <c r="T100" s="63"/>
      <c r="U100" s="63">
        <f t="shared" si="42"/>
        <v>-1094.7053023344868</v>
      </c>
      <c r="V100" s="77">
        <f t="shared" si="46"/>
        <v>-610.45833333333337</v>
      </c>
      <c r="W100" s="83" t="e">
        <f t="shared" si="31"/>
        <v>#REF!</v>
      </c>
      <c r="X100" s="85" t="e">
        <f t="shared" si="43"/>
        <v>#REF!</v>
      </c>
      <c r="Z100" s="92">
        <f t="shared" si="44"/>
        <v>293020</v>
      </c>
      <c r="AA100" s="5">
        <f t="shared" si="32"/>
        <v>0</v>
      </c>
      <c r="AB100" s="92">
        <f t="shared" si="33"/>
        <v>293020</v>
      </c>
    </row>
    <row r="101" spans="1:28" x14ac:dyDescent="0.45">
      <c r="A101" s="4">
        <f t="shared" ref="A101:A106" si="50">A100+1</f>
        <v>3</v>
      </c>
      <c r="B101" s="5" t="s">
        <v>17</v>
      </c>
      <c r="C101" s="24">
        <f>C80</f>
        <v>5.2999999999999999E-2</v>
      </c>
      <c r="D101" s="63" t="e">
        <f>K127</f>
        <v>#REF!</v>
      </c>
      <c r="E101" s="23">
        <v>1</v>
      </c>
      <c r="F101" s="63" t="e">
        <f t="shared" si="49"/>
        <v>#REF!</v>
      </c>
      <c r="G101" s="65" t="e">
        <f>D101-F101</f>
        <v>#REF!</v>
      </c>
      <c r="H101" s="11"/>
      <c r="I101" s="14">
        <f t="shared" si="35"/>
        <v>23</v>
      </c>
      <c r="J101" s="63" t="e">
        <f t="shared" si="48"/>
        <v>#REF!</v>
      </c>
      <c r="K101" s="63" t="e">
        <f t="shared" si="29"/>
        <v>#REF!</v>
      </c>
      <c r="L101" s="63" t="e">
        <f t="shared" si="37"/>
        <v>#REF!</v>
      </c>
      <c r="M101" s="65" t="e">
        <f t="shared" si="27"/>
        <v>#REF!</v>
      </c>
      <c r="O101" s="14">
        <f t="shared" si="38"/>
        <v>23</v>
      </c>
      <c r="P101" s="54">
        <f t="shared" si="39"/>
        <v>11858.75</v>
      </c>
      <c r="Q101" s="63">
        <f t="shared" si="40"/>
        <v>21894.106046689736</v>
      </c>
      <c r="R101" s="63" t="e">
        <f t="shared" si="45"/>
        <v>#REF!</v>
      </c>
      <c r="S101" s="63" t="e">
        <f t="shared" si="41"/>
        <v>#REF!</v>
      </c>
      <c r="T101" s="63"/>
      <c r="U101" s="63">
        <f t="shared" si="42"/>
        <v>-1094.7053023344868</v>
      </c>
      <c r="V101" s="77">
        <f t="shared" si="46"/>
        <v>-594.64583333333337</v>
      </c>
      <c r="W101" s="83" t="e">
        <f t="shared" si="31"/>
        <v>#REF!</v>
      </c>
      <c r="X101" s="85" t="e">
        <f t="shared" si="43"/>
        <v>#REF!</v>
      </c>
      <c r="Z101" s="92">
        <f t="shared" si="44"/>
        <v>285430</v>
      </c>
      <c r="AA101" s="5">
        <f t="shared" si="32"/>
        <v>0</v>
      </c>
      <c r="AB101" s="92">
        <f t="shared" si="33"/>
        <v>285430</v>
      </c>
    </row>
    <row r="102" spans="1:28" x14ac:dyDescent="0.45">
      <c r="A102" s="4">
        <f t="shared" si="50"/>
        <v>4</v>
      </c>
      <c r="B102" s="5" t="s">
        <v>6</v>
      </c>
      <c r="C102" s="23">
        <f>C81</f>
        <v>2.5000000000000001E-2</v>
      </c>
      <c r="D102" s="63">
        <f>-V127</f>
        <v>27404.499999999971</v>
      </c>
      <c r="E102" s="23">
        <v>1</v>
      </c>
      <c r="F102" s="63">
        <f t="shared" si="49"/>
        <v>27404.499999999971</v>
      </c>
      <c r="G102" s="65">
        <f>D102-F102</f>
        <v>0</v>
      </c>
      <c r="H102" s="11"/>
      <c r="I102" s="14">
        <f t="shared" si="35"/>
        <v>24</v>
      </c>
      <c r="J102" s="63" t="e">
        <f t="shared" si="48"/>
        <v>#REF!</v>
      </c>
      <c r="K102" s="63" t="e">
        <f t="shared" si="29"/>
        <v>#REF!</v>
      </c>
      <c r="L102" s="63" t="e">
        <f t="shared" si="37"/>
        <v>#REF!</v>
      </c>
      <c r="M102" s="65" t="e">
        <f t="shared" si="27"/>
        <v>#REF!</v>
      </c>
      <c r="O102" s="14">
        <f t="shared" si="38"/>
        <v>24</v>
      </c>
      <c r="P102" s="54">
        <f t="shared" si="39"/>
        <v>12378.875</v>
      </c>
      <c r="Q102" s="63">
        <f t="shared" si="40"/>
        <v>21894.106046689736</v>
      </c>
      <c r="R102" s="63" t="e">
        <f t="shared" si="45"/>
        <v>#REF!</v>
      </c>
      <c r="S102" s="63" t="e">
        <f t="shared" si="41"/>
        <v>#REF!</v>
      </c>
      <c r="T102" s="63"/>
      <c r="U102" s="63">
        <f t="shared" si="42"/>
        <v>-1094.7053023344868</v>
      </c>
      <c r="V102" s="77">
        <f t="shared" si="46"/>
        <v>-578.83333333333337</v>
      </c>
      <c r="W102" s="83" t="e">
        <f t="shared" si="31"/>
        <v>#REF!</v>
      </c>
      <c r="X102" s="85" t="e">
        <f t="shared" si="43"/>
        <v>#REF!</v>
      </c>
      <c r="Z102" s="92">
        <f t="shared" si="44"/>
        <v>277840</v>
      </c>
      <c r="AA102" s="5">
        <f t="shared" si="32"/>
        <v>0</v>
      </c>
      <c r="AB102" s="92">
        <f t="shared" si="33"/>
        <v>277840</v>
      </c>
    </row>
    <row r="103" spans="1:28" x14ac:dyDescent="0.45">
      <c r="A103" s="4">
        <f t="shared" si="50"/>
        <v>5</v>
      </c>
      <c r="B103" s="5" t="s">
        <v>27</v>
      </c>
      <c r="C103" s="19">
        <f>+C31</f>
        <v>0.5</v>
      </c>
      <c r="D103" s="174" t="e">
        <v>#REF!</v>
      </c>
      <c r="E103" s="23">
        <v>0</v>
      </c>
      <c r="F103" s="63" t="e">
        <f t="shared" si="49"/>
        <v>#REF!</v>
      </c>
      <c r="G103" s="65" t="e">
        <f>D103</f>
        <v>#REF!</v>
      </c>
      <c r="H103" s="11"/>
      <c r="I103" s="14">
        <f t="shared" si="35"/>
        <v>25</v>
      </c>
      <c r="J103" s="63" t="e">
        <f t="shared" si="48"/>
        <v>#REF!</v>
      </c>
      <c r="K103" s="63" t="e">
        <f t="shared" si="29"/>
        <v>#REF!</v>
      </c>
      <c r="L103" s="63" t="e">
        <f t="shared" si="37"/>
        <v>#REF!</v>
      </c>
      <c r="M103" s="65" t="e">
        <f t="shared" si="27"/>
        <v>#REF!</v>
      </c>
      <c r="O103" s="14">
        <f t="shared" si="38"/>
        <v>25</v>
      </c>
      <c r="P103" s="54">
        <f t="shared" si="39"/>
        <v>12899</v>
      </c>
      <c r="Q103" s="63">
        <f t="shared" si="40"/>
        <v>21894.106046689736</v>
      </c>
      <c r="R103" s="63" t="e">
        <f t="shared" si="45"/>
        <v>#REF!</v>
      </c>
      <c r="S103" s="63" t="e">
        <f t="shared" si="41"/>
        <v>#REF!</v>
      </c>
      <c r="T103" s="63"/>
      <c r="U103" s="63">
        <f t="shared" si="42"/>
        <v>-1094.7053023344868</v>
      </c>
      <c r="V103" s="77">
        <f t="shared" si="46"/>
        <v>-563.02083333333337</v>
      </c>
      <c r="W103" s="83" t="e">
        <f t="shared" si="31"/>
        <v>#REF!</v>
      </c>
      <c r="X103" s="85" t="e">
        <f t="shared" si="43"/>
        <v>#REF!</v>
      </c>
      <c r="Z103" s="92">
        <f t="shared" si="44"/>
        <v>270250</v>
      </c>
      <c r="AA103" s="5">
        <f t="shared" si="32"/>
        <v>0</v>
      </c>
      <c r="AB103" s="92">
        <f t="shared" si="33"/>
        <v>270250</v>
      </c>
    </row>
    <row r="104" spans="1:28" x14ac:dyDescent="0.45">
      <c r="A104" s="4">
        <f t="shared" si="50"/>
        <v>6</v>
      </c>
      <c r="B104" s="5" t="s">
        <v>26</v>
      </c>
      <c r="C104" s="19">
        <f>+C32</f>
        <v>0.15</v>
      </c>
      <c r="D104" s="174" t="e">
        <v>#REF!</v>
      </c>
      <c r="E104" s="23">
        <v>0</v>
      </c>
      <c r="F104" s="63" t="e">
        <f t="shared" si="49"/>
        <v>#REF!</v>
      </c>
      <c r="G104" s="65" t="e">
        <f>D104</f>
        <v>#REF!</v>
      </c>
      <c r="H104" s="11"/>
      <c r="I104" s="14">
        <f t="shared" si="35"/>
        <v>26</v>
      </c>
      <c r="J104" s="63" t="e">
        <f t="shared" si="48"/>
        <v>#REF!</v>
      </c>
      <c r="K104" s="63" t="e">
        <f t="shared" si="29"/>
        <v>#REF!</v>
      </c>
      <c r="L104" s="63" t="e">
        <f t="shared" si="37"/>
        <v>#REF!</v>
      </c>
      <c r="M104" s="65" t="e">
        <f t="shared" si="27"/>
        <v>#REF!</v>
      </c>
      <c r="O104" s="14">
        <f t="shared" si="38"/>
        <v>26</v>
      </c>
      <c r="P104" s="54">
        <f t="shared" si="39"/>
        <v>13419.125</v>
      </c>
      <c r="Q104" s="63">
        <f t="shared" si="40"/>
        <v>21894.106046689736</v>
      </c>
      <c r="R104" s="63" t="e">
        <f t="shared" si="45"/>
        <v>#REF!</v>
      </c>
      <c r="S104" s="63" t="e">
        <f t="shared" si="41"/>
        <v>#REF!</v>
      </c>
      <c r="T104" s="63"/>
      <c r="U104" s="63">
        <f t="shared" si="42"/>
        <v>-1094.7053023344868</v>
      </c>
      <c r="V104" s="77">
        <f t="shared" si="46"/>
        <v>-547.20833333333337</v>
      </c>
      <c r="W104" s="83" t="e">
        <f t="shared" si="31"/>
        <v>#REF!</v>
      </c>
      <c r="X104" s="85" t="e">
        <f t="shared" si="43"/>
        <v>#REF!</v>
      </c>
      <c r="Z104" s="92">
        <f t="shared" si="44"/>
        <v>262660</v>
      </c>
      <c r="AA104" s="5">
        <f t="shared" si="32"/>
        <v>0</v>
      </c>
      <c r="AB104" s="92">
        <f t="shared" si="33"/>
        <v>262660</v>
      </c>
    </row>
    <row r="105" spans="1:28" ht="14.65" thickBot="1" x14ac:dyDescent="0.5">
      <c r="A105" s="6">
        <f t="shared" si="50"/>
        <v>7</v>
      </c>
      <c r="B105" s="7" t="s">
        <v>32</v>
      </c>
      <c r="C105" s="19">
        <f>+C33</f>
        <v>0.03</v>
      </c>
      <c r="D105" s="174" t="e">
        <v>#REF!</v>
      </c>
      <c r="E105" s="25">
        <v>0</v>
      </c>
      <c r="F105" s="64" t="e">
        <f t="shared" si="49"/>
        <v>#REF!</v>
      </c>
      <c r="G105" s="66" t="e">
        <f>D105</f>
        <v>#REF!</v>
      </c>
      <c r="H105" s="11"/>
      <c r="I105" s="14">
        <f t="shared" si="35"/>
        <v>27</v>
      </c>
      <c r="J105" s="63" t="e">
        <f t="shared" si="48"/>
        <v>#REF!</v>
      </c>
      <c r="K105" s="63" t="e">
        <f t="shared" si="29"/>
        <v>#REF!</v>
      </c>
      <c r="L105" s="63" t="e">
        <f t="shared" si="37"/>
        <v>#REF!</v>
      </c>
      <c r="M105" s="65" t="e">
        <f t="shared" si="27"/>
        <v>#REF!</v>
      </c>
      <c r="O105" s="14">
        <f t="shared" si="38"/>
        <v>27</v>
      </c>
      <c r="P105" s="54">
        <f t="shared" si="39"/>
        <v>13939.25</v>
      </c>
      <c r="Q105" s="63">
        <f t="shared" si="40"/>
        <v>21894.106046689736</v>
      </c>
      <c r="R105" s="63" t="e">
        <f t="shared" si="45"/>
        <v>#REF!</v>
      </c>
      <c r="S105" s="63" t="e">
        <f t="shared" si="41"/>
        <v>#REF!</v>
      </c>
      <c r="T105" s="63"/>
      <c r="U105" s="63">
        <f t="shared" si="42"/>
        <v>-1094.7053023344868</v>
      </c>
      <c r="V105" s="77">
        <f t="shared" si="46"/>
        <v>-531.39583333333337</v>
      </c>
      <c r="W105" s="83" t="e">
        <f t="shared" si="31"/>
        <v>#REF!</v>
      </c>
      <c r="X105" s="85" t="e">
        <f t="shared" si="43"/>
        <v>#REF!</v>
      </c>
      <c r="Z105" s="92">
        <f t="shared" si="44"/>
        <v>255070</v>
      </c>
      <c r="AA105" s="5">
        <f t="shared" si="32"/>
        <v>0</v>
      </c>
      <c r="AB105" s="92">
        <f t="shared" si="33"/>
        <v>255070</v>
      </c>
    </row>
    <row r="106" spans="1:28" ht="14.65" thickBot="1" x14ac:dyDescent="0.5">
      <c r="A106" s="33">
        <f t="shared" si="50"/>
        <v>8</v>
      </c>
      <c r="B106" s="30" t="s">
        <v>8</v>
      </c>
      <c r="C106" s="45"/>
      <c r="D106" s="46"/>
      <c r="E106" s="47"/>
      <c r="F106" s="67" t="e">
        <f>SUM(F99:F105)</f>
        <v>#REF!</v>
      </c>
      <c r="G106" s="68" t="e">
        <f>SUM(G99:G105)</f>
        <v>#REF!</v>
      </c>
      <c r="H106" s="11"/>
      <c r="I106" s="14">
        <f t="shared" si="35"/>
        <v>28</v>
      </c>
      <c r="J106" s="63" t="e">
        <f t="shared" si="48"/>
        <v>#REF!</v>
      </c>
      <c r="K106" s="63" t="e">
        <f t="shared" si="29"/>
        <v>#REF!</v>
      </c>
      <c r="L106" s="63" t="e">
        <f t="shared" si="37"/>
        <v>#REF!</v>
      </c>
      <c r="M106" s="65" t="e">
        <f t="shared" si="27"/>
        <v>#REF!</v>
      </c>
      <c r="O106" s="14">
        <f t="shared" si="38"/>
        <v>28</v>
      </c>
      <c r="P106" s="54">
        <f t="shared" si="39"/>
        <v>14459.375</v>
      </c>
      <c r="Q106" s="63">
        <f t="shared" si="40"/>
        <v>21894.106046689736</v>
      </c>
      <c r="R106" s="63" t="e">
        <f t="shared" si="45"/>
        <v>#REF!</v>
      </c>
      <c r="S106" s="63" t="e">
        <f t="shared" si="41"/>
        <v>#REF!</v>
      </c>
      <c r="T106" s="63"/>
      <c r="U106" s="63">
        <f t="shared" si="42"/>
        <v>-1094.7053023344868</v>
      </c>
      <c r="V106" s="77">
        <f t="shared" si="46"/>
        <v>-515.58333333333337</v>
      </c>
      <c r="W106" s="83" t="e">
        <f t="shared" si="31"/>
        <v>#REF!</v>
      </c>
      <c r="X106" s="85" t="e">
        <f t="shared" si="43"/>
        <v>#REF!</v>
      </c>
      <c r="Z106" s="92">
        <f t="shared" si="44"/>
        <v>247480</v>
      </c>
      <c r="AA106" s="5">
        <f t="shared" si="32"/>
        <v>0</v>
      </c>
      <c r="AB106" s="92">
        <f t="shared" si="33"/>
        <v>247480</v>
      </c>
    </row>
    <row r="107" spans="1:28" ht="14.65" thickBot="1" x14ac:dyDescent="0.5">
      <c r="A107" s="31">
        <f>A106+1</f>
        <v>9</v>
      </c>
      <c r="B107" s="32" t="s">
        <v>7</v>
      </c>
      <c r="C107" s="42">
        <f>+C35</f>
        <v>0.05</v>
      </c>
      <c r="D107" s="22"/>
      <c r="E107" s="34"/>
      <c r="F107" s="69" t="e">
        <f>F108-F106</f>
        <v>#REF!</v>
      </c>
      <c r="G107" s="70" t="e">
        <f>G108-G106</f>
        <v>#REF!</v>
      </c>
      <c r="H107" s="11"/>
      <c r="I107" s="14">
        <f t="shared" si="35"/>
        <v>29</v>
      </c>
      <c r="J107" s="63" t="e">
        <f t="shared" si="48"/>
        <v>#REF!</v>
      </c>
      <c r="K107" s="63" t="e">
        <f t="shared" si="29"/>
        <v>#REF!</v>
      </c>
      <c r="L107" s="63" t="e">
        <f t="shared" si="37"/>
        <v>#REF!</v>
      </c>
      <c r="M107" s="65" t="e">
        <f t="shared" si="27"/>
        <v>#REF!</v>
      </c>
      <c r="O107" s="14">
        <f t="shared" si="38"/>
        <v>29</v>
      </c>
      <c r="P107" s="54">
        <f t="shared" si="39"/>
        <v>14979.5</v>
      </c>
      <c r="Q107" s="63">
        <f t="shared" si="40"/>
        <v>21894.106046689736</v>
      </c>
      <c r="R107" s="63" t="e">
        <f t="shared" si="45"/>
        <v>#REF!</v>
      </c>
      <c r="S107" s="63" t="e">
        <f t="shared" si="41"/>
        <v>#REF!</v>
      </c>
      <c r="T107" s="63"/>
      <c r="U107" s="63">
        <f t="shared" si="42"/>
        <v>-1094.7053023344868</v>
      </c>
      <c r="V107" s="77">
        <f t="shared" si="46"/>
        <v>-499.77083333333331</v>
      </c>
      <c r="W107" s="83" t="e">
        <f t="shared" si="31"/>
        <v>#REF!</v>
      </c>
      <c r="X107" s="85" t="e">
        <f t="shared" si="43"/>
        <v>#REF!</v>
      </c>
      <c r="Z107" s="92">
        <f t="shared" si="44"/>
        <v>239890</v>
      </c>
      <c r="AA107" s="5">
        <f t="shared" si="32"/>
        <v>0</v>
      </c>
      <c r="AB107" s="92">
        <f t="shared" si="33"/>
        <v>239890</v>
      </c>
    </row>
    <row r="108" spans="1:28" ht="14.65" thickBot="1" x14ac:dyDescent="0.5">
      <c r="A108" s="37">
        <f>A107+1</f>
        <v>10</v>
      </c>
      <c r="B108" s="38" t="s">
        <v>28</v>
      </c>
      <c r="C108" s="39"/>
      <c r="D108" s="40"/>
      <c r="E108" s="41"/>
      <c r="F108" s="71" t="e">
        <f>F106/(100%-C107)</f>
        <v>#REF!</v>
      </c>
      <c r="G108" s="72" t="e">
        <f>G106/(100%-C107)</f>
        <v>#REF!</v>
      </c>
      <c r="H108" s="11"/>
      <c r="I108" s="14">
        <f t="shared" si="35"/>
        <v>30</v>
      </c>
      <c r="J108" s="63" t="e">
        <f t="shared" si="48"/>
        <v>#REF!</v>
      </c>
      <c r="K108" s="63" t="e">
        <f t="shared" si="29"/>
        <v>#REF!</v>
      </c>
      <c r="L108" s="63" t="e">
        <f t="shared" si="37"/>
        <v>#REF!</v>
      </c>
      <c r="M108" s="65" t="e">
        <f t="shared" si="27"/>
        <v>#REF!</v>
      </c>
      <c r="O108" s="14">
        <f t="shared" si="38"/>
        <v>30</v>
      </c>
      <c r="P108" s="54">
        <f t="shared" si="39"/>
        <v>15499.625</v>
      </c>
      <c r="Q108" s="63">
        <f t="shared" si="40"/>
        <v>21894.106046689736</v>
      </c>
      <c r="R108" s="63" t="e">
        <f t="shared" si="45"/>
        <v>#REF!</v>
      </c>
      <c r="S108" s="63" t="e">
        <f t="shared" si="41"/>
        <v>#REF!</v>
      </c>
      <c r="T108" s="63" t="e">
        <f>-T128*0.5</f>
        <v>#REF!</v>
      </c>
      <c r="U108" s="63">
        <f t="shared" si="42"/>
        <v>-1094.7053023344868</v>
      </c>
      <c r="V108" s="77">
        <f t="shared" si="46"/>
        <v>-483.95833333333331</v>
      </c>
      <c r="W108" s="83" t="e">
        <f t="shared" si="31"/>
        <v>#REF!</v>
      </c>
      <c r="X108" s="85" t="e">
        <f t="shared" si="43"/>
        <v>#REF!</v>
      </c>
      <c r="Z108" s="92">
        <f t="shared" si="44"/>
        <v>232300</v>
      </c>
      <c r="AA108" s="5">
        <f t="shared" si="32"/>
        <v>0</v>
      </c>
      <c r="AB108" s="92">
        <f t="shared" si="33"/>
        <v>232300</v>
      </c>
    </row>
    <row r="109" spans="1:28" x14ac:dyDescent="0.45">
      <c r="C109" s="11"/>
      <c r="D109" s="11"/>
      <c r="E109" s="11"/>
      <c r="F109" s="11"/>
      <c r="G109" s="11"/>
      <c r="H109" s="11"/>
      <c r="I109" s="14">
        <f t="shared" si="35"/>
        <v>31</v>
      </c>
      <c r="J109" s="63" t="e">
        <f t="shared" si="48"/>
        <v>#REF!</v>
      </c>
      <c r="K109" s="63" t="e">
        <f t="shared" si="29"/>
        <v>#REF!</v>
      </c>
      <c r="L109" s="63" t="e">
        <f t="shared" si="37"/>
        <v>#REF!</v>
      </c>
      <c r="M109" s="65" t="e">
        <f t="shared" si="27"/>
        <v>#REF!</v>
      </c>
      <c r="O109" s="14">
        <f t="shared" si="38"/>
        <v>31</v>
      </c>
      <c r="P109" s="54">
        <f t="shared" si="39"/>
        <v>16019.75</v>
      </c>
      <c r="Q109" s="63">
        <f t="shared" si="40"/>
        <v>21894.106046689736</v>
      </c>
      <c r="R109" s="63" t="e">
        <f t="shared" si="45"/>
        <v>#REF!</v>
      </c>
      <c r="S109" s="63" t="e">
        <f t="shared" si="41"/>
        <v>#REF!</v>
      </c>
      <c r="T109" s="63"/>
      <c r="U109" s="63">
        <f t="shared" si="42"/>
        <v>-1094.7053023344868</v>
      </c>
      <c r="V109" s="77">
        <f t="shared" si="46"/>
        <v>-468.14583333333331</v>
      </c>
      <c r="W109" s="83" t="e">
        <f t="shared" si="31"/>
        <v>#REF!</v>
      </c>
      <c r="X109" s="85" t="e">
        <f t="shared" si="43"/>
        <v>#REF!</v>
      </c>
      <c r="Z109" s="92">
        <f t="shared" si="44"/>
        <v>224710</v>
      </c>
      <c r="AA109" s="5">
        <f t="shared" si="32"/>
        <v>0</v>
      </c>
      <c r="AB109" s="92">
        <f t="shared" si="33"/>
        <v>224710</v>
      </c>
    </row>
    <row r="110" spans="1:28" x14ac:dyDescent="0.45">
      <c r="C110" s="11"/>
      <c r="D110" s="11"/>
      <c r="E110" s="11"/>
      <c r="F110" s="11"/>
      <c r="G110" s="11"/>
      <c r="H110" s="11"/>
      <c r="I110" s="14">
        <f t="shared" si="35"/>
        <v>32</v>
      </c>
      <c r="J110" s="63" t="e">
        <f t="shared" si="48"/>
        <v>#REF!</v>
      </c>
      <c r="K110" s="63" t="e">
        <f t="shared" si="29"/>
        <v>#REF!</v>
      </c>
      <c r="L110" s="63" t="e">
        <f t="shared" si="37"/>
        <v>#REF!</v>
      </c>
      <c r="M110" s="65" t="e">
        <f t="shared" si="27"/>
        <v>#REF!</v>
      </c>
      <c r="O110" s="14">
        <f t="shared" si="38"/>
        <v>32</v>
      </c>
      <c r="P110" s="54">
        <f t="shared" si="39"/>
        <v>16539.875</v>
      </c>
      <c r="Q110" s="63">
        <f t="shared" si="40"/>
        <v>21894.106046689736</v>
      </c>
      <c r="R110" s="63" t="e">
        <f t="shared" si="45"/>
        <v>#REF!</v>
      </c>
      <c r="S110" s="63" t="e">
        <f t="shared" si="41"/>
        <v>#REF!</v>
      </c>
      <c r="T110" s="63"/>
      <c r="U110" s="63">
        <f t="shared" si="42"/>
        <v>-1094.7053023344868</v>
      </c>
      <c r="V110" s="77">
        <f t="shared" si="46"/>
        <v>-452.33333333333331</v>
      </c>
      <c r="W110" s="83" t="e">
        <f t="shared" si="31"/>
        <v>#REF!</v>
      </c>
      <c r="X110" s="85" t="e">
        <f t="shared" si="43"/>
        <v>#REF!</v>
      </c>
      <c r="Z110" s="92">
        <f t="shared" si="44"/>
        <v>217120</v>
      </c>
      <c r="AA110" s="5">
        <f t="shared" si="32"/>
        <v>0</v>
      </c>
      <c r="AB110" s="92">
        <f t="shared" si="33"/>
        <v>217120</v>
      </c>
    </row>
    <row r="111" spans="1:28" x14ac:dyDescent="0.45">
      <c r="C111" s="11"/>
      <c r="D111" s="11"/>
      <c r="E111" s="11"/>
      <c r="F111" s="11"/>
      <c r="G111" s="11"/>
      <c r="H111" s="11"/>
      <c r="I111" s="14">
        <f t="shared" si="35"/>
        <v>33</v>
      </c>
      <c r="J111" s="63" t="e">
        <f t="shared" si="48"/>
        <v>#REF!</v>
      </c>
      <c r="K111" s="63" t="e">
        <f t="shared" si="29"/>
        <v>#REF!</v>
      </c>
      <c r="L111" s="63" t="e">
        <f t="shared" si="37"/>
        <v>#REF!</v>
      </c>
      <c r="M111" s="65" t="e">
        <f t="shared" si="27"/>
        <v>#REF!</v>
      </c>
      <c r="O111" s="14">
        <f t="shared" si="38"/>
        <v>33</v>
      </c>
      <c r="P111" s="54">
        <f t="shared" si="39"/>
        <v>17060</v>
      </c>
      <c r="Q111" s="63">
        <f t="shared" si="40"/>
        <v>21894.106046689736</v>
      </c>
      <c r="R111" s="63" t="e">
        <f t="shared" si="45"/>
        <v>#REF!</v>
      </c>
      <c r="S111" s="63" t="e">
        <f t="shared" si="41"/>
        <v>#REF!</v>
      </c>
      <c r="T111" s="63"/>
      <c r="U111" s="63">
        <f t="shared" si="42"/>
        <v>-1094.7053023344868</v>
      </c>
      <c r="V111" s="77">
        <f t="shared" si="46"/>
        <v>-436.52083333333331</v>
      </c>
      <c r="W111" s="83" t="e">
        <f t="shared" si="31"/>
        <v>#REF!</v>
      </c>
      <c r="X111" s="85" t="e">
        <f t="shared" si="43"/>
        <v>#REF!</v>
      </c>
      <c r="Z111" s="92">
        <f t="shared" si="44"/>
        <v>209530</v>
      </c>
      <c r="AA111" s="5">
        <f t="shared" si="32"/>
        <v>0</v>
      </c>
      <c r="AB111" s="92">
        <f t="shared" si="33"/>
        <v>209530</v>
      </c>
    </row>
    <row r="112" spans="1:28" ht="14.65" thickBot="1" x14ac:dyDescent="0.5">
      <c r="C112" s="11"/>
      <c r="D112" s="11"/>
      <c r="E112" s="11"/>
      <c r="F112" s="11"/>
      <c r="G112" s="11"/>
      <c r="H112" s="11"/>
      <c r="I112" s="14">
        <f t="shared" si="35"/>
        <v>34</v>
      </c>
      <c r="J112" s="63" t="e">
        <f t="shared" si="48"/>
        <v>#REF!</v>
      </c>
      <c r="K112" s="63" t="e">
        <f t="shared" si="29"/>
        <v>#REF!</v>
      </c>
      <c r="L112" s="63" t="e">
        <f t="shared" si="37"/>
        <v>#REF!</v>
      </c>
      <c r="M112" s="65" t="e">
        <f t="shared" si="27"/>
        <v>#REF!</v>
      </c>
      <c r="O112" s="14">
        <f t="shared" si="38"/>
        <v>34</v>
      </c>
      <c r="P112" s="54">
        <f t="shared" si="39"/>
        <v>17580.125</v>
      </c>
      <c r="Q112" s="63">
        <f t="shared" si="40"/>
        <v>21894.106046689736</v>
      </c>
      <c r="R112" s="63" t="e">
        <f t="shared" si="45"/>
        <v>#REF!</v>
      </c>
      <c r="S112" s="63" t="e">
        <f t="shared" si="41"/>
        <v>#REF!</v>
      </c>
      <c r="T112" s="63"/>
      <c r="U112" s="63">
        <f t="shared" si="42"/>
        <v>-1094.7053023344868</v>
      </c>
      <c r="V112" s="77">
        <f t="shared" si="46"/>
        <v>-420.70833333333331</v>
      </c>
      <c r="W112" s="83" t="e">
        <f t="shared" si="31"/>
        <v>#REF!</v>
      </c>
      <c r="X112" s="85" t="e">
        <f t="shared" si="43"/>
        <v>#REF!</v>
      </c>
      <c r="Z112" s="92">
        <f t="shared" si="44"/>
        <v>201940</v>
      </c>
      <c r="AA112" s="5">
        <f t="shared" si="32"/>
        <v>0</v>
      </c>
      <c r="AB112" s="92">
        <f t="shared" si="33"/>
        <v>201940</v>
      </c>
    </row>
    <row r="113" spans="1:28" ht="31.15" thickBot="1" x14ac:dyDescent="0.5">
      <c r="A113" s="667" t="s">
        <v>29</v>
      </c>
      <c r="B113" s="668"/>
      <c r="C113" s="668"/>
      <c r="D113" s="668"/>
      <c r="E113" s="668"/>
      <c r="F113" s="668"/>
      <c r="G113" s="669"/>
      <c r="H113" s="11"/>
      <c r="I113" s="14">
        <f t="shared" si="35"/>
        <v>35</v>
      </c>
      <c r="J113" s="63" t="e">
        <f t="shared" si="48"/>
        <v>#REF!</v>
      </c>
      <c r="K113" s="63" t="e">
        <f t="shared" si="29"/>
        <v>#REF!</v>
      </c>
      <c r="L113" s="63" t="e">
        <f t="shared" si="37"/>
        <v>#REF!</v>
      </c>
      <c r="M113" s="65" t="e">
        <f t="shared" si="27"/>
        <v>#REF!</v>
      </c>
      <c r="O113" s="14">
        <f t="shared" si="38"/>
        <v>35</v>
      </c>
      <c r="P113" s="54">
        <f t="shared" si="39"/>
        <v>18100.25</v>
      </c>
      <c r="Q113" s="63">
        <f t="shared" si="40"/>
        <v>21894.106046689736</v>
      </c>
      <c r="R113" s="63" t="e">
        <f t="shared" si="45"/>
        <v>#REF!</v>
      </c>
      <c r="S113" s="63" t="e">
        <f t="shared" si="41"/>
        <v>#REF!</v>
      </c>
      <c r="T113" s="63"/>
      <c r="U113" s="63">
        <f t="shared" si="42"/>
        <v>-1094.7053023344868</v>
      </c>
      <c r="V113" s="77">
        <f t="shared" si="46"/>
        <v>-404.89583333333331</v>
      </c>
      <c r="W113" s="83" t="e">
        <f t="shared" si="31"/>
        <v>#REF!</v>
      </c>
      <c r="X113" s="85" t="e">
        <f t="shared" si="43"/>
        <v>#REF!</v>
      </c>
      <c r="Z113" s="92">
        <f t="shared" si="44"/>
        <v>194350</v>
      </c>
      <c r="AA113" s="5">
        <f t="shared" si="32"/>
        <v>0</v>
      </c>
      <c r="AB113" s="92">
        <f t="shared" si="33"/>
        <v>194350</v>
      </c>
    </row>
    <row r="114" spans="1:28" ht="18" x14ac:dyDescent="0.45">
      <c r="A114" s="35">
        <v>1</v>
      </c>
      <c r="B114" s="670" t="s">
        <v>30</v>
      </c>
      <c r="C114" s="671"/>
      <c r="D114" s="671"/>
      <c r="E114" s="672"/>
      <c r="F114" s="73" t="e">
        <f>F108/C84/C86</f>
        <v>#REF!</v>
      </c>
      <c r="G114" s="74" t="e">
        <f>G108/C85/C86</f>
        <v>#REF!</v>
      </c>
      <c r="H114" s="11"/>
      <c r="I114" s="20">
        <f t="shared" si="35"/>
        <v>36</v>
      </c>
      <c r="J114" s="79" t="e">
        <f t="shared" si="48"/>
        <v>#REF!</v>
      </c>
      <c r="K114" s="79" t="e">
        <f t="shared" si="29"/>
        <v>#REF!</v>
      </c>
      <c r="L114" s="79" t="e">
        <f>L113</f>
        <v>#REF!</v>
      </c>
      <c r="M114" s="80" t="e">
        <f t="shared" si="27"/>
        <v>#REF!</v>
      </c>
      <c r="O114" s="20">
        <f t="shared" si="38"/>
        <v>36</v>
      </c>
      <c r="P114" s="54">
        <f t="shared" si="39"/>
        <v>18620.375</v>
      </c>
      <c r="Q114" s="63">
        <f t="shared" si="40"/>
        <v>21894.106046689736</v>
      </c>
      <c r="R114" s="63" t="e">
        <f t="shared" si="45"/>
        <v>#REF!</v>
      </c>
      <c r="S114" s="63" t="e">
        <f t="shared" si="41"/>
        <v>#REF!</v>
      </c>
      <c r="T114" s="63"/>
      <c r="U114" s="63">
        <f t="shared" si="42"/>
        <v>-1094.7053023344868</v>
      </c>
      <c r="V114" s="77">
        <f t="shared" si="46"/>
        <v>-389.08333333333331</v>
      </c>
      <c r="W114" s="83" t="e">
        <f t="shared" si="31"/>
        <v>#REF!</v>
      </c>
      <c r="X114" s="85" t="e">
        <f t="shared" si="43"/>
        <v>#REF!</v>
      </c>
      <c r="Z114" s="92">
        <f t="shared" si="44"/>
        <v>186760</v>
      </c>
      <c r="AA114" s="5">
        <f t="shared" si="32"/>
        <v>0</v>
      </c>
      <c r="AB114" s="92">
        <f t="shared" si="33"/>
        <v>186760</v>
      </c>
    </row>
    <row r="115" spans="1:28" ht="18.399999999999999" thickBot="1" x14ac:dyDescent="0.5">
      <c r="A115" s="36">
        <f>A114+1</f>
        <v>2</v>
      </c>
      <c r="B115" s="673" t="s">
        <v>31</v>
      </c>
      <c r="C115" s="674"/>
      <c r="D115" s="674"/>
      <c r="E115" s="675"/>
      <c r="F115" s="75"/>
      <c r="G115" s="76" t="e">
        <f>(G108+F108)/C85/C86</f>
        <v>#REF!</v>
      </c>
      <c r="H115" s="11"/>
      <c r="I115" s="20">
        <f t="shared" si="35"/>
        <v>37</v>
      </c>
      <c r="J115" s="79" t="e">
        <f t="shared" si="48"/>
        <v>#REF!</v>
      </c>
      <c r="K115" s="79" t="e">
        <f t="shared" si="29"/>
        <v>#REF!</v>
      </c>
      <c r="L115" s="79" t="e">
        <f t="shared" ref="L115:L125" si="51">L114</f>
        <v>#REF!</v>
      </c>
      <c r="M115" s="80" t="e">
        <f t="shared" si="27"/>
        <v>#REF!</v>
      </c>
      <c r="O115" s="20">
        <f t="shared" si="38"/>
        <v>37</v>
      </c>
      <c r="P115" s="54">
        <f t="shared" si="39"/>
        <v>19140.5</v>
      </c>
      <c r="Q115" s="63">
        <f t="shared" si="40"/>
        <v>21894.106046689736</v>
      </c>
      <c r="R115" s="63" t="e">
        <f t="shared" si="45"/>
        <v>#REF!</v>
      </c>
      <c r="S115" s="63" t="e">
        <f t="shared" si="41"/>
        <v>#REF!</v>
      </c>
      <c r="T115" s="63"/>
      <c r="U115" s="63">
        <f t="shared" si="42"/>
        <v>-1094.7053023344868</v>
      </c>
      <c r="V115" s="77">
        <f t="shared" si="46"/>
        <v>-373.27083333333331</v>
      </c>
      <c r="W115" s="83" t="e">
        <f t="shared" si="31"/>
        <v>#REF!</v>
      </c>
      <c r="X115" s="85" t="e">
        <f t="shared" si="43"/>
        <v>#REF!</v>
      </c>
      <c r="Z115" s="92">
        <f t="shared" si="44"/>
        <v>179170</v>
      </c>
      <c r="AA115" s="5">
        <f t="shared" si="32"/>
        <v>0</v>
      </c>
      <c r="AB115" s="92">
        <f t="shared" si="33"/>
        <v>179170</v>
      </c>
    </row>
    <row r="116" spans="1:28" x14ac:dyDescent="0.45">
      <c r="I116" s="20">
        <f t="shared" si="35"/>
        <v>38</v>
      </c>
      <c r="J116" s="79" t="e">
        <f t="shared" si="48"/>
        <v>#REF!</v>
      </c>
      <c r="K116" s="79" t="e">
        <f t="shared" si="29"/>
        <v>#REF!</v>
      </c>
      <c r="L116" s="79" t="e">
        <f t="shared" si="51"/>
        <v>#REF!</v>
      </c>
      <c r="M116" s="80" t="e">
        <f t="shared" si="27"/>
        <v>#REF!</v>
      </c>
      <c r="O116" s="20">
        <f t="shared" si="38"/>
        <v>38</v>
      </c>
      <c r="P116" s="54">
        <f t="shared" si="39"/>
        <v>19660.625</v>
      </c>
      <c r="Q116" s="63">
        <f t="shared" si="40"/>
        <v>21894.106046689736</v>
      </c>
      <c r="R116" s="63" t="e">
        <f t="shared" si="45"/>
        <v>#REF!</v>
      </c>
      <c r="S116" s="63" t="e">
        <f t="shared" si="41"/>
        <v>#REF!</v>
      </c>
      <c r="T116" s="63"/>
      <c r="U116" s="63">
        <f t="shared" si="42"/>
        <v>-1094.7053023344868</v>
      </c>
      <c r="V116" s="77">
        <f t="shared" si="46"/>
        <v>-357.45833333333331</v>
      </c>
      <c r="W116" s="83" t="e">
        <f t="shared" si="31"/>
        <v>#REF!</v>
      </c>
      <c r="X116" s="85" t="e">
        <f t="shared" si="43"/>
        <v>#REF!</v>
      </c>
      <c r="Z116" s="92">
        <f t="shared" si="44"/>
        <v>171580</v>
      </c>
      <c r="AA116" s="5">
        <f t="shared" si="32"/>
        <v>0</v>
      </c>
      <c r="AB116" s="92">
        <f t="shared" si="33"/>
        <v>171580</v>
      </c>
    </row>
    <row r="117" spans="1:28" x14ac:dyDescent="0.45">
      <c r="I117" s="20">
        <f t="shared" si="35"/>
        <v>39</v>
      </c>
      <c r="J117" s="79" t="e">
        <f t="shared" si="48"/>
        <v>#REF!</v>
      </c>
      <c r="K117" s="79" t="e">
        <f t="shared" si="29"/>
        <v>#REF!</v>
      </c>
      <c r="L117" s="79" t="e">
        <f t="shared" si="51"/>
        <v>#REF!</v>
      </c>
      <c r="M117" s="80" t="e">
        <f t="shared" si="27"/>
        <v>#REF!</v>
      </c>
      <c r="O117" s="20">
        <f t="shared" si="38"/>
        <v>39</v>
      </c>
      <c r="P117" s="54">
        <f t="shared" si="39"/>
        <v>20180.75</v>
      </c>
      <c r="Q117" s="63">
        <f t="shared" si="40"/>
        <v>21894.106046689736</v>
      </c>
      <c r="R117" s="63" t="e">
        <f t="shared" si="45"/>
        <v>#REF!</v>
      </c>
      <c r="S117" s="63" t="e">
        <f t="shared" si="41"/>
        <v>#REF!</v>
      </c>
      <c r="T117" s="63"/>
      <c r="U117" s="63">
        <f t="shared" si="42"/>
        <v>-1094.7053023344868</v>
      </c>
      <c r="V117" s="77">
        <f t="shared" si="46"/>
        <v>-341.64583333333331</v>
      </c>
      <c r="W117" s="83" t="e">
        <f t="shared" si="31"/>
        <v>#REF!</v>
      </c>
      <c r="X117" s="85" t="e">
        <f t="shared" si="43"/>
        <v>#REF!</v>
      </c>
      <c r="Z117" s="92">
        <f t="shared" si="44"/>
        <v>163990</v>
      </c>
      <c r="AA117" s="5">
        <f t="shared" si="32"/>
        <v>0</v>
      </c>
      <c r="AB117" s="92">
        <f t="shared" si="33"/>
        <v>163990</v>
      </c>
    </row>
    <row r="118" spans="1:28" x14ac:dyDescent="0.45">
      <c r="I118" s="20">
        <f t="shared" si="35"/>
        <v>40</v>
      </c>
      <c r="J118" s="79" t="e">
        <f t="shared" si="48"/>
        <v>#REF!</v>
      </c>
      <c r="K118" s="79" t="e">
        <f t="shared" si="29"/>
        <v>#REF!</v>
      </c>
      <c r="L118" s="79" t="e">
        <f t="shared" si="51"/>
        <v>#REF!</v>
      </c>
      <c r="M118" s="80" t="e">
        <f t="shared" si="27"/>
        <v>#REF!</v>
      </c>
      <c r="O118" s="20">
        <f t="shared" si="38"/>
        <v>40</v>
      </c>
      <c r="P118" s="54">
        <f t="shared" si="39"/>
        <v>20700.875</v>
      </c>
      <c r="Q118" s="63">
        <f t="shared" si="40"/>
        <v>21894.106046689736</v>
      </c>
      <c r="R118" s="63" t="e">
        <f t="shared" si="45"/>
        <v>#REF!</v>
      </c>
      <c r="S118" s="63" t="e">
        <f t="shared" si="41"/>
        <v>#REF!</v>
      </c>
      <c r="T118" s="63"/>
      <c r="U118" s="63">
        <f t="shared" si="42"/>
        <v>-1094.7053023344868</v>
      </c>
      <c r="V118" s="77">
        <f t="shared" si="46"/>
        <v>-325.83333333333331</v>
      </c>
      <c r="W118" s="83" t="e">
        <f t="shared" si="31"/>
        <v>#REF!</v>
      </c>
      <c r="X118" s="85" t="e">
        <f t="shared" si="43"/>
        <v>#REF!</v>
      </c>
      <c r="Z118" s="92">
        <f t="shared" si="44"/>
        <v>156400</v>
      </c>
      <c r="AA118" s="5">
        <f t="shared" si="32"/>
        <v>0</v>
      </c>
      <c r="AB118" s="92">
        <f t="shared" si="33"/>
        <v>156400</v>
      </c>
    </row>
    <row r="119" spans="1:28" x14ac:dyDescent="0.45">
      <c r="I119" s="20">
        <f t="shared" si="35"/>
        <v>41</v>
      </c>
      <c r="J119" s="79" t="e">
        <f t="shared" si="48"/>
        <v>#REF!</v>
      </c>
      <c r="K119" s="79" t="e">
        <f t="shared" si="29"/>
        <v>#REF!</v>
      </c>
      <c r="L119" s="79" t="e">
        <f t="shared" si="51"/>
        <v>#REF!</v>
      </c>
      <c r="M119" s="80" t="e">
        <f t="shared" si="27"/>
        <v>#REF!</v>
      </c>
      <c r="O119" s="20">
        <f t="shared" si="38"/>
        <v>41</v>
      </c>
      <c r="P119" s="54">
        <f t="shared" si="39"/>
        <v>21221</v>
      </c>
      <c r="Q119" s="63">
        <f t="shared" si="40"/>
        <v>21894.106046689736</v>
      </c>
      <c r="R119" s="63" t="e">
        <f t="shared" si="45"/>
        <v>#REF!</v>
      </c>
      <c r="S119" s="63" t="e">
        <f t="shared" si="41"/>
        <v>#REF!</v>
      </c>
      <c r="T119" s="63"/>
      <c r="U119" s="63">
        <f t="shared" si="42"/>
        <v>-1094.7053023344868</v>
      </c>
      <c r="V119" s="77">
        <f t="shared" si="46"/>
        <v>-310.02083333333331</v>
      </c>
      <c r="W119" s="83" t="e">
        <f t="shared" si="31"/>
        <v>#REF!</v>
      </c>
      <c r="X119" s="85" t="e">
        <f t="shared" si="43"/>
        <v>#REF!</v>
      </c>
      <c r="Z119" s="92">
        <f t="shared" si="44"/>
        <v>148810</v>
      </c>
      <c r="AA119" s="5">
        <f t="shared" si="32"/>
        <v>0</v>
      </c>
      <c r="AB119" s="92">
        <f t="shared" si="33"/>
        <v>148810</v>
      </c>
    </row>
    <row r="120" spans="1:28" x14ac:dyDescent="0.45">
      <c r="I120" s="20">
        <f t="shared" si="35"/>
        <v>42</v>
      </c>
      <c r="J120" s="79" t="e">
        <f t="shared" si="48"/>
        <v>#REF!</v>
      </c>
      <c r="K120" s="79" t="e">
        <f t="shared" si="29"/>
        <v>#REF!</v>
      </c>
      <c r="L120" s="79" t="e">
        <f t="shared" si="51"/>
        <v>#REF!</v>
      </c>
      <c r="M120" s="80" t="e">
        <f t="shared" si="27"/>
        <v>#REF!</v>
      </c>
      <c r="O120" s="20">
        <f t="shared" si="38"/>
        <v>42</v>
      </c>
      <c r="P120" s="54">
        <f t="shared" si="39"/>
        <v>21741.125</v>
      </c>
      <c r="Q120" s="63">
        <f t="shared" si="40"/>
        <v>21894.106046689736</v>
      </c>
      <c r="R120" s="63" t="e">
        <f t="shared" si="45"/>
        <v>#REF!</v>
      </c>
      <c r="S120" s="63" t="e">
        <f t="shared" si="41"/>
        <v>#REF!</v>
      </c>
      <c r="T120" s="63"/>
      <c r="U120" s="63">
        <f t="shared" si="42"/>
        <v>-1094.7053023344868</v>
      </c>
      <c r="V120" s="77">
        <f t="shared" si="46"/>
        <v>-294.20833333333331</v>
      </c>
      <c r="W120" s="83" t="e">
        <f t="shared" si="31"/>
        <v>#REF!</v>
      </c>
      <c r="X120" s="85" t="e">
        <f t="shared" si="43"/>
        <v>#REF!</v>
      </c>
      <c r="Z120" s="92">
        <f t="shared" si="44"/>
        <v>141220</v>
      </c>
      <c r="AA120" s="5">
        <f t="shared" si="32"/>
        <v>0</v>
      </c>
      <c r="AB120" s="92">
        <f t="shared" si="33"/>
        <v>141220</v>
      </c>
    </row>
    <row r="121" spans="1:28" x14ac:dyDescent="0.45">
      <c r="I121" s="20">
        <f t="shared" si="35"/>
        <v>43</v>
      </c>
      <c r="J121" s="79" t="e">
        <f t="shared" si="48"/>
        <v>#REF!</v>
      </c>
      <c r="K121" s="79" t="e">
        <f t="shared" si="29"/>
        <v>#REF!</v>
      </c>
      <c r="L121" s="79" t="e">
        <f t="shared" si="51"/>
        <v>#REF!</v>
      </c>
      <c r="M121" s="80" t="e">
        <f t="shared" si="27"/>
        <v>#REF!</v>
      </c>
      <c r="O121" s="20">
        <f t="shared" si="38"/>
        <v>43</v>
      </c>
      <c r="P121" s="54">
        <f t="shared" si="39"/>
        <v>22261.25</v>
      </c>
      <c r="Q121" s="63">
        <f t="shared" si="40"/>
        <v>21894.106046689736</v>
      </c>
      <c r="R121" s="63" t="e">
        <f t="shared" si="45"/>
        <v>#REF!</v>
      </c>
      <c r="S121" s="63" t="e">
        <f t="shared" si="41"/>
        <v>#REF!</v>
      </c>
      <c r="T121" s="63"/>
      <c r="U121" s="63">
        <f t="shared" si="42"/>
        <v>-1094.7053023344868</v>
      </c>
      <c r="V121" s="77">
        <f t="shared" si="46"/>
        <v>-278.39583333333331</v>
      </c>
      <c r="W121" s="83" t="e">
        <f t="shared" si="31"/>
        <v>#REF!</v>
      </c>
      <c r="X121" s="85" t="e">
        <f t="shared" si="43"/>
        <v>#REF!</v>
      </c>
      <c r="Z121" s="92">
        <f t="shared" si="44"/>
        <v>133630</v>
      </c>
      <c r="AA121" s="5">
        <f t="shared" si="32"/>
        <v>0</v>
      </c>
      <c r="AB121" s="92">
        <f t="shared" si="33"/>
        <v>133630</v>
      </c>
    </row>
    <row r="122" spans="1:28" x14ac:dyDescent="0.45">
      <c r="I122" s="20">
        <f t="shared" si="35"/>
        <v>44</v>
      </c>
      <c r="J122" s="79" t="e">
        <f t="shared" si="48"/>
        <v>#REF!</v>
      </c>
      <c r="K122" s="79" t="e">
        <f t="shared" si="29"/>
        <v>#REF!</v>
      </c>
      <c r="L122" s="79" t="e">
        <f t="shared" si="51"/>
        <v>#REF!</v>
      </c>
      <c r="M122" s="80" t="e">
        <f t="shared" si="27"/>
        <v>#REF!</v>
      </c>
      <c r="O122" s="20">
        <f t="shared" si="38"/>
        <v>44</v>
      </c>
      <c r="P122" s="54">
        <f t="shared" si="39"/>
        <v>22781.375</v>
      </c>
      <c r="Q122" s="63">
        <f t="shared" si="40"/>
        <v>21894.106046689736</v>
      </c>
      <c r="R122" s="63" t="e">
        <f t="shared" si="45"/>
        <v>#REF!</v>
      </c>
      <c r="S122" s="63" t="e">
        <f t="shared" si="41"/>
        <v>#REF!</v>
      </c>
      <c r="T122" s="63"/>
      <c r="U122" s="63">
        <f t="shared" si="42"/>
        <v>-1094.7053023344868</v>
      </c>
      <c r="V122" s="77">
        <f t="shared" si="46"/>
        <v>-262.58333333333331</v>
      </c>
      <c r="W122" s="83" t="e">
        <f t="shared" si="31"/>
        <v>#REF!</v>
      </c>
      <c r="X122" s="85" t="e">
        <f t="shared" si="43"/>
        <v>#REF!</v>
      </c>
      <c r="Z122" s="92">
        <f t="shared" si="44"/>
        <v>126040</v>
      </c>
      <c r="AA122" s="5">
        <f t="shared" si="32"/>
        <v>0</v>
      </c>
      <c r="AB122" s="92">
        <f t="shared" si="33"/>
        <v>126040</v>
      </c>
    </row>
    <row r="123" spans="1:28" x14ac:dyDescent="0.45">
      <c r="I123" s="20">
        <f t="shared" si="35"/>
        <v>45</v>
      </c>
      <c r="J123" s="79" t="e">
        <f t="shared" si="48"/>
        <v>#REF!</v>
      </c>
      <c r="K123" s="79" t="e">
        <f t="shared" si="29"/>
        <v>#REF!</v>
      </c>
      <c r="L123" s="79" t="e">
        <f t="shared" si="51"/>
        <v>#REF!</v>
      </c>
      <c r="M123" s="80" t="e">
        <f t="shared" si="27"/>
        <v>#REF!</v>
      </c>
      <c r="O123" s="20">
        <f t="shared" si="38"/>
        <v>45</v>
      </c>
      <c r="P123" s="54">
        <f t="shared" si="39"/>
        <v>23301.5</v>
      </c>
      <c r="Q123" s="63">
        <f t="shared" si="40"/>
        <v>21894.106046689736</v>
      </c>
      <c r="R123" s="63" t="e">
        <f t="shared" si="45"/>
        <v>#REF!</v>
      </c>
      <c r="S123" s="63" t="e">
        <f t="shared" si="41"/>
        <v>#REF!</v>
      </c>
      <c r="T123" s="63"/>
      <c r="U123" s="63">
        <f t="shared" si="42"/>
        <v>-1094.7053023344868</v>
      </c>
      <c r="V123" s="77">
        <f t="shared" si="46"/>
        <v>-246.77083333333334</v>
      </c>
      <c r="W123" s="83" t="e">
        <f t="shared" si="31"/>
        <v>#REF!</v>
      </c>
      <c r="X123" s="85" t="e">
        <f t="shared" si="43"/>
        <v>#REF!</v>
      </c>
      <c r="Z123" s="92">
        <f t="shared" si="44"/>
        <v>118450</v>
      </c>
      <c r="AA123" s="5">
        <f t="shared" si="32"/>
        <v>0</v>
      </c>
      <c r="AB123" s="92">
        <f t="shared" si="33"/>
        <v>118450</v>
      </c>
    </row>
    <row r="124" spans="1:28" x14ac:dyDescent="0.45">
      <c r="I124" s="20">
        <f t="shared" si="35"/>
        <v>46</v>
      </c>
      <c r="J124" s="79" t="e">
        <f t="shared" si="48"/>
        <v>#REF!</v>
      </c>
      <c r="K124" s="79" t="e">
        <f t="shared" si="29"/>
        <v>#REF!</v>
      </c>
      <c r="L124" s="79" t="e">
        <f t="shared" si="51"/>
        <v>#REF!</v>
      </c>
      <c r="M124" s="80" t="e">
        <f t="shared" si="27"/>
        <v>#REF!</v>
      </c>
      <c r="O124" s="20">
        <f t="shared" si="38"/>
        <v>46</v>
      </c>
      <c r="P124" s="54">
        <f t="shared" si="39"/>
        <v>23821.625</v>
      </c>
      <c r="Q124" s="63">
        <f t="shared" si="40"/>
        <v>21894.106046689736</v>
      </c>
      <c r="R124" s="63" t="e">
        <f t="shared" si="45"/>
        <v>#REF!</v>
      </c>
      <c r="S124" s="63" t="e">
        <f t="shared" si="41"/>
        <v>#REF!</v>
      </c>
      <c r="T124" s="63"/>
      <c r="U124" s="63">
        <f t="shared" si="42"/>
        <v>-1094.7053023344868</v>
      </c>
      <c r="V124" s="77">
        <f t="shared" si="46"/>
        <v>-230.95833333333334</v>
      </c>
      <c r="W124" s="83" t="e">
        <f t="shared" si="31"/>
        <v>#REF!</v>
      </c>
      <c r="X124" s="85" t="e">
        <f t="shared" si="43"/>
        <v>#REF!</v>
      </c>
      <c r="Z124" s="92">
        <f t="shared" si="44"/>
        <v>110860</v>
      </c>
      <c r="AA124" s="5">
        <f t="shared" si="32"/>
        <v>0</v>
      </c>
      <c r="AB124" s="92">
        <f t="shared" si="33"/>
        <v>110860</v>
      </c>
    </row>
    <row r="125" spans="1:28" x14ac:dyDescent="0.45">
      <c r="I125" s="20">
        <f t="shared" si="35"/>
        <v>47</v>
      </c>
      <c r="J125" s="79" t="e">
        <f t="shared" si="48"/>
        <v>#REF!</v>
      </c>
      <c r="K125" s="79" t="e">
        <f t="shared" si="29"/>
        <v>#REF!</v>
      </c>
      <c r="L125" s="79" t="e">
        <f t="shared" si="51"/>
        <v>#REF!</v>
      </c>
      <c r="M125" s="80" t="e">
        <f t="shared" si="27"/>
        <v>#REF!</v>
      </c>
      <c r="O125" s="20">
        <f t="shared" si="38"/>
        <v>47</v>
      </c>
      <c r="P125" s="54">
        <f t="shared" si="39"/>
        <v>24341.75</v>
      </c>
      <c r="Q125" s="63">
        <f t="shared" si="40"/>
        <v>21894.106046689736</v>
      </c>
      <c r="R125" s="63" t="e">
        <f t="shared" si="45"/>
        <v>#REF!</v>
      </c>
      <c r="S125" s="63" t="e">
        <f t="shared" si="41"/>
        <v>#REF!</v>
      </c>
      <c r="T125" s="63"/>
      <c r="U125" s="63">
        <f t="shared" si="42"/>
        <v>-1094.7053023344868</v>
      </c>
      <c r="V125" s="77">
        <f t="shared" si="46"/>
        <v>-215.14583333333334</v>
      </c>
      <c r="W125" s="83" t="e">
        <f t="shared" si="31"/>
        <v>#REF!</v>
      </c>
      <c r="X125" s="85" t="e">
        <f t="shared" si="43"/>
        <v>#REF!</v>
      </c>
      <c r="Z125" s="92">
        <f t="shared" si="44"/>
        <v>103270</v>
      </c>
      <c r="AA125" s="5">
        <f t="shared" si="32"/>
        <v>0</v>
      </c>
      <c r="AB125" s="92">
        <f t="shared" si="33"/>
        <v>103270</v>
      </c>
    </row>
    <row r="126" spans="1:28" ht="14.65" thickBot="1" x14ac:dyDescent="0.5">
      <c r="I126" s="20">
        <f t="shared" si="35"/>
        <v>48</v>
      </c>
      <c r="J126" s="79" t="e">
        <f t="shared" si="48"/>
        <v>#REF!</v>
      </c>
      <c r="K126" s="79" t="e">
        <f t="shared" si="29"/>
        <v>#REF!</v>
      </c>
      <c r="L126" s="79" t="e">
        <f>+L129</f>
        <v>#REF!</v>
      </c>
      <c r="M126" s="80" t="e">
        <f t="shared" si="27"/>
        <v>#REF!</v>
      </c>
      <c r="O126" s="20">
        <f t="shared" si="38"/>
        <v>48</v>
      </c>
      <c r="P126" s="54">
        <f t="shared" si="39"/>
        <v>24861.875</v>
      </c>
      <c r="Q126" s="63">
        <f t="shared" si="40"/>
        <v>21894.106046689736</v>
      </c>
      <c r="R126" s="63" t="e">
        <f t="shared" si="45"/>
        <v>#REF!</v>
      </c>
      <c r="S126" s="63" t="e">
        <f t="shared" si="41"/>
        <v>#REF!</v>
      </c>
      <c r="T126" s="63" t="e">
        <f>-T128*0.5</f>
        <v>#REF!</v>
      </c>
      <c r="U126" s="63">
        <f t="shared" si="42"/>
        <v>-1094.7053023344868</v>
      </c>
      <c r="V126" s="77">
        <f t="shared" si="46"/>
        <v>-199.33333333333334</v>
      </c>
      <c r="W126" s="83" t="e">
        <f t="shared" si="31"/>
        <v>#REF!</v>
      </c>
      <c r="X126" s="86" t="e">
        <f t="shared" si="43"/>
        <v>#REF!</v>
      </c>
      <c r="Z126" s="92">
        <f t="shared" si="44"/>
        <v>95680</v>
      </c>
      <c r="AA126" s="5">
        <f t="shared" si="32"/>
        <v>0</v>
      </c>
      <c r="AB126" s="92">
        <f t="shared" si="33"/>
        <v>95680</v>
      </c>
    </row>
    <row r="127" spans="1:28" ht="14.65" thickBot="1" x14ac:dyDescent="0.5">
      <c r="I127" s="21" t="s">
        <v>20</v>
      </c>
      <c r="J127" s="69" t="e">
        <f>C79*C83</f>
        <v>#REF!</v>
      </c>
      <c r="K127" s="69" t="e">
        <f>SUM(K79:K126)</f>
        <v>#REF!</v>
      </c>
      <c r="L127" s="81"/>
      <c r="M127" s="82"/>
      <c r="O127" s="58"/>
      <c r="P127" s="59"/>
      <c r="Q127" s="81"/>
      <c r="R127" s="69" t="e">
        <f>SUM(R79:R126)</f>
        <v>#REF!</v>
      </c>
      <c r="S127" s="87" t="e">
        <f>SUM(S79:S126)</f>
        <v>#REF!</v>
      </c>
      <c r="T127" s="87" t="e">
        <f>SUM(T79:T126)</f>
        <v>#REF!</v>
      </c>
      <c r="U127" s="69">
        <f>SUM(U79:U126)</f>
        <v>-52545.854512055317</v>
      </c>
      <c r="V127" s="69">
        <f>SUM(V79:V126)</f>
        <v>-27404.499999999971</v>
      </c>
      <c r="W127" s="88"/>
      <c r="X127" s="82"/>
    </row>
    <row r="128" spans="1:28" x14ac:dyDescent="0.45">
      <c r="Q128" s="89"/>
      <c r="R128" s="89"/>
      <c r="S128" s="90" t="e">
        <f>D103</f>
        <v>#REF!</v>
      </c>
      <c r="T128" s="60" t="e">
        <f>D104</f>
        <v>#REF!</v>
      </c>
      <c r="U128" s="89"/>
      <c r="V128" s="89"/>
      <c r="W128" s="89"/>
      <c r="X128" s="89"/>
    </row>
    <row r="129" spans="12:24" ht="14.65" thickBot="1" x14ac:dyDescent="0.5">
      <c r="L129" s="129" t="e">
        <f>+PMT(C80/12,C84,(C79),,)</f>
        <v>#REF!</v>
      </c>
      <c r="Q129" s="89"/>
      <c r="R129" s="89"/>
      <c r="S129" s="91" t="e">
        <f>S127+S128</f>
        <v>#REF!</v>
      </c>
      <c r="T129" s="66" t="e">
        <f>T127+T128</f>
        <v>#REF!</v>
      </c>
      <c r="U129" s="89"/>
      <c r="V129" s="89"/>
      <c r="W129" s="89"/>
      <c r="X129" s="89"/>
    </row>
  </sheetData>
  <mergeCells count="21">
    <mergeCell ref="A75:C75"/>
    <mergeCell ref="D75:X75"/>
    <mergeCell ref="A1:X1"/>
    <mergeCell ref="A3:C3"/>
    <mergeCell ref="D3:X3"/>
    <mergeCell ref="A5:C5"/>
    <mergeCell ref="I5:M5"/>
    <mergeCell ref="O5:X5"/>
    <mergeCell ref="A16:E16"/>
    <mergeCell ref="A25:G25"/>
    <mergeCell ref="A41:G41"/>
    <mergeCell ref="B42:E42"/>
    <mergeCell ref="B43:E43"/>
    <mergeCell ref="B114:E114"/>
    <mergeCell ref="B115:E115"/>
    <mergeCell ref="A77:C77"/>
    <mergeCell ref="I77:M77"/>
    <mergeCell ref="O77:X77"/>
    <mergeCell ref="A88:E88"/>
    <mergeCell ref="A97:G97"/>
    <mergeCell ref="A113:G113"/>
  </mergeCells>
  <printOptions horizontalCentered="1"/>
  <pageMargins left="0.70866141732283505" right="0.70866141732283505" top="0.74803149606299202" bottom="0.74803149606299202" header="0.31496062992126" footer="0.31496062992126"/>
  <headerFooter>
    <oddHeader>&amp;R&amp;A</oddHeader>
    <oddFooter>&amp;L&amp;D&amp;C&amp;P&amp;R&amp;A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F10E3-A540-A749-8E93-BAA3E3908574}">
  <sheetPr>
    <tabColor theme="9" tint="-0.249977111117893"/>
    <pageSetUpPr fitToPage="1"/>
  </sheetPr>
  <dimension ref="A1:AE129"/>
  <sheetViews>
    <sheetView topLeftCell="A6" workbookViewId="0">
      <selection activeCell="A2" sqref="A2"/>
    </sheetView>
  </sheetViews>
  <sheetFormatPr defaultColWidth="9.1328125" defaultRowHeight="14.25" x14ac:dyDescent="0.45"/>
  <cols>
    <col min="1" max="1" width="6.265625" style="3" customWidth="1"/>
    <col min="2" max="2" width="18.265625" style="3" bestFit="1" customWidth="1"/>
    <col min="3" max="4" width="15" style="3" bestFit="1" customWidth="1"/>
    <col min="5" max="5" width="14" style="3" bestFit="1" customWidth="1"/>
    <col min="6" max="6" width="17.3984375" style="3" bestFit="1" customWidth="1"/>
    <col min="7" max="7" width="15.1328125" style="3" bestFit="1" customWidth="1"/>
    <col min="8" max="8" width="9.1328125" style="3"/>
    <col min="9" max="9" width="7.3984375" style="3" bestFit="1" customWidth="1"/>
    <col min="10" max="10" width="15" style="3" bestFit="1" customWidth="1"/>
    <col min="11" max="11" width="14" style="3" bestFit="1" customWidth="1"/>
    <col min="12" max="12" width="13.1328125" style="3" bestFit="1" customWidth="1"/>
    <col min="13" max="13" width="15" style="3" bestFit="1" customWidth="1"/>
    <col min="14" max="16" width="9.1328125" style="3"/>
    <col min="17" max="19" width="15.86328125" style="3" bestFit="1" customWidth="1"/>
    <col min="20" max="21" width="14.73046875" style="3" customWidth="1"/>
    <col min="22" max="22" width="13.265625" style="3" bestFit="1" customWidth="1"/>
    <col min="23" max="23" width="14.86328125" style="3" bestFit="1" customWidth="1"/>
    <col min="24" max="24" width="15.1328125" style="3" bestFit="1" customWidth="1"/>
    <col min="25" max="25" width="9.1328125" style="3"/>
    <col min="26" max="26" width="12.73046875" style="3" bestFit="1" customWidth="1"/>
    <col min="27" max="27" width="9.1328125" style="3"/>
    <col min="28" max="29" width="16.265625" style="3" customWidth="1"/>
    <col min="30" max="30" width="16.3984375" style="3" customWidth="1"/>
    <col min="31" max="16384" width="9.1328125" style="3"/>
  </cols>
  <sheetData>
    <row r="1" spans="1:31" ht="62.25" customHeight="1" thickBot="1" x14ac:dyDescent="0.5">
      <c r="A1" s="676">
        <f>+ASSUMPTIONS!B1</f>
        <v>0</v>
      </c>
      <c r="B1" s="677"/>
      <c r="C1" s="677"/>
      <c r="D1" s="677"/>
      <c r="E1" s="677"/>
      <c r="F1" s="677"/>
      <c r="G1" s="677"/>
      <c r="H1" s="677"/>
      <c r="I1" s="677"/>
      <c r="J1" s="677"/>
      <c r="K1" s="677"/>
      <c r="L1" s="677"/>
      <c r="M1" s="677"/>
      <c r="N1" s="677"/>
      <c r="O1" s="677"/>
      <c r="P1" s="677"/>
      <c r="Q1" s="677"/>
      <c r="R1" s="677"/>
      <c r="S1" s="677"/>
      <c r="T1" s="677"/>
      <c r="U1" s="677"/>
      <c r="V1" s="677"/>
      <c r="W1" s="677"/>
      <c r="X1" s="678"/>
    </row>
    <row r="2" spans="1:31" ht="16.149999999999999" thickBot="1" x14ac:dyDescent="0.5">
      <c r="A2" s="308"/>
      <c r="B2" s="308"/>
      <c r="C2" s="309"/>
      <c r="D2" s="309"/>
      <c r="E2" s="309"/>
      <c r="F2" s="309"/>
      <c r="G2" s="309"/>
      <c r="H2" s="309"/>
      <c r="I2" s="310"/>
      <c r="J2" s="309"/>
      <c r="K2" s="309"/>
      <c r="L2" s="309"/>
      <c r="M2" s="309"/>
    </row>
    <row r="3" spans="1:31" ht="32.25" customHeight="1" thickBot="1" x14ac:dyDescent="0.5">
      <c r="A3" s="679" t="s">
        <v>137</v>
      </c>
      <c r="B3" s="680"/>
      <c r="C3" s="681"/>
      <c r="D3" s="682" t="s">
        <v>2</v>
      </c>
      <c r="E3" s="683"/>
      <c r="F3" s="683"/>
      <c r="G3" s="683"/>
      <c r="H3" s="683"/>
      <c r="I3" s="683"/>
      <c r="J3" s="683"/>
      <c r="K3" s="683"/>
      <c r="L3" s="683"/>
      <c r="M3" s="683"/>
      <c r="N3" s="683"/>
      <c r="O3" s="683"/>
      <c r="P3" s="683"/>
      <c r="Q3" s="683"/>
      <c r="R3" s="683"/>
      <c r="S3" s="683"/>
      <c r="T3" s="683"/>
      <c r="U3" s="683"/>
      <c r="V3" s="683"/>
      <c r="W3" s="683"/>
      <c r="X3" s="684"/>
    </row>
    <row r="4" spans="1:31" ht="14.65" thickBot="1" x14ac:dyDescent="0.5">
      <c r="C4" s="11"/>
      <c r="D4" s="11"/>
      <c r="E4" s="11"/>
      <c r="F4" s="11"/>
      <c r="G4" s="11"/>
      <c r="H4" s="11"/>
      <c r="I4" s="12"/>
      <c r="J4" s="11"/>
      <c r="K4" s="11"/>
      <c r="L4" s="11"/>
      <c r="M4" s="11"/>
      <c r="Q4" s="368">
        <f>+'Summary Equip'!AC10</f>
        <v>520.125</v>
      </c>
      <c r="U4" s="57">
        <v>0.05</v>
      </c>
    </row>
    <row r="5" spans="1:31" ht="23.25" customHeight="1" thickBot="1" x14ac:dyDescent="0.5">
      <c r="A5" s="685" t="s">
        <v>9</v>
      </c>
      <c r="B5" s="686"/>
      <c r="C5" s="687"/>
      <c r="D5" s="11"/>
      <c r="E5" s="11"/>
      <c r="F5" s="11"/>
      <c r="G5" s="11"/>
      <c r="H5" s="11"/>
      <c r="I5" s="688" t="s">
        <v>34</v>
      </c>
      <c r="J5" s="689"/>
      <c r="K5" s="689"/>
      <c r="L5" s="689"/>
      <c r="M5" s="690"/>
      <c r="O5" s="688" t="s">
        <v>35</v>
      </c>
      <c r="P5" s="691"/>
      <c r="Q5" s="689"/>
      <c r="R5" s="689"/>
      <c r="S5" s="689"/>
      <c r="T5" s="689"/>
      <c r="U5" s="689"/>
      <c r="V5" s="689"/>
      <c r="W5" s="692"/>
      <c r="X5" s="693"/>
      <c r="AA5" s="145">
        <v>0</v>
      </c>
    </row>
    <row r="6" spans="1:31" ht="28.9" thickBot="1" x14ac:dyDescent="0.5">
      <c r="A6" s="29" t="s">
        <v>0</v>
      </c>
      <c r="B6" s="28" t="s">
        <v>1</v>
      </c>
      <c r="C6" s="50" t="s">
        <v>10</v>
      </c>
      <c r="D6" s="11"/>
      <c r="E6" s="11"/>
      <c r="F6" s="11"/>
      <c r="G6" s="11"/>
      <c r="H6" s="11"/>
      <c r="I6" s="16" t="s">
        <v>15</v>
      </c>
      <c r="J6" s="17" t="s">
        <v>70</v>
      </c>
      <c r="K6" s="17" t="s">
        <v>17</v>
      </c>
      <c r="L6" s="17" t="s">
        <v>18</v>
      </c>
      <c r="M6" s="18" t="s">
        <v>19</v>
      </c>
      <c r="O6" s="16" t="s">
        <v>15</v>
      </c>
      <c r="P6" s="52" t="s">
        <v>39</v>
      </c>
      <c r="Q6" s="17" t="s">
        <v>36</v>
      </c>
      <c r="R6" s="17" t="s">
        <v>37</v>
      </c>
      <c r="S6" s="17" t="s">
        <v>27</v>
      </c>
      <c r="T6" s="17" t="s">
        <v>38</v>
      </c>
      <c r="U6" s="17" t="s">
        <v>7</v>
      </c>
      <c r="V6" s="17" t="s">
        <v>41</v>
      </c>
      <c r="W6" s="18" t="s">
        <v>40</v>
      </c>
      <c r="X6" s="55" t="s">
        <v>42</v>
      </c>
      <c r="Z6" s="5" t="s">
        <v>71</v>
      </c>
      <c r="AA6" s="5" t="s">
        <v>46</v>
      </c>
      <c r="AB6" s="5" t="s">
        <v>47</v>
      </c>
    </row>
    <row r="7" spans="1:31" x14ac:dyDescent="0.45">
      <c r="A7" s="8">
        <v>1</v>
      </c>
      <c r="B7" s="9" t="s">
        <v>11</v>
      </c>
      <c r="C7" s="152">
        <f>+F11*(1+'Summary Equip'!$N$3)</f>
        <v>266341.46341463417</v>
      </c>
      <c r="D7" s="11"/>
      <c r="E7" s="8" t="s">
        <v>61</v>
      </c>
      <c r="F7" s="150">
        <f>+'Summary Equip'!J13</f>
        <v>253658.53658536586</v>
      </c>
      <c r="G7" s="106"/>
      <c r="H7" s="383">
        <v>1</v>
      </c>
      <c r="I7" s="15">
        <v>1</v>
      </c>
      <c r="J7" s="77">
        <f>C7</f>
        <v>266341.46341463417</v>
      </c>
      <c r="K7" s="77">
        <f>J7*$C$8*30.44/365.25</f>
        <v>1176.4380828366807</v>
      </c>
      <c r="L7" s="77">
        <f>+L69</f>
        <v>-5062.8809553678084</v>
      </c>
      <c r="M7" s="78">
        <f t="shared" ref="M7:M66" si="0">J7+K7+L7</f>
        <v>262455.02054210304</v>
      </c>
      <c r="O7" s="15">
        <v>1</v>
      </c>
      <c r="P7" s="53">
        <f>Q4</f>
        <v>520.125</v>
      </c>
      <c r="Q7" s="77">
        <f>$F$42+($Q$4*$G$42)</f>
        <v>11965.596486768711</v>
      </c>
      <c r="R7" s="77">
        <f>+L7</f>
        <v>-5062.8809553678084</v>
      </c>
      <c r="S7" s="77">
        <f>+IF(R7=0,,-S68/C12)</f>
        <v>-2113.8211382113823</v>
      </c>
      <c r="T7" s="77"/>
      <c r="U7" s="77">
        <f>-Q7*U4</f>
        <v>-598.27982433843556</v>
      </c>
      <c r="V7" s="77">
        <f>-(AB7*$C$9/12)</f>
        <v>-519.7357723577237</v>
      </c>
      <c r="W7" s="83">
        <f>SUM(Q7:V7)</f>
        <v>3670.8787964933604</v>
      </c>
      <c r="X7" s="84">
        <f>W7</f>
        <v>3670.8787964933604</v>
      </c>
      <c r="Z7" s="92">
        <f>+$D$27-(($D$27+$D$28)*O7/$B$22)</f>
        <v>249473.17073170733</v>
      </c>
      <c r="AA7" s="5">
        <f>+Z7*$AA$5</f>
        <v>0</v>
      </c>
      <c r="AB7" s="92">
        <f>+Z7+AA7</f>
        <v>249473.17073170733</v>
      </c>
      <c r="AC7" s="132"/>
      <c r="AD7" s="132">
        <f>+S7</f>
        <v>-2113.8211382113823</v>
      </c>
      <c r="AE7" s="3">
        <f>+IF(AD7=0,0,1)</f>
        <v>1</v>
      </c>
    </row>
    <row r="8" spans="1:31" ht="28.5" x14ac:dyDescent="0.45">
      <c r="A8" s="4">
        <f>A7+1</f>
        <v>2</v>
      </c>
      <c r="B8" s="5" t="s">
        <v>3</v>
      </c>
      <c r="C8" s="156">
        <f>+'Summary Equip'!R13</f>
        <v>5.2999999999999999E-2</v>
      </c>
      <c r="D8" s="11"/>
      <c r="E8" s="107" t="s">
        <v>64</v>
      </c>
      <c r="F8" s="311">
        <f>+'Summary Equip'!D13</f>
        <v>0</v>
      </c>
      <c r="G8" s="108"/>
      <c r="H8" s="383">
        <f>+'Summary Equip'!C10</f>
        <v>1</v>
      </c>
      <c r="I8" s="14">
        <f>I7+1</f>
        <v>2</v>
      </c>
      <c r="J8" s="63">
        <f>+IF(M7&lt;0,,M7)</f>
        <v>262455.02054210304</v>
      </c>
      <c r="K8" s="63">
        <f t="shared" ref="K8:K54" si="1">J8*$C$8*30.44/365.25</f>
        <v>1159.2715502833282</v>
      </c>
      <c r="L8" s="63">
        <f>IF(M7&lt;0,,L7)</f>
        <v>-5062.8809553678084</v>
      </c>
      <c r="M8" s="65">
        <f t="shared" si="0"/>
        <v>258551.41113701853</v>
      </c>
      <c r="O8" s="14">
        <f>O7+1</f>
        <v>2</v>
      </c>
      <c r="P8" s="54">
        <f>P7+$Q$4</f>
        <v>1040.25</v>
      </c>
      <c r="Q8" s="63">
        <f>$F$42+($Q$4*$G$42)</f>
        <v>11965.596486768711</v>
      </c>
      <c r="R8" s="77">
        <f t="shared" ref="R8:R66" si="2">+L8</f>
        <v>-5062.8809553678084</v>
      </c>
      <c r="S8" s="63">
        <f>+IF(R8=0,,S7)</f>
        <v>-2113.8211382113823</v>
      </c>
      <c r="T8" s="63"/>
      <c r="U8" s="63">
        <f>U7</f>
        <v>-598.27982433843556</v>
      </c>
      <c r="V8" s="77">
        <f t="shared" ref="V8:V14" si="3">-(AB8*$C$9/12)</f>
        <v>-511.01626016260161</v>
      </c>
      <c r="W8" s="83">
        <f t="shared" ref="W8:W66" si="4">SUM(Q8:V8)</f>
        <v>3679.5983086884826</v>
      </c>
      <c r="X8" s="85">
        <f>X7+W8</f>
        <v>7350.4771051818425</v>
      </c>
      <c r="Z8" s="92">
        <f>+$D$27-(($D$27+$D$28)*O8/$B$22)</f>
        <v>245287.80487804877</v>
      </c>
      <c r="AA8" s="5">
        <f t="shared" ref="AA8:AA66" si="5">+Z8*$AA$5</f>
        <v>0</v>
      </c>
      <c r="AB8" s="92">
        <f t="shared" ref="AB8:AB66" si="6">+Z8+AA8</f>
        <v>245287.80487804877</v>
      </c>
      <c r="AD8" s="133">
        <f t="shared" ref="AD8:AD53" si="7">IF(AD7=0,0,IF(+S8+AD7&lt;-$S$72,0,+S8+AD7))</f>
        <v>-4227.6422764227646</v>
      </c>
      <c r="AE8" s="3">
        <f t="shared" ref="AE8:AE66" si="8">+IF(AD8=0,0,1)</f>
        <v>1</v>
      </c>
    </row>
    <row r="9" spans="1:31" x14ac:dyDescent="0.45">
      <c r="A9" s="4">
        <f t="shared" ref="A9:A14" si="9">A8+1</f>
        <v>3</v>
      </c>
      <c r="B9" s="5" t="s">
        <v>4</v>
      </c>
      <c r="C9" s="157">
        <f>+'Summary Equip'!S13</f>
        <v>2.5000000000000001E-2</v>
      </c>
      <c r="D9" s="11"/>
      <c r="E9" s="338" t="s">
        <v>69</v>
      </c>
      <c r="F9" s="339">
        <f>+'Summary Equip'!F13</f>
        <v>12682.926829268294</v>
      </c>
      <c r="G9" s="110"/>
      <c r="H9" s="383">
        <f>+'Summary Equip'!E10</f>
        <v>1</v>
      </c>
      <c r="I9" s="14">
        <f t="shared" ref="I9:I66" si="10">I8+1</f>
        <v>3</v>
      </c>
      <c r="J9" s="63">
        <f t="shared" ref="J9:J66" si="11">+IF(M8&lt;0,,M8)</f>
        <v>258551.41113701853</v>
      </c>
      <c r="K9" s="63">
        <f t="shared" si="1"/>
        <v>1142.0291926504442</v>
      </c>
      <c r="L9" s="63">
        <f t="shared" ref="L9:L66" si="12">IF(M8&lt;0,,L8)</f>
        <v>-5062.8809553678084</v>
      </c>
      <c r="M9" s="65">
        <f t="shared" si="0"/>
        <v>254630.55937430117</v>
      </c>
      <c r="O9" s="14">
        <f t="shared" ref="O9:O66" si="13">O8+1</f>
        <v>3</v>
      </c>
      <c r="P9" s="54">
        <f t="shared" ref="P9:P66" si="14">P8+$Q$4</f>
        <v>1560.375</v>
      </c>
      <c r="Q9" s="63">
        <f t="shared" ref="Q9:Q66" si="15">$F$42+($Q$4*$G$42)</f>
        <v>11965.596486768711</v>
      </c>
      <c r="R9" s="77">
        <f t="shared" si="2"/>
        <v>-5062.8809553678084</v>
      </c>
      <c r="S9" s="63">
        <f t="shared" ref="S9:S62" si="16">+S8</f>
        <v>-2113.8211382113823</v>
      </c>
      <c r="T9" s="63"/>
      <c r="U9" s="63">
        <f t="shared" ref="U9:U62" si="17">U8</f>
        <v>-598.27982433843556</v>
      </c>
      <c r="V9" s="77">
        <f t="shared" si="3"/>
        <v>-502.29674796747969</v>
      </c>
      <c r="W9" s="83">
        <f t="shared" si="4"/>
        <v>3688.3178208836043</v>
      </c>
      <c r="X9" s="85">
        <f t="shared" ref="X9:X62" si="18">X8+W9</f>
        <v>11038.794926065446</v>
      </c>
      <c r="Z9" s="92">
        <f t="shared" ref="Z9:Z66" si="19">+$D$27-(($D$27+$D$28)*O9/$B$22)</f>
        <v>241102.43902439025</v>
      </c>
      <c r="AA9" s="5">
        <f t="shared" si="5"/>
        <v>0</v>
      </c>
      <c r="AB9" s="92">
        <f t="shared" si="6"/>
        <v>241102.43902439025</v>
      </c>
      <c r="AD9" s="133">
        <f t="shared" si="7"/>
        <v>-6341.4634146341468</v>
      </c>
      <c r="AE9" s="3">
        <f t="shared" si="8"/>
        <v>1</v>
      </c>
    </row>
    <row r="10" spans="1:31" ht="14.65" thickBot="1" x14ac:dyDescent="0.5">
      <c r="A10" s="4">
        <f t="shared" si="9"/>
        <v>4</v>
      </c>
      <c r="B10" s="5" t="s">
        <v>5</v>
      </c>
      <c r="C10" s="158">
        <f>+'Summary Equip'!T13</f>
        <v>0.05</v>
      </c>
      <c r="D10" s="11"/>
      <c r="E10" s="111" t="s">
        <v>52</v>
      </c>
      <c r="F10" s="312">
        <f>SUM(F7:F8)*G10</f>
        <v>0</v>
      </c>
      <c r="G10" s="151">
        <f>+'Summary Equip'!H13</f>
        <v>0</v>
      </c>
      <c r="H10" s="383">
        <f>+'Summary Equip'!G10</f>
        <v>0</v>
      </c>
      <c r="I10" s="14">
        <f t="shared" si="10"/>
        <v>4</v>
      </c>
      <c r="J10" s="63">
        <f t="shared" si="11"/>
        <v>254630.55937430117</v>
      </c>
      <c r="K10" s="63">
        <f t="shared" si="1"/>
        <v>1124.7106750164203</v>
      </c>
      <c r="L10" s="63">
        <f t="shared" si="12"/>
        <v>-5062.8809553678084</v>
      </c>
      <c r="M10" s="65">
        <f t="shared" si="0"/>
        <v>250692.38909394978</v>
      </c>
      <c r="O10" s="14">
        <f t="shared" si="13"/>
        <v>4</v>
      </c>
      <c r="P10" s="54">
        <f t="shared" si="14"/>
        <v>2080.5</v>
      </c>
      <c r="Q10" s="63">
        <f t="shared" si="15"/>
        <v>11965.596486768711</v>
      </c>
      <c r="R10" s="77">
        <f t="shared" si="2"/>
        <v>-5062.8809553678084</v>
      </c>
      <c r="S10" s="63">
        <f t="shared" si="16"/>
        <v>-2113.8211382113823</v>
      </c>
      <c r="T10" s="63"/>
      <c r="U10" s="63">
        <f t="shared" si="17"/>
        <v>-598.27982433843556</v>
      </c>
      <c r="V10" s="77">
        <f t="shared" si="3"/>
        <v>-493.57723577235782</v>
      </c>
      <c r="W10" s="83">
        <f t="shared" si="4"/>
        <v>3697.0373330787265</v>
      </c>
      <c r="X10" s="85">
        <f t="shared" si="18"/>
        <v>14735.832259144172</v>
      </c>
      <c r="Z10" s="92">
        <f t="shared" si="19"/>
        <v>236917.07317073172</v>
      </c>
      <c r="AA10" s="5">
        <f t="shared" si="5"/>
        <v>0</v>
      </c>
      <c r="AB10" s="92">
        <f t="shared" si="6"/>
        <v>236917.07317073172</v>
      </c>
      <c r="AD10" s="133">
        <f t="shared" si="7"/>
        <v>-8455.2845528455291</v>
      </c>
      <c r="AE10" s="3">
        <f t="shared" si="8"/>
        <v>1</v>
      </c>
    </row>
    <row r="11" spans="1:31" ht="14.65" thickBot="1" x14ac:dyDescent="0.5">
      <c r="A11" s="4">
        <f t="shared" si="9"/>
        <v>5</v>
      </c>
      <c r="B11" s="5" t="s">
        <v>12</v>
      </c>
      <c r="C11" s="159">
        <f>+'Summary Equip'!U13</f>
        <v>0.01</v>
      </c>
      <c r="D11" s="11"/>
      <c r="E11" s="112" t="s">
        <v>28</v>
      </c>
      <c r="F11" s="313">
        <f>SUMPRODUCT(F7:F10,H7:H10)</f>
        <v>266341.46341463417</v>
      </c>
      <c r="G11" s="113"/>
      <c r="H11" s="11"/>
      <c r="I11" s="14">
        <f t="shared" si="10"/>
        <v>5</v>
      </c>
      <c r="J11" s="63">
        <f t="shared" si="11"/>
        <v>250692.38909394978</v>
      </c>
      <c r="K11" s="63">
        <f t="shared" si="1"/>
        <v>1107.3156609802904</v>
      </c>
      <c r="L11" s="63">
        <f t="shared" si="12"/>
        <v>-5062.8809553678084</v>
      </c>
      <c r="M11" s="65">
        <f t="shared" si="0"/>
        <v>246736.82379956226</v>
      </c>
      <c r="O11" s="14">
        <f t="shared" si="13"/>
        <v>5</v>
      </c>
      <c r="P11" s="54">
        <f t="shared" si="14"/>
        <v>2600.625</v>
      </c>
      <c r="Q11" s="63">
        <f t="shared" si="15"/>
        <v>11965.596486768711</v>
      </c>
      <c r="R11" s="77">
        <f t="shared" si="2"/>
        <v>-5062.8809553678084</v>
      </c>
      <c r="S11" s="63">
        <f t="shared" si="16"/>
        <v>-2113.8211382113823</v>
      </c>
      <c r="T11" s="63"/>
      <c r="U11" s="63">
        <f t="shared" si="17"/>
        <v>-598.27982433843556</v>
      </c>
      <c r="V11" s="77">
        <f t="shared" si="3"/>
        <v>-484.85772357723584</v>
      </c>
      <c r="W11" s="83">
        <f t="shared" si="4"/>
        <v>3705.7568452738483</v>
      </c>
      <c r="X11" s="85">
        <f t="shared" si="18"/>
        <v>18441.589104418021</v>
      </c>
      <c r="Z11" s="92">
        <f t="shared" si="19"/>
        <v>232731.70731707319</v>
      </c>
      <c r="AA11" s="5">
        <f t="shared" si="5"/>
        <v>0</v>
      </c>
      <c r="AB11" s="92">
        <f t="shared" si="6"/>
        <v>232731.70731707319</v>
      </c>
      <c r="AD11" s="133">
        <f t="shared" si="7"/>
        <v>-10569.105691056911</v>
      </c>
      <c r="AE11" s="3">
        <f t="shared" si="8"/>
        <v>1</v>
      </c>
    </row>
    <row r="12" spans="1:31" x14ac:dyDescent="0.45">
      <c r="A12" s="4">
        <f t="shared" si="9"/>
        <v>6</v>
      </c>
      <c r="B12" s="5" t="s">
        <v>13</v>
      </c>
      <c r="C12" s="160">
        <f>+'Summary Equip'!V13</f>
        <v>60</v>
      </c>
      <c r="D12" s="11"/>
      <c r="E12" s="11"/>
      <c r="F12" s="11"/>
      <c r="G12" s="11"/>
      <c r="H12" s="11"/>
      <c r="I12" s="14">
        <f t="shared" si="10"/>
        <v>6</v>
      </c>
      <c r="J12" s="63">
        <f t="shared" si="11"/>
        <v>246736.82379956226</v>
      </c>
      <c r="K12" s="63">
        <f t="shared" si="1"/>
        <v>1089.8438126551946</v>
      </c>
      <c r="L12" s="63">
        <f t="shared" si="12"/>
        <v>-5062.8809553678084</v>
      </c>
      <c r="M12" s="65">
        <f t="shared" si="0"/>
        <v>242763.78665684964</v>
      </c>
      <c r="O12" s="14">
        <f t="shared" si="13"/>
        <v>6</v>
      </c>
      <c r="P12" s="54">
        <f t="shared" si="14"/>
        <v>3120.75</v>
      </c>
      <c r="Q12" s="63">
        <f t="shared" si="15"/>
        <v>11965.596486768711</v>
      </c>
      <c r="R12" s="77">
        <f t="shared" si="2"/>
        <v>-5062.8809553678084</v>
      </c>
      <c r="S12" s="63">
        <f t="shared" si="16"/>
        <v>-2113.8211382113823</v>
      </c>
      <c r="T12" s="63"/>
      <c r="U12" s="63">
        <f t="shared" si="17"/>
        <v>-598.27982433843556</v>
      </c>
      <c r="V12" s="77">
        <f t="shared" si="3"/>
        <v>-476.13821138211387</v>
      </c>
      <c r="W12" s="83">
        <f t="shared" si="4"/>
        <v>3714.4763574689705</v>
      </c>
      <c r="X12" s="85">
        <f t="shared" si="18"/>
        <v>22156.065461886992</v>
      </c>
      <c r="Z12" s="92">
        <f t="shared" si="19"/>
        <v>228546.34146341463</v>
      </c>
      <c r="AA12" s="5">
        <f t="shared" si="5"/>
        <v>0</v>
      </c>
      <c r="AB12" s="92">
        <f t="shared" si="6"/>
        <v>228546.34146341463</v>
      </c>
      <c r="AD12" s="133">
        <f t="shared" si="7"/>
        <v>-12682.926829268294</v>
      </c>
      <c r="AE12" s="3">
        <f t="shared" si="8"/>
        <v>1</v>
      </c>
    </row>
    <row r="13" spans="1:31" x14ac:dyDescent="0.45">
      <c r="A13" s="4">
        <f t="shared" si="9"/>
        <v>7</v>
      </c>
      <c r="B13" s="5" t="s">
        <v>14</v>
      </c>
      <c r="C13" s="161">
        <f>+'Summary Equip'!W13</f>
        <v>20000</v>
      </c>
      <c r="D13" s="176">
        <f>+C13*C14</f>
        <v>18000</v>
      </c>
      <c r="E13" s="11"/>
      <c r="F13" s="11"/>
      <c r="G13" s="11"/>
      <c r="H13" s="11"/>
      <c r="I13" s="14">
        <f t="shared" si="10"/>
        <v>7</v>
      </c>
      <c r="J13" s="63">
        <f t="shared" si="11"/>
        <v>242763.78665684964</v>
      </c>
      <c r="K13" s="63">
        <f t="shared" si="1"/>
        <v>1072.2947906618172</v>
      </c>
      <c r="L13" s="63">
        <f t="shared" si="12"/>
        <v>-5062.8809553678084</v>
      </c>
      <c r="M13" s="65">
        <f t="shared" si="0"/>
        <v>238773.20049214363</v>
      </c>
      <c r="O13" s="14">
        <f t="shared" si="13"/>
        <v>7</v>
      </c>
      <c r="P13" s="54">
        <f t="shared" si="14"/>
        <v>3640.875</v>
      </c>
      <c r="Q13" s="63">
        <f t="shared" si="15"/>
        <v>11965.596486768711</v>
      </c>
      <c r="R13" s="77">
        <f t="shared" si="2"/>
        <v>-5062.8809553678084</v>
      </c>
      <c r="S13" s="63">
        <f t="shared" si="16"/>
        <v>-2113.8211382113823</v>
      </c>
      <c r="T13" s="63"/>
      <c r="U13" s="63">
        <f t="shared" si="17"/>
        <v>-598.27982433843556</v>
      </c>
      <c r="V13" s="77">
        <f t="shared" si="3"/>
        <v>-467.41869918699194</v>
      </c>
      <c r="W13" s="83">
        <f t="shared" si="4"/>
        <v>3723.1958696640922</v>
      </c>
      <c r="X13" s="85">
        <f t="shared" si="18"/>
        <v>25879.261331551083</v>
      </c>
      <c r="Z13" s="92">
        <f t="shared" si="19"/>
        <v>224360.9756097561</v>
      </c>
      <c r="AA13" s="5">
        <f t="shared" si="5"/>
        <v>0</v>
      </c>
      <c r="AB13" s="92">
        <f t="shared" si="6"/>
        <v>224360.9756097561</v>
      </c>
      <c r="AD13" s="133">
        <f t="shared" si="7"/>
        <v>-14796.747967479676</v>
      </c>
      <c r="AE13" s="3">
        <f t="shared" si="8"/>
        <v>1</v>
      </c>
    </row>
    <row r="14" spans="1:31" ht="14.65" thickBot="1" x14ac:dyDescent="0.5">
      <c r="A14" s="6">
        <f t="shared" si="9"/>
        <v>8</v>
      </c>
      <c r="B14" s="7" t="s">
        <v>33</v>
      </c>
      <c r="C14" s="162">
        <f>+'Summary Equip'!X13</f>
        <v>0.9</v>
      </c>
      <c r="D14" s="337">
        <f>+D13/C12</f>
        <v>300</v>
      </c>
      <c r="E14" s="11"/>
      <c r="F14" s="11"/>
      <c r="G14" s="11"/>
      <c r="H14" s="11"/>
      <c r="I14" s="14">
        <f t="shared" si="10"/>
        <v>8</v>
      </c>
      <c r="J14" s="63">
        <f t="shared" si="11"/>
        <v>238773.20049214363</v>
      </c>
      <c r="K14" s="63">
        <f t="shared" si="1"/>
        <v>1054.6682541217938</v>
      </c>
      <c r="L14" s="63">
        <f t="shared" si="12"/>
        <v>-5062.8809553678084</v>
      </c>
      <c r="M14" s="65">
        <f t="shared" si="0"/>
        <v>234764.98779089761</v>
      </c>
      <c r="O14" s="14">
        <f t="shared" si="13"/>
        <v>8</v>
      </c>
      <c r="P14" s="54">
        <f t="shared" si="14"/>
        <v>4161</v>
      </c>
      <c r="Q14" s="63">
        <f t="shared" si="15"/>
        <v>11965.596486768711</v>
      </c>
      <c r="R14" s="77">
        <f t="shared" si="2"/>
        <v>-5062.8809553678084</v>
      </c>
      <c r="S14" s="63">
        <f t="shared" si="16"/>
        <v>-2113.8211382113823</v>
      </c>
      <c r="T14" s="63"/>
      <c r="U14" s="63">
        <f t="shared" si="17"/>
        <v>-598.27982433843556</v>
      </c>
      <c r="V14" s="77">
        <f t="shared" si="3"/>
        <v>-458.69918699186991</v>
      </c>
      <c r="W14" s="83">
        <f t="shared" si="4"/>
        <v>3731.9153818592144</v>
      </c>
      <c r="X14" s="85">
        <f t="shared" si="18"/>
        <v>29611.176713410296</v>
      </c>
      <c r="Z14" s="92">
        <f t="shared" si="19"/>
        <v>220175.60975609755</v>
      </c>
      <c r="AA14" s="5">
        <f t="shared" si="5"/>
        <v>0</v>
      </c>
      <c r="AB14" s="92">
        <f t="shared" si="6"/>
        <v>220175.60975609755</v>
      </c>
      <c r="AD14" s="133">
        <f t="shared" si="7"/>
        <v>-16910.569105691058</v>
      </c>
      <c r="AE14" s="3">
        <f t="shared" si="8"/>
        <v>1</v>
      </c>
    </row>
    <row r="15" spans="1:31" ht="14.65" thickBot="1" x14ac:dyDescent="0.5">
      <c r="C15" s="11"/>
      <c r="D15" s="11"/>
      <c r="E15" s="11"/>
      <c r="F15" s="11"/>
      <c r="G15" s="11"/>
      <c r="H15" s="11"/>
      <c r="I15" s="14">
        <f t="shared" si="10"/>
        <v>9</v>
      </c>
      <c r="J15" s="63">
        <f t="shared" si="11"/>
        <v>234764.98779089761</v>
      </c>
      <c r="K15" s="63">
        <f t="shared" si="1"/>
        <v>1036.9638606510907</v>
      </c>
      <c r="L15" s="63">
        <f t="shared" si="12"/>
        <v>-5062.8809553678084</v>
      </c>
      <c r="M15" s="65">
        <f t="shared" si="0"/>
        <v>230739.07069618089</v>
      </c>
      <c r="O15" s="14">
        <f t="shared" si="13"/>
        <v>9</v>
      </c>
      <c r="P15" s="54">
        <f t="shared" si="14"/>
        <v>4681.125</v>
      </c>
      <c r="Q15" s="63">
        <f t="shared" si="15"/>
        <v>11965.596486768711</v>
      </c>
      <c r="R15" s="77">
        <f t="shared" si="2"/>
        <v>-5062.8809553678084</v>
      </c>
      <c r="S15" s="63">
        <f t="shared" si="16"/>
        <v>-2113.8211382113823</v>
      </c>
      <c r="T15" s="63"/>
      <c r="U15" s="63">
        <f t="shared" si="17"/>
        <v>-598.27982433843556</v>
      </c>
      <c r="V15" s="77">
        <f>-(AB15*$C$9/12)</f>
        <v>-449.97967479674799</v>
      </c>
      <c r="W15" s="83">
        <f t="shared" si="4"/>
        <v>3740.6348940543362</v>
      </c>
      <c r="X15" s="85">
        <f t="shared" si="18"/>
        <v>33351.811607464631</v>
      </c>
      <c r="Z15" s="92">
        <f t="shared" si="19"/>
        <v>215990.24390243902</v>
      </c>
      <c r="AA15" s="5">
        <f t="shared" si="5"/>
        <v>0</v>
      </c>
      <c r="AB15" s="92">
        <f t="shared" si="6"/>
        <v>215990.24390243902</v>
      </c>
      <c r="AD15" s="133">
        <f t="shared" si="7"/>
        <v>-19024.390243902439</v>
      </c>
      <c r="AE15" s="3">
        <f t="shared" si="8"/>
        <v>1</v>
      </c>
    </row>
    <row r="16" spans="1:31" ht="16.149999999999999" thickBot="1" x14ac:dyDescent="0.5">
      <c r="A16" s="661" t="s">
        <v>43</v>
      </c>
      <c r="B16" s="662"/>
      <c r="C16" s="662"/>
      <c r="D16" s="662"/>
      <c r="E16" s="663"/>
      <c r="F16" s="1"/>
      <c r="G16" s="1"/>
      <c r="H16" s="117"/>
      <c r="I16" s="14">
        <f t="shared" si="10"/>
        <v>10</v>
      </c>
      <c r="J16" s="63">
        <f t="shared" si="11"/>
        <v>230739.07069618089</v>
      </c>
      <c r="K16" s="63">
        <f t="shared" si="1"/>
        <v>1019.1812663533541</v>
      </c>
      <c r="L16" s="63">
        <f t="shared" si="12"/>
        <v>-5062.8809553678084</v>
      </c>
      <c r="M16" s="65">
        <f t="shared" si="0"/>
        <v>226695.37100716642</v>
      </c>
      <c r="O16" s="14">
        <f t="shared" si="13"/>
        <v>10</v>
      </c>
      <c r="P16" s="54">
        <f t="shared" si="14"/>
        <v>5201.25</v>
      </c>
      <c r="Q16" s="63">
        <f t="shared" si="15"/>
        <v>11965.596486768711</v>
      </c>
      <c r="R16" s="77">
        <f t="shared" si="2"/>
        <v>-5062.8809553678084</v>
      </c>
      <c r="S16" s="63">
        <f t="shared" si="16"/>
        <v>-2113.8211382113823</v>
      </c>
      <c r="T16" s="63"/>
      <c r="U16" s="63">
        <f t="shared" si="17"/>
        <v>-598.27982433843556</v>
      </c>
      <c r="V16" s="77">
        <f t="shared" ref="V16:V66" si="20">-(AB16*$C$9/12)</f>
        <v>-441.26016260162606</v>
      </c>
      <c r="W16" s="83">
        <f t="shared" si="4"/>
        <v>3749.354406249458</v>
      </c>
      <c r="X16" s="85">
        <f t="shared" si="18"/>
        <v>37101.166013714086</v>
      </c>
      <c r="Z16" s="92">
        <f t="shared" si="19"/>
        <v>211804.87804878049</v>
      </c>
      <c r="AA16" s="5">
        <f t="shared" si="5"/>
        <v>0</v>
      </c>
      <c r="AB16" s="92">
        <f t="shared" si="6"/>
        <v>211804.87804878049</v>
      </c>
      <c r="AD16" s="133">
        <f t="shared" si="7"/>
        <v>-21138.211382113819</v>
      </c>
      <c r="AE16" s="3">
        <f t="shared" si="8"/>
        <v>1</v>
      </c>
    </row>
    <row r="17" spans="1:31" ht="14.65" thickBot="1" x14ac:dyDescent="0.5">
      <c r="A17" s="97" t="s">
        <v>44</v>
      </c>
      <c r="B17" s="98" t="s">
        <v>48</v>
      </c>
      <c r="C17" s="98" t="s">
        <v>45</v>
      </c>
      <c r="D17" s="99" t="s">
        <v>46</v>
      </c>
      <c r="E17" s="55" t="s">
        <v>47</v>
      </c>
      <c r="F17" s="1"/>
      <c r="G17" s="1"/>
      <c r="H17" s="117"/>
      <c r="I17" s="14">
        <f t="shared" si="10"/>
        <v>11</v>
      </c>
      <c r="J17" s="63">
        <f t="shared" si="11"/>
        <v>226695.37100716642</v>
      </c>
      <c r="K17" s="63">
        <f t="shared" si="1"/>
        <v>1001.3201258132286</v>
      </c>
      <c r="L17" s="63">
        <f t="shared" si="12"/>
        <v>-5062.8809553678084</v>
      </c>
      <c r="M17" s="65">
        <f t="shared" si="0"/>
        <v>222633.81017761183</v>
      </c>
      <c r="O17" s="14">
        <f t="shared" si="13"/>
        <v>11</v>
      </c>
      <c r="P17" s="54">
        <f t="shared" si="14"/>
        <v>5721.375</v>
      </c>
      <c r="Q17" s="63">
        <f t="shared" si="15"/>
        <v>11965.596486768711</v>
      </c>
      <c r="R17" s="77">
        <f t="shared" si="2"/>
        <v>-5062.8809553678084</v>
      </c>
      <c r="S17" s="63">
        <f t="shared" si="16"/>
        <v>-2113.8211382113823</v>
      </c>
      <c r="T17" s="63"/>
      <c r="U17" s="63">
        <f t="shared" si="17"/>
        <v>-598.27982433843556</v>
      </c>
      <c r="V17" s="77">
        <f t="shared" si="20"/>
        <v>-432.54065040650408</v>
      </c>
      <c r="W17" s="83">
        <f t="shared" si="4"/>
        <v>3758.0739184445802</v>
      </c>
      <c r="X17" s="85">
        <f t="shared" si="18"/>
        <v>40859.239932158664</v>
      </c>
      <c r="Z17" s="92">
        <f t="shared" si="19"/>
        <v>207619.51219512196</v>
      </c>
      <c r="AA17" s="5">
        <f t="shared" si="5"/>
        <v>0</v>
      </c>
      <c r="AB17" s="92">
        <f t="shared" si="6"/>
        <v>207619.51219512196</v>
      </c>
      <c r="AD17" s="133">
        <f t="shared" si="7"/>
        <v>-23252.0325203252</v>
      </c>
      <c r="AE17" s="3">
        <f t="shared" si="8"/>
        <v>1</v>
      </c>
    </row>
    <row r="18" spans="1:31" x14ac:dyDescent="0.45">
      <c r="A18" s="94">
        <v>1</v>
      </c>
      <c r="B18" s="95">
        <v>12</v>
      </c>
      <c r="C18" s="96">
        <f>D$27-(D$27+D$28)*B18/60</f>
        <v>203434.14634146341</v>
      </c>
      <c r="D18" s="100">
        <v>0.1</v>
      </c>
      <c r="E18" s="103">
        <f t="shared" ref="E18:E23" si="21">C18/(100%-D18)</f>
        <v>226037.94037940376</v>
      </c>
      <c r="F18" s="11"/>
      <c r="G18" s="11"/>
      <c r="H18" s="11"/>
      <c r="I18" s="14">
        <f t="shared" si="10"/>
        <v>12</v>
      </c>
      <c r="J18" s="63">
        <f t="shared" si="11"/>
        <v>222633.81017761183</v>
      </c>
      <c r="K18" s="63">
        <f t="shared" si="1"/>
        <v>983.38009208965025</v>
      </c>
      <c r="L18" s="63">
        <f t="shared" si="12"/>
        <v>-5062.8809553678084</v>
      </c>
      <c r="M18" s="65">
        <f t="shared" si="0"/>
        <v>218554.30931433366</v>
      </c>
      <c r="O18" s="14">
        <f t="shared" si="13"/>
        <v>12</v>
      </c>
      <c r="P18" s="54">
        <f t="shared" si="14"/>
        <v>6241.5</v>
      </c>
      <c r="Q18" s="63">
        <f t="shared" si="15"/>
        <v>11965.596486768711</v>
      </c>
      <c r="R18" s="77">
        <f t="shared" si="2"/>
        <v>-5062.8809553678084</v>
      </c>
      <c r="S18" s="63">
        <f t="shared" si="16"/>
        <v>-2113.8211382113823</v>
      </c>
      <c r="T18" s="63"/>
      <c r="U18" s="63">
        <f t="shared" si="17"/>
        <v>-598.27982433843556</v>
      </c>
      <c r="V18" s="77">
        <f t="shared" si="20"/>
        <v>-423.82113821138211</v>
      </c>
      <c r="W18" s="83">
        <f t="shared" si="4"/>
        <v>3766.7934306397019</v>
      </c>
      <c r="X18" s="85">
        <f t="shared" si="18"/>
        <v>44626.033362798364</v>
      </c>
      <c r="Z18" s="92">
        <f t="shared" si="19"/>
        <v>203434.14634146341</v>
      </c>
      <c r="AA18" s="5">
        <f t="shared" si="5"/>
        <v>0</v>
      </c>
      <c r="AB18" s="92">
        <f t="shared" si="6"/>
        <v>203434.14634146341</v>
      </c>
      <c r="AD18" s="133">
        <f t="shared" si="7"/>
        <v>-25365.85365853658</v>
      </c>
      <c r="AE18" s="3">
        <f t="shared" si="8"/>
        <v>1</v>
      </c>
    </row>
    <row r="19" spans="1:31" x14ac:dyDescent="0.45">
      <c r="A19" s="4">
        <f>A18+1</f>
        <v>2</v>
      </c>
      <c r="B19" s="5">
        <f>B18+12</f>
        <v>24</v>
      </c>
      <c r="C19" s="92">
        <f>D$27-(D$27+D$28)*B19/60</f>
        <v>153209.75609756098</v>
      </c>
      <c r="D19" s="101">
        <f>D18</f>
        <v>0.1</v>
      </c>
      <c r="E19" s="104">
        <f t="shared" si="21"/>
        <v>170233.0623306233</v>
      </c>
      <c r="F19" s="11"/>
      <c r="G19" s="11"/>
      <c r="H19" s="11"/>
      <c r="I19" s="14">
        <f t="shared" si="10"/>
        <v>13</v>
      </c>
      <c r="J19" s="63">
        <f t="shared" si="11"/>
        <v>218554.30931433366</v>
      </c>
      <c r="K19" s="63">
        <f t="shared" si="1"/>
        <v>965.36081670910539</v>
      </c>
      <c r="L19" s="63">
        <f t="shared" si="12"/>
        <v>-5062.8809553678084</v>
      </c>
      <c r="M19" s="65">
        <f t="shared" si="0"/>
        <v>214456.78917567496</v>
      </c>
      <c r="O19" s="14">
        <f t="shared" si="13"/>
        <v>13</v>
      </c>
      <c r="P19" s="54">
        <f t="shared" si="14"/>
        <v>6761.625</v>
      </c>
      <c r="Q19" s="63">
        <f t="shared" si="15"/>
        <v>11965.596486768711</v>
      </c>
      <c r="R19" s="77">
        <f t="shared" si="2"/>
        <v>-5062.8809553678084</v>
      </c>
      <c r="S19" s="63">
        <f t="shared" si="16"/>
        <v>-2113.8211382113823</v>
      </c>
      <c r="T19" s="63"/>
      <c r="U19" s="63">
        <f t="shared" si="17"/>
        <v>-598.27982433843556</v>
      </c>
      <c r="V19" s="77">
        <f t="shared" si="20"/>
        <v>-415.10162601626024</v>
      </c>
      <c r="W19" s="83">
        <f t="shared" si="4"/>
        <v>3775.5129428348241</v>
      </c>
      <c r="X19" s="85">
        <f t="shared" si="18"/>
        <v>48401.546305633186</v>
      </c>
      <c r="Z19" s="92">
        <f t="shared" si="19"/>
        <v>199248.78048780488</v>
      </c>
      <c r="AA19" s="5">
        <f t="shared" si="5"/>
        <v>0</v>
      </c>
      <c r="AB19" s="92">
        <f t="shared" si="6"/>
        <v>199248.78048780488</v>
      </c>
      <c r="AD19" s="133">
        <f t="shared" si="7"/>
        <v>-27479.67479674796</v>
      </c>
      <c r="AE19" s="3">
        <f t="shared" si="8"/>
        <v>1</v>
      </c>
    </row>
    <row r="20" spans="1:31" x14ac:dyDescent="0.45">
      <c r="A20" s="4">
        <f>A19+1</f>
        <v>3</v>
      </c>
      <c r="B20" s="5">
        <f>B19+12</f>
        <v>36</v>
      </c>
      <c r="C20" s="92">
        <f>D$27-(D$27+D$28)*B20/60</f>
        <v>102985.36585365853</v>
      </c>
      <c r="D20" s="101">
        <f>D19</f>
        <v>0.1</v>
      </c>
      <c r="E20" s="104">
        <f t="shared" si="21"/>
        <v>114428.18428184281</v>
      </c>
      <c r="F20" s="11"/>
      <c r="G20" s="11"/>
      <c r="H20" s="11"/>
      <c r="I20" s="14">
        <f t="shared" si="10"/>
        <v>14</v>
      </c>
      <c r="J20" s="63">
        <f t="shared" si="11"/>
        <v>214456.78917567496</v>
      </c>
      <c r="K20" s="63">
        <f t="shared" si="1"/>
        <v>947.26194965886361</v>
      </c>
      <c r="L20" s="63">
        <f t="shared" si="12"/>
        <v>-5062.8809553678084</v>
      </c>
      <c r="M20" s="65">
        <f t="shared" si="0"/>
        <v>210341.170169966</v>
      </c>
      <c r="O20" s="14">
        <f t="shared" si="13"/>
        <v>14</v>
      </c>
      <c r="P20" s="54">
        <f t="shared" si="14"/>
        <v>7281.75</v>
      </c>
      <c r="Q20" s="63">
        <f t="shared" si="15"/>
        <v>11965.596486768711</v>
      </c>
      <c r="R20" s="77">
        <f t="shared" si="2"/>
        <v>-5062.8809553678084</v>
      </c>
      <c r="S20" s="63">
        <f t="shared" si="16"/>
        <v>-2113.8211382113823</v>
      </c>
      <c r="T20" s="63"/>
      <c r="U20" s="63">
        <f t="shared" si="17"/>
        <v>-598.27982433843556</v>
      </c>
      <c r="V20" s="77">
        <f t="shared" si="20"/>
        <v>-406.38211382113826</v>
      </c>
      <c r="W20" s="83">
        <f t="shared" si="4"/>
        <v>3784.2324550299459</v>
      </c>
      <c r="X20" s="85">
        <f t="shared" si="18"/>
        <v>52185.778760663132</v>
      </c>
      <c r="Z20" s="92">
        <f t="shared" si="19"/>
        <v>195063.41463414635</v>
      </c>
      <c r="AA20" s="5">
        <f t="shared" si="5"/>
        <v>0</v>
      </c>
      <c r="AB20" s="92">
        <f t="shared" si="6"/>
        <v>195063.41463414635</v>
      </c>
      <c r="AD20" s="133">
        <f t="shared" si="7"/>
        <v>-29593.495934959341</v>
      </c>
      <c r="AE20" s="3">
        <f t="shared" si="8"/>
        <v>1</v>
      </c>
    </row>
    <row r="21" spans="1:31" x14ac:dyDescent="0.45">
      <c r="A21" s="4">
        <f>A20+1</f>
        <v>4</v>
      </c>
      <c r="B21" s="5">
        <f>B20+12</f>
        <v>48</v>
      </c>
      <c r="C21" s="92">
        <f>D$27-(D$27+D$28)*B21/60</f>
        <v>52760.975609756075</v>
      </c>
      <c r="D21" s="101">
        <f>D20</f>
        <v>0.1</v>
      </c>
      <c r="E21" s="104">
        <f t="shared" si="21"/>
        <v>58623.306233062307</v>
      </c>
      <c r="F21" s="11"/>
      <c r="G21" s="11"/>
      <c r="H21" s="11"/>
      <c r="I21" s="14">
        <f t="shared" si="10"/>
        <v>15</v>
      </c>
      <c r="J21" s="63">
        <f t="shared" si="11"/>
        <v>210341.170169966</v>
      </c>
      <c r="K21" s="63">
        <f t="shared" si="1"/>
        <v>929.0831393801767</v>
      </c>
      <c r="L21" s="63">
        <f t="shared" si="12"/>
        <v>-5062.8809553678084</v>
      </c>
      <c r="M21" s="65">
        <f t="shared" si="0"/>
        <v>206207.37235397837</v>
      </c>
      <c r="O21" s="14">
        <f t="shared" si="13"/>
        <v>15</v>
      </c>
      <c r="P21" s="54">
        <f t="shared" si="14"/>
        <v>7801.875</v>
      </c>
      <c r="Q21" s="63">
        <f t="shared" si="15"/>
        <v>11965.596486768711</v>
      </c>
      <c r="R21" s="77">
        <f t="shared" si="2"/>
        <v>-5062.8809553678084</v>
      </c>
      <c r="S21" s="63">
        <f t="shared" si="16"/>
        <v>-2113.8211382113823</v>
      </c>
      <c r="T21" s="63"/>
      <c r="U21" s="63">
        <f t="shared" si="17"/>
        <v>-598.27982433843556</v>
      </c>
      <c r="V21" s="77">
        <f t="shared" si="20"/>
        <v>-397.66260162601628</v>
      </c>
      <c r="W21" s="83">
        <f t="shared" si="4"/>
        <v>3792.9519672250681</v>
      </c>
      <c r="X21" s="85">
        <f t="shared" si="18"/>
        <v>55978.7307278882</v>
      </c>
      <c r="Z21" s="92">
        <f t="shared" si="19"/>
        <v>190878.04878048779</v>
      </c>
      <c r="AA21" s="5">
        <f t="shared" si="5"/>
        <v>0</v>
      </c>
      <c r="AB21" s="92">
        <f t="shared" si="6"/>
        <v>190878.04878048779</v>
      </c>
      <c r="AD21" s="133">
        <f t="shared" si="7"/>
        <v>-31707.317073170721</v>
      </c>
      <c r="AE21" s="3">
        <f t="shared" si="8"/>
        <v>1</v>
      </c>
    </row>
    <row r="22" spans="1:31" x14ac:dyDescent="0.45">
      <c r="A22" s="4">
        <f>A21+1</f>
        <v>5</v>
      </c>
      <c r="B22" s="5">
        <f>B21+12</f>
        <v>60</v>
      </c>
      <c r="C22" s="92">
        <f>D$27-(D$27+D$28)*B22/60</f>
        <v>2536.5853658536507</v>
      </c>
      <c r="D22" s="101">
        <f>D21</f>
        <v>0.1</v>
      </c>
      <c r="E22" s="104">
        <f t="shared" si="21"/>
        <v>2818.4281842818341</v>
      </c>
      <c r="F22" s="11"/>
      <c r="G22" s="11"/>
      <c r="H22" s="11"/>
      <c r="I22" s="14">
        <f t="shared" si="10"/>
        <v>16</v>
      </c>
      <c r="J22" s="63">
        <f t="shared" si="11"/>
        <v>206207.37235397837</v>
      </c>
      <c r="K22" s="63">
        <f t="shared" si="1"/>
        <v>910.82403276145214</v>
      </c>
      <c r="L22" s="63">
        <f t="shared" si="12"/>
        <v>-5062.8809553678084</v>
      </c>
      <c r="M22" s="65">
        <f t="shared" si="0"/>
        <v>202055.315431372</v>
      </c>
      <c r="O22" s="14">
        <f t="shared" si="13"/>
        <v>16</v>
      </c>
      <c r="P22" s="54">
        <f t="shared" si="14"/>
        <v>8322</v>
      </c>
      <c r="Q22" s="63">
        <f t="shared" si="15"/>
        <v>11965.596486768711</v>
      </c>
      <c r="R22" s="77">
        <f t="shared" si="2"/>
        <v>-5062.8809553678084</v>
      </c>
      <c r="S22" s="63">
        <f t="shared" si="16"/>
        <v>-2113.8211382113823</v>
      </c>
      <c r="T22" s="63"/>
      <c r="U22" s="63">
        <f t="shared" si="17"/>
        <v>-598.27982433843556</v>
      </c>
      <c r="V22" s="77">
        <f t="shared" si="20"/>
        <v>-388.9430894308943</v>
      </c>
      <c r="W22" s="83">
        <f t="shared" si="4"/>
        <v>3801.6714794201898</v>
      </c>
      <c r="X22" s="85">
        <f t="shared" si="18"/>
        <v>59780.402207308391</v>
      </c>
      <c r="Z22" s="92">
        <f t="shared" si="19"/>
        <v>186692.68292682926</v>
      </c>
      <c r="AA22" s="5">
        <f t="shared" si="5"/>
        <v>0</v>
      </c>
      <c r="AB22" s="92">
        <f t="shared" si="6"/>
        <v>186692.68292682926</v>
      </c>
      <c r="AD22" s="133">
        <f t="shared" si="7"/>
        <v>-33821.138211382102</v>
      </c>
      <c r="AE22" s="3">
        <f t="shared" si="8"/>
        <v>1</v>
      </c>
    </row>
    <row r="23" spans="1:31" ht="14.65" thickBot="1" x14ac:dyDescent="0.5">
      <c r="A23" s="6">
        <f>A22+1</f>
        <v>6</v>
      </c>
      <c r="B23" s="7">
        <f>B22+12</f>
        <v>72</v>
      </c>
      <c r="C23" s="93">
        <v>1</v>
      </c>
      <c r="D23" s="102">
        <f>D22</f>
        <v>0.1</v>
      </c>
      <c r="E23" s="105">
        <f t="shared" si="21"/>
        <v>1.1111111111111112</v>
      </c>
      <c r="H23" s="11"/>
      <c r="I23" s="14">
        <f t="shared" si="10"/>
        <v>17</v>
      </c>
      <c r="J23" s="63">
        <f t="shared" si="11"/>
        <v>202055.315431372</v>
      </c>
      <c r="K23" s="63">
        <f t="shared" si="1"/>
        <v>892.48427513139234</v>
      </c>
      <c r="L23" s="63">
        <f t="shared" si="12"/>
        <v>-5062.8809553678084</v>
      </c>
      <c r="M23" s="65">
        <f t="shared" si="0"/>
        <v>197884.91875113558</v>
      </c>
      <c r="O23" s="14">
        <f t="shared" si="13"/>
        <v>17</v>
      </c>
      <c r="P23" s="54">
        <f t="shared" si="14"/>
        <v>8842.125</v>
      </c>
      <c r="Q23" s="63">
        <f t="shared" si="15"/>
        <v>11965.596486768711</v>
      </c>
      <c r="R23" s="77">
        <f t="shared" si="2"/>
        <v>-5062.8809553678084</v>
      </c>
      <c r="S23" s="63">
        <f t="shared" si="16"/>
        <v>-2113.8211382113823</v>
      </c>
      <c r="T23" s="63"/>
      <c r="U23" s="63">
        <f t="shared" si="17"/>
        <v>-598.27982433843556</v>
      </c>
      <c r="V23" s="77">
        <f t="shared" si="20"/>
        <v>-380.22357723577238</v>
      </c>
      <c r="W23" s="83">
        <f t="shared" si="4"/>
        <v>3810.3909916153116</v>
      </c>
      <c r="X23" s="85">
        <f t="shared" si="18"/>
        <v>63590.793198923704</v>
      </c>
      <c r="Z23" s="92">
        <f t="shared" si="19"/>
        <v>182507.31707317074</v>
      </c>
      <c r="AA23" s="5">
        <f t="shared" si="5"/>
        <v>0</v>
      </c>
      <c r="AB23" s="92">
        <f t="shared" si="6"/>
        <v>182507.31707317074</v>
      </c>
      <c r="AD23" s="133">
        <f t="shared" si="7"/>
        <v>-35934.959349593482</v>
      </c>
      <c r="AE23" s="3">
        <f t="shared" si="8"/>
        <v>1</v>
      </c>
    </row>
    <row r="24" spans="1:31" ht="14.65" thickBot="1" x14ac:dyDescent="0.5">
      <c r="H24" s="11"/>
      <c r="I24" s="14">
        <f>I23+1</f>
        <v>18</v>
      </c>
      <c r="J24" s="63">
        <f t="shared" si="11"/>
        <v>197884.91875113558</v>
      </c>
      <c r="K24" s="63">
        <f t="shared" si="1"/>
        <v>874.06351025210699</v>
      </c>
      <c r="L24" s="63">
        <f t="shared" si="12"/>
        <v>-5062.8809553678084</v>
      </c>
      <c r="M24" s="65">
        <f t="shared" si="0"/>
        <v>193696.10130601987</v>
      </c>
      <c r="O24" s="14">
        <f>O23+1</f>
        <v>18</v>
      </c>
      <c r="P24" s="54">
        <f t="shared" si="14"/>
        <v>9362.25</v>
      </c>
      <c r="Q24" s="63">
        <f t="shared" si="15"/>
        <v>11965.596486768711</v>
      </c>
      <c r="R24" s="77">
        <f t="shared" si="2"/>
        <v>-5062.8809553678084</v>
      </c>
      <c r="S24" s="63">
        <f t="shared" si="16"/>
        <v>-2113.8211382113823</v>
      </c>
      <c r="T24" s="63"/>
      <c r="U24" s="63">
        <f t="shared" si="17"/>
        <v>-598.27982433843556</v>
      </c>
      <c r="V24" s="77">
        <f t="shared" si="20"/>
        <v>-371.50406504065046</v>
      </c>
      <c r="W24" s="83">
        <f t="shared" si="4"/>
        <v>3819.1105038104338</v>
      </c>
      <c r="X24" s="85">
        <f t="shared" si="18"/>
        <v>67409.90370273414</v>
      </c>
      <c r="Z24" s="92">
        <f t="shared" si="19"/>
        <v>178321.95121951221</v>
      </c>
      <c r="AA24" s="5">
        <f t="shared" si="5"/>
        <v>0</v>
      </c>
      <c r="AB24" s="92">
        <f t="shared" si="6"/>
        <v>178321.95121951221</v>
      </c>
      <c r="AD24" s="133">
        <f t="shared" si="7"/>
        <v>-38048.780487804863</v>
      </c>
      <c r="AE24" s="3">
        <f t="shared" si="8"/>
        <v>1</v>
      </c>
    </row>
    <row r="25" spans="1:31" ht="32.25" customHeight="1" thickBot="1" x14ac:dyDescent="0.5">
      <c r="A25" s="664" t="s">
        <v>21</v>
      </c>
      <c r="B25" s="665"/>
      <c r="C25" s="665"/>
      <c r="D25" s="665"/>
      <c r="E25" s="665"/>
      <c r="F25" s="665"/>
      <c r="G25" s="666"/>
      <c r="H25" s="11"/>
      <c r="I25" s="14">
        <f t="shared" si="10"/>
        <v>19</v>
      </c>
      <c r="J25" s="63">
        <f t="shared" si="11"/>
        <v>193696.10130601987</v>
      </c>
      <c r="K25" s="63">
        <f t="shared" si="1"/>
        <v>855.56138031219155</v>
      </c>
      <c r="L25" s="63">
        <f t="shared" si="12"/>
        <v>-5062.8809553678084</v>
      </c>
      <c r="M25" s="65">
        <f t="shared" si="0"/>
        <v>189488.78173096426</v>
      </c>
      <c r="O25" s="14">
        <f t="shared" si="13"/>
        <v>19</v>
      </c>
      <c r="P25" s="54">
        <f t="shared" si="14"/>
        <v>9882.375</v>
      </c>
      <c r="Q25" s="63">
        <f t="shared" si="15"/>
        <v>11965.596486768711</v>
      </c>
      <c r="R25" s="77">
        <f t="shared" si="2"/>
        <v>-5062.8809553678084</v>
      </c>
      <c r="S25" s="63">
        <f t="shared" si="16"/>
        <v>-2113.8211382113823</v>
      </c>
      <c r="T25" s="63"/>
      <c r="U25" s="63">
        <f t="shared" si="17"/>
        <v>-598.27982433843556</v>
      </c>
      <c r="V25" s="77">
        <f t="shared" si="20"/>
        <v>-362.78455284552848</v>
      </c>
      <c r="W25" s="83">
        <f t="shared" si="4"/>
        <v>3827.8300160055555</v>
      </c>
      <c r="X25" s="85">
        <f t="shared" si="18"/>
        <v>71237.733718739692</v>
      </c>
      <c r="Z25" s="92">
        <f t="shared" si="19"/>
        <v>174136.58536585368</v>
      </c>
      <c r="AA25" s="5">
        <f t="shared" si="5"/>
        <v>0</v>
      </c>
      <c r="AB25" s="92">
        <f t="shared" si="6"/>
        <v>174136.58536585368</v>
      </c>
      <c r="AD25" s="133">
        <f t="shared" si="7"/>
        <v>-40162.601626016243</v>
      </c>
      <c r="AE25" s="3">
        <f t="shared" si="8"/>
        <v>1</v>
      </c>
    </row>
    <row r="26" spans="1:31" ht="28.9" thickBot="1" x14ac:dyDescent="0.5">
      <c r="A26" s="26" t="s">
        <v>0</v>
      </c>
      <c r="B26" s="27" t="s">
        <v>1</v>
      </c>
      <c r="C26" s="43" t="s">
        <v>22</v>
      </c>
      <c r="D26" s="43" t="s">
        <v>10</v>
      </c>
      <c r="E26" s="43" t="s">
        <v>23</v>
      </c>
      <c r="F26" s="43" t="s">
        <v>24</v>
      </c>
      <c r="G26" s="44" t="s">
        <v>25</v>
      </c>
      <c r="H26" s="11"/>
      <c r="I26" s="14">
        <f t="shared" si="10"/>
        <v>20</v>
      </c>
      <c r="J26" s="63">
        <f t="shared" si="11"/>
        <v>189488.78173096426</v>
      </c>
      <c r="K26" s="63">
        <f t="shared" si="1"/>
        <v>836.97752591977894</v>
      </c>
      <c r="L26" s="63">
        <f t="shared" si="12"/>
        <v>-5062.8809553678084</v>
      </c>
      <c r="M26" s="65">
        <f t="shared" si="0"/>
        <v>185262.87830151623</v>
      </c>
      <c r="O26" s="14">
        <f t="shared" si="13"/>
        <v>20</v>
      </c>
      <c r="P26" s="54">
        <f t="shared" si="14"/>
        <v>10402.5</v>
      </c>
      <c r="Q26" s="63">
        <f t="shared" si="15"/>
        <v>11965.596486768711</v>
      </c>
      <c r="R26" s="77">
        <f t="shared" si="2"/>
        <v>-5062.8809553678084</v>
      </c>
      <c r="S26" s="63">
        <f t="shared" si="16"/>
        <v>-2113.8211382113823</v>
      </c>
      <c r="T26" s="63"/>
      <c r="U26" s="63">
        <f t="shared" si="17"/>
        <v>-598.27982433843556</v>
      </c>
      <c r="V26" s="77">
        <f t="shared" si="20"/>
        <v>-354.0650406504065</v>
      </c>
      <c r="W26" s="83">
        <f t="shared" si="4"/>
        <v>3836.5495282006777</v>
      </c>
      <c r="X26" s="85">
        <f t="shared" si="18"/>
        <v>75074.283246940366</v>
      </c>
      <c r="Z26" s="92">
        <f t="shared" si="19"/>
        <v>169951.21951219512</v>
      </c>
      <c r="AA26" s="5">
        <f t="shared" si="5"/>
        <v>0</v>
      </c>
      <c r="AB26" s="92">
        <f t="shared" si="6"/>
        <v>169951.21951219512</v>
      </c>
      <c r="AD26" s="133">
        <f t="shared" si="7"/>
        <v>-42276.422764227624</v>
      </c>
      <c r="AE26" s="3">
        <f t="shared" si="8"/>
        <v>1</v>
      </c>
    </row>
    <row r="27" spans="1:31" x14ac:dyDescent="0.45">
      <c r="A27" s="8">
        <v>1</v>
      </c>
      <c r="B27" s="9" t="s">
        <v>16</v>
      </c>
      <c r="C27" s="48">
        <v>1</v>
      </c>
      <c r="D27" s="153">
        <f>+F7</f>
        <v>253658.53658536586</v>
      </c>
      <c r="E27" s="342">
        <f>+'Summary Equip'!AE13</f>
        <v>0.8</v>
      </c>
      <c r="F27" s="62">
        <f>E27*D27</f>
        <v>202926.8292682927</v>
      </c>
      <c r="G27" s="60">
        <f>D27-F27</f>
        <v>50731.70731707316</v>
      </c>
      <c r="H27" s="11"/>
      <c r="I27" s="14">
        <f t="shared" si="10"/>
        <v>21</v>
      </c>
      <c r="J27" s="63">
        <f t="shared" si="11"/>
        <v>185262.87830151623</v>
      </c>
      <c r="K27" s="63">
        <f t="shared" si="1"/>
        <v>818.31158609555689</v>
      </c>
      <c r="L27" s="63">
        <f t="shared" si="12"/>
        <v>-5062.8809553678084</v>
      </c>
      <c r="M27" s="65">
        <f t="shared" si="0"/>
        <v>181018.30893224396</v>
      </c>
      <c r="O27" s="14">
        <f t="shared" si="13"/>
        <v>21</v>
      </c>
      <c r="P27" s="54">
        <f t="shared" si="14"/>
        <v>10922.625</v>
      </c>
      <c r="Q27" s="63">
        <f t="shared" si="15"/>
        <v>11965.596486768711</v>
      </c>
      <c r="R27" s="77">
        <f t="shared" si="2"/>
        <v>-5062.8809553678084</v>
      </c>
      <c r="S27" s="63">
        <f t="shared" si="16"/>
        <v>-2113.8211382113823</v>
      </c>
      <c r="T27" s="63"/>
      <c r="U27" s="63">
        <f t="shared" si="17"/>
        <v>-598.27982433843556</v>
      </c>
      <c r="V27" s="77">
        <f t="shared" si="20"/>
        <v>-345.34552845528464</v>
      </c>
      <c r="W27" s="83">
        <f t="shared" si="4"/>
        <v>3845.2690403957995</v>
      </c>
      <c r="X27" s="85">
        <f t="shared" si="18"/>
        <v>78919.552287336162</v>
      </c>
      <c r="Z27" s="92">
        <f t="shared" si="19"/>
        <v>165765.85365853659</v>
      </c>
      <c r="AA27" s="5">
        <f t="shared" si="5"/>
        <v>0</v>
      </c>
      <c r="AB27" s="92">
        <f t="shared" si="6"/>
        <v>165765.85365853659</v>
      </c>
      <c r="AD27" s="133">
        <f t="shared" si="7"/>
        <v>-44390.243902439004</v>
      </c>
      <c r="AE27" s="3">
        <f t="shared" si="8"/>
        <v>1</v>
      </c>
    </row>
    <row r="28" spans="1:31" x14ac:dyDescent="0.45">
      <c r="A28" s="4">
        <f>A27+1</f>
        <v>2</v>
      </c>
      <c r="B28" s="5" t="s">
        <v>12</v>
      </c>
      <c r="C28" s="19">
        <f>C11</f>
        <v>0.01</v>
      </c>
      <c r="D28" s="300">
        <f>-C28*D27</f>
        <v>-2536.5853658536585</v>
      </c>
      <c r="E28" s="23">
        <f>E27</f>
        <v>0.8</v>
      </c>
      <c r="F28" s="63">
        <f t="shared" ref="F28:F33" si="22">E28*D28</f>
        <v>-2029.2682926829268</v>
      </c>
      <c r="G28" s="65">
        <f>D28-F28</f>
        <v>-507.31707317073165</v>
      </c>
      <c r="H28" s="11"/>
      <c r="I28" s="14">
        <f t="shared" si="10"/>
        <v>22</v>
      </c>
      <c r="J28" s="63">
        <f t="shared" si="11"/>
        <v>181018.30893224396</v>
      </c>
      <c r="K28" s="63">
        <f t="shared" si="1"/>
        <v>799.56319826575714</v>
      </c>
      <c r="L28" s="63">
        <f t="shared" si="12"/>
        <v>-5062.8809553678084</v>
      </c>
      <c r="M28" s="65">
        <f t="shared" si="0"/>
        <v>176754.99117514191</v>
      </c>
      <c r="O28" s="14">
        <f t="shared" si="13"/>
        <v>22</v>
      </c>
      <c r="P28" s="54">
        <f t="shared" si="14"/>
        <v>11442.75</v>
      </c>
      <c r="Q28" s="63">
        <f t="shared" si="15"/>
        <v>11965.596486768711</v>
      </c>
      <c r="R28" s="77">
        <f t="shared" si="2"/>
        <v>-5062.8809553678084</v>
      </c>
      <c r="S28" s="63">
        <f t="shared" si="16"/>
        <v>-2113.8211382113823</v>
      </c>
      <c r="T28" s="63"/>
      <c r="U28" s="63">
        <f t="shared" si="17"/>
        <v>-598.27982433843556</v>
      </c>
      <c r="V28" s="77">
        <f t="shared" si="20"/>
        <v>-336.6260162601626</v>
      </c>
      <c r="W28" s="83">
        <f t="shared" si="4"/>
        <v>3853.9885525909217</v>
      </c>
      <c r="X28" s="85">
        <f t="shared" si="18"/>
        <v>82773.540839927082</v>
      </c>
      <c r="Z28" s="92">
        <f t="shared" si="19"/>
        <v>161580.48780487804</v>
      </c>
      <c r="AA28" s="5">
        <f t="shared" si="5"/>
        <v>0</v>
      </c>
      <c r="AB28" s="92">
        <f t="shared" si="6"/>
        <v>161580.48780487804</v>
      </c>
      <c r="AD28" s="133">
        <f t="shared" si="7"/>
        <v>-46504.065040650385</v>
      </c>
      <c r="AE28" s="3">
        <f t="shared" si="8"/>
        <v>1</v>
      </c>
    </row>
    <row r="29" spans="1:31" x14ac:dyDescent="0.45">
      <c r="A29" s="4">
        <f t="shared" ref="A29:A34" si="23">A28+1</f>
        <v>3</v>
      </c>
      <c r="B29" s="5" t="s">
        <v>17</v>
      </c>
      <c r="C29" s="24">
        <f>C8</f>
        <v>5.2999999999999999E-2</v>
      </c>
      <c r="D29" s="63">
        <f>K67</f>
        <v>35725.92416147871</v>
      </c>
      <c r="E29" s="23">
        <v>1</v>
      </c>
      <c r="F29" s="63">
        <f t="shared" si="22"/>
        <v>35725.92416147871</v>
      </c>
      <c r="G29" s="65">
        <f>D29-F29</f>
        <v>0</v>
      </c>
      <c r="H29" s="11"/>
      <c r="I29" s="14">
        <f t="shared" si="10"/>
        <v>23</v>
      </c>
      <c r="J29" s="63">
        <f t="shared" si="11"/>
        <v>176754.99117514191</v>
      </c>
      <c r="K29" s="63">
        <f t="shared" si="1"/>
        <v>780.7319982551129</v>
      </c>
      <c r="L29" s="63">
        <f t="shared" si="12"/>
        <v>-5062.8809553678084</v>
      </c>
      <c r="M29" s="65">
        <f t="shared" si="0"/>
        <v>172472.84221802923</v>
      </c>
      <c r="O29" s="14">
        <f t="shared" si="13"/>
        <v>23</v>
      </c>
      <c r="P29" s="54">
        <f t="shared" si="14"/>
        <v>11962.875</v>
      </c>
      <c r="Q29" s="63">
        <f t="shared" si="15"/>
        <v>11965.596486768711</v>
      </c>
      <c r="R29" s="77">
        <f t="shared" si="2"/>
        <v>-5062.8809553678084</v>
      </c>
      <c r="S29" s="63">
        <f t="shared" si="16"/>
        <v>-2113.8211382113823</v>
      </c>
      <c r="T29" s="63"/>
      <c r="U29" s="63">
        <f t="shared" si="17"/>
        <v>-598.27982433843556</v>
      </c>
      <c r="V29" s="77">
        <f t="shared" si="20"/>
        <v>-327.90650406504068</v>
      </c>
      <c r="W29" s="83">
        <f t="shared" si="4"/>
        <v>3862.7080647860435</v>
      </c>
      <c r="X29" s="85">
        <f t="shared" si="18"/>
        <v>86636.248904713124</v>
      </c>
      <c r="Z29" s="92">
        <f t="shared" si="19"/>
        <v>157395.12195121951</v>
      </c>
      <c r="AA29" s="5">
        <f t="shared" si="5"/>
        <v>0</v>
      </c>
      <c r="AB29" s="92">
        <f t="shared" si="6"/>
        <v>157395.12195121951</v>
      </c>
      <c r="AD29" s="133">
        <f t="shared" si="7"/>
        <v>-48617.886178861765</v>
      </c>
      <c r="AE29" s="3">
        <f t="shared" si="8"/>
        <v>1</v>
      </c>
    </row>
    <row r="30" spans="1:31" x14ac:dyDescent="0.45">
      <c r="A30" s="4">
        <f t="shared" si="23"/>
        <v>4</v>
      </c>
      <c r="B30" s="5" t="s">
        <v>6</v>
      </c>
      <c r="C30" s="23">
        <f>C9</f>
        <v>2.5000000000000001E-2</v>
      </c>
      <c r="D30" s="63">
        <f>-V67</f>
        <v>15111.707317073171</v>
      </c>
      <c r="E30" s="23">
        <v>1</v>
      </c>
      <c r="F30" s="63">
        <f t="shared" si="22"/>
        <v>15111.707317073171</v>
      </c>
      <c r="G30" s="65">
        <f>D30-F30</f>
        <v>0</v>
      </c>
      <c r="H30" s="11"/>
      <c r="I30" s="14">
        <f t="shared" si="10"/>
        <v>24</v>
      </c>
      <c r="J30" s="63">
        <f t="shared" si="11"/>
        <v>172472.84221802923</v>
      </c>
      <c r="K30" s="63">
        <f t="shared" si="1"/>
        <v>761.81762027978345</v>
      </c>
      <c r="L30" s="63">
        <f t="shared" si="12"/>
        <v>-5062.8809553678084</v>
      </c>
      <c r="M30" s="65">
        <f t="shared" si="0"/>
        <v>168171.7788829412</v>
      </c>
      <c r="O30" s="14">
        <f t="shared" si="13"/>
        <v>24</v>
      </c>
      <c r="P30" s="54">
        <f t="shared" si="14"/>
        <v>12483</v>
      </c>
      <c r="Q30" s="63">
        <f t="shared" si="15"/>
        <v>11965.596486768711</v>
      </c>
      <c r="R30" s="77">
        <f t="shared" si="2"/>
        <v>-5062.8809553678084</v>
      </c>
      <c r="S30" s="63">
        <f t="shared" si="16"/>
        <v>-2113.8211382113823</v>
      </c>
      <c r="T30" s="63"/>
      <c r="U30" s="63">
        <f t="shared" si="17"/>
        <v>-598.27982433843556</v>
      </c>
      <c r="V30" s="77">
        <f t="shared" si="20"/>
        <v>-319.1869918699187</v>
      </c>
      <c r="W30" s="83">
        <f t="shared" si="4"/>
        <v>3871.4275769811657</v>
      </c>
      <c r="X30" s="85">
        <f t="shared" si="18"/>
        <v>90507.676481694289</v>
      </c>
      <c r="Z30" s="92">
        <f t="shared" si="19"/>
        <v>153209.75609756098</v>
      </c>
      <c r="AA30" s="5">
        <f t="shared" si="5"/>
        <v>0</v>
      </c>
      <c r="AB30" s="92">
        <f t="shared" si="6"/>
        <v>153209.75609756098</v>
      </c>
      <c r="AD30" s="133">
        <f t="shared" si="7"/>
        <v>-50731.707317073146</v>
      </c>
      <c r="AE30" s="3">
        <f t="shared" si="8"/>
        <v>1</v>
      </c>
    </row>
    <row r="31" spans="1:31" x14ac:dyDescent="0.45">
      <c r="A31" s="4">
        <f t="shared" si="23"/>
        <v>5</v>
      </c>
      <c r="B31" s="5" t="s">
        <v>27</v>
      </c>
      <c r="C31" s="334">
        <f>+'Summary Equip'!AH13</f>
        <v>0.5</v>
      </c>
      <c r="D31" s="63">
        <f>D27*C31</f>
        <v>126829.26829268293</v>
      </c>
      <c r="E31" s="334">
        <f>+ASSUMPTIONS!B43</f>
        <v>0.1</v>
      </c>
      <c r="F31" s="63">
        <f t="shared" si="22"/>
        <v>12682.926829268294</v>
      </c>
      <c r="G31" s="65">
        <f>D31</f>
        <v>126829.26829268293</v>
      </c>
      <c r="H31" s="11"/>
      <c r="I31" s="14">
        <f t="shared" si="10"/>
        <v>25</v>
      </c>
      <c r="J31" s="63">
        <f t="shared" si="11"/>
        <v>168171.7788829412</v>
      </c>
      <c r="K31" s="63">
        <f t="shared" si="1"/>
        <v>742.81969694025111</v>
      </c>
      <c r="L31" s="63">
        <f t="shared" si="12"/>
        <v>-5062.8809553678084</v>
      </c>
      <c r="M31" s="65">
        <f t="shared" si="0"/>
        <v>163851.71762451364</v>
      </c>
      <c r="O31" s="14">
        <f t="shared" si="13"/>
        <v>25</v>
      </c>
      <c r="P31" s="54">
        <f t="shared" si="14"/>
        <v>13003.125</v>
      </c>
      <c r="Q31" s="63">
        <f t="shared" si="15"/>
        <v>11965.596486768711</v>
      </c>
      <c r="R31" s="77">
        <f t="shared" si="2"/>
        <v>-5062.8809553678084</v>
      </c>
      <c r="S31" s="63">
        <f t="shared" si="16"/>
        <v>-2113.8211382113823</v>
      </c>
      <c r="T31" s="63"/>
      <c r="U31" s="63">
        <f t="shared" si="17"/>
        <v>-598.27982433843556</v>
      </c>
      <c r="V31" s="77">
        <f t="shared" si="20"/>
        <v>-310.46747967479678</v>
      </c>
      <c r="W31" s="83">
        <f t="shared" si="4"/>
        <v>3880.1470891762874</v>
      </c>
      <c r="X31" s="85">
        <f t="shared" si="18"/>
        <v>94387.823570870576</v>
      </c>
      <c r="Z31" s="92">
        <f t="shared" si="19"/>
        <v>149024.39024390245</v>
      </c>
      <c r="AA31" s="5">
        <f t="shared" si="5"/>
        <v>0</v>
      </c>
      <c r="AB31" s="92">
        <f t="shared" si="6"/>
        <v>149024.39024390245</v>
      </c>
      <c r="AD31" s="133">
        <f t="shared" si="7"/>
        <v>-52845.528455284526</v>
      </c>
      <c r="AE31" s="3">
        <f t="shared" si="8"/>
        <v>1</v>
      </c>
    </row>
    <row r="32" spans="1:31" x14ac:dyDescent="0.45">
      <c r="A32" s="4">
        <f t="shared" si="23"/>
        <v>6</v>
      </c>
      <c r="B32" s="5" t="s">
        <v>26</v>
      </c>
      <c r="C32" s="335">
        <f>+'Summary Equip'!AI13</f>
        <v>0.15</v>
      </c>
      <c r="D32" s="63">
        <f>D27*C32</f>
        <v>38048.780487804877</v>
      </c>
      <c r="E32" s="334">
        <f>+ASSUMPTIONS!B44</f>
        <v>0.05</v>
      </c>
      <c r="F32" s="63">
        <f t="shared" si="22"/>
        <v>1902.439024390244</v>
      </c>
      <c r="G32" s="65">
        <f>D32</f>
        <v>38048.780487804877</v>
      </c>
      <c r="H32" s="11"/>
      <c r="I32" s="14">
        <f t="shared" si="10"/>
        <v>26</v>
      </c>
      <c r="J32" s="63">
        <f t="shared" si="11"/>
        <v>163851.71762451364</v>
      </c>
      <c r="K32" s="63">
        <f t="shared" si="1"/>
        <v>723.73785921418312</v>
      </c>
      <c r="L32" s="63">
        <f t="shared" si="12"/>
        <v>-5062.8809553678084</v>
      </c>
      <c r="M32" s="65">
        <f t="shared" si="0"/>
        <v>159512.57452836001</v>
      </c>
      <c r="O32" s="14">
        <f t="shared" si="13"/>
        <v>26</v>
      </c>
      <c r="P32" s="54">
        <f t="shared" si="14"/>
        <v>13523.25</v>
      </c>
      <c r="Q32" s="63">
        <f t="shared" si="15"/>
        <v>11965.596486768711</v>
      </c>
      <c r="R32" s="77">
        <f t="shared" si="2"/>
        <v>-5062.8809553678084</v>
      </c>
      <c r="S32" s="63">
        <f t="shared" si="16"/>
        <v>-2113.8211382113823</v>
      </c>
      <c r="T32" s="63"/>
      <c r="U32" s="63">
        <f t="shared" si="17"/>
        <v>-598.27982433843556</v>
      </c>
      <c r="V32" s="77">
        <f t="shared" si="20"/>
        <v>-301.7479674796748</v>
      </c>
      <c r="W32" s="83">
        <f t="shared" si="4"/>
        <v>3888.8666013714092</v>
      </c>
      <c r="X32" s="85">
        <f t="shared" si="18"/>
        <v>98276.690172241986</v>
      </c>
      <c r="Z32" s="92">
        <f t="shared" si="19"/>
        <v>144839.0243902439</v>
      </c>
      <c r="AA32" s="5">
        <f t="shared" si="5"/>
        <v>0</v>
      </c>
      <c r="AB32" s="92">
        <f t="shared" si="6"/>
        <v>144839.0243902439</v>
      </c>
      <c r="AD32" s="133">
        <f t="shared" si="7"/>
        <v>-54959.349593495906</v>
      </c>
      <c r="AE32" s="3">
        <f t="shared" si="8"/>
        <v>1</v>
      </c>
    </row>
    <row r="33" spans="1:31" ht="14.65" thickBot="1" x14ac:dyDescent="0.5">
      <c r="A33" s="6">
        <f t="shared" si="23"/>
        <v>7</v>
      </c>
      <c r="B33" s="7" t="s">
        <v>32</v>
      </c>
      <c r="C33" s="336">
        <f>+'Summary Equip'!AJ13</f>
        <v>0.03</v>
      </c>
      <c r="D33" s="64">
        <f>D27*C33</f>
        <v>7609.7560975609758</v>
      </c>
      <c r="E33" s="334">
        <f>+ASSUMPTIONS!B45</f>
        <v>0</v>
      </c>
      <c r="F33" s="64">
        <f t="shared" si="22"/>
        <v>0</v>
      </c>
      <c r="G33" s="66">
        <f>D33</f>
        <v>7609.7560975609758</v>
      </c>
      <c r="H33" s="11"/>
      <c r="I33" s="14">
        <f t="shared" si="10"/>
        <v>27</v>
      </c>
      <c r="J33" s="63">
        <f t="shared" si="11"/>
        <v>159512.57452836001</v>
      </c>
      <c r="K33" s="63">
        <f t="shared" si="1"/>
        <v>704.57173644926422</v>
      </c>
      <c r="L33" s="63">
        <f t="shared" si="12"/>
        <v>-5062.8809553678084</v>
      </c>
      <c r="M33" s="65">
        <f t="shared" si="0"/>
        <v>155154.26530944146</v>
      </c>
      <c r="O33" s="14">
        <f t="shared" si="13"/>
        <v>27</v>
      </c>
      <c r="P33" s="54">
        <f t="shared" si="14"/>
        <v>14043.375</v>
      </c>
      <c r="Q33" s="63">
        <f t="shared" si="15"/>
        <v>11965.596486768711</v>
      </c>
      <c r="R33" s="77">
        <f t="shared" si="2"/>
        <v>-5062.8809553678084</v>
      </c>
      <c r="S33" s="63">
        <f t="shared" si="16"/>
        <v>-2113.8211382113823</v>
      </c>
      <c r="T33" s="63"/>
      <c r="U33" s="63">
        <f t="shared" si="17"/>
        <v>-598.27982433843556</v>
      </c>
      <c r="V33" s="77">
        <f t="shared" si="20"/>
        <v>-293.02845528455282</v>
      </c>
      <c r="W33" s="83">
        <f t="shared" si="4"/>
        <v>3897.5861135665314</v>
      </c>
      <c r="X33" s="85">
        <f t="shared" si="18"/>
        <v>102174.27628580852</v>
      </c>
      <c r="Z33" s="92">
        <f t="shared" si="19"/>
        <v>140653.65853658534</v>
      </c>
      <c r="AA33" s="5">
        <f t="shared" si="5"/>
        <v>0</v>
      </c>
      <c r="AB33" s="92">
        <f t="shared" si="6"/>
        <v>140653.65853658534</v>
      </c>
      <c r="AD33" s="133">
        <f t="shared" si="7"/>
        <v>-57073.170731707287</v>
      </c>
      <c r="AE33" s="3">
        <f t="shared" si="8"/>
        <v>1</v>
      </c>
    </row>
    <row r="34" spans="1:31" ht="14.65" thickBot="1" x14ac:dyDescent="0.5">
      <c r="A34" s="33">
        <f t="shared" si="23"/>
        <v>8</v>
      </c>
      <c r="B34" s="30" t="s">
        <v>8</v>
      </c>
      <c r="C34" s="45"/>
      <c r="D34" s="46"/>
      <c r="E34" s="47"/>
      <c r="F34" s="67">
        <f>SUM(F27:F33)</f>
        <v>266320.55830782017</v>
      </c>
      <c r="G34" s="68">
        <f>SUM(G27:G33)</f>
        <v>222712.19512195123</v>
      </c>
      <c r="H34" s="11"/>
      <c r="I34" s="14">
        <f t="shared" si="10"/>
        <v>28</v>
      </c>
      <c r="J34" s="63">
        <f t="shared" si="11"/>
        <v>155154.26530944146</v>
      </c>
      <c r="K34" s="63">
        <f t="shared" si="1"/>
        <v>685.32095635599751</v>
      </c>
      <c r="L34" s="63">
        <f t="shared" si="12"/>
        <v>-5062.8809553678084</v>
      </c>
      <c r="M34" s="65">
        <f t="shared" si="0"/>
        <v>150776.70531042965</v>
      </c>
      <c r="O34" s="14">
        <f t="shared" si="13"/>
        <v>28</v>
      </c>
      <c r="P34" s="54">
        <f t="shared" si="14"/>
        <v>14563.5</v>
      </c>
      <c r="Q34" s="63">
        <f t="shared" si="15"/>
        <v>11965.596486768711</v>
      </c>
      <c r="R34" s="77">
        <f t="shared" si="2"/>
        <v>-5062.8809553678084</v>
      </c>
      <c r="S34" s="63">
        <f t="shared" si="16"/>
        <v>-2113.8211382113823</v>
      </c>
      <c r="T34" s="63"/>
      <c r="U34" s="63">
        <f t="shared" si="17"/>
        <v>-598.27982433843556</v>
      </c>
      <c r="V34" s="77">
        <f t="shared" si="20"/>
        <v>-284.3089430894309</v>
      </c>
      <c r="W34" s="83">
        <f t="shared" si="4"/>
        <v>3906.3056257616531</v>
      </c>
      <c r="X34" s="85">
        <f t="shared" si="18"/>
        <v>106080.58191157017</v>
      </c>
      <c r="Z34" s="92">
        <f t="shared" si="19"/>
        <v>136468.29268292681</v>
      </c>
      <c r="AA34" s="5">
        <f t="shared" si="5"/>
        <v>0</v>
      </c>
      <c r="AB34" s="92">
        <f t="shared" si="6"/>
        <v>136468.29268292681</v>
      </c>
      <c r="AD34" s="133">
        <f t="shared" si="7"/>
        <v>-59186.991869918667</v>
      </c>
      <c r="AE34" s="3">
        <f t="shared" si="8"/>
        <v>1</v>
      </c>
    </row>
    <row r="35" spans="1:31" ht="14.65" thickBot="1" x14ac:dyDescent="0.5">
      <c r="A35" s="31">
        <f>A34+1</f>
        <v>9</v>
      </c>
      <c r="B35" s="32" t="s">
        <v>7</v>
      </c>
      <c r="C35" s="42">
        <f>+C10</f>
        <v>0.05</v>
      </c>
      <c r="D35" s="22"/>
      <c r="E35" s="34"/>
      <c r="F35" s="69">
        <f>F36-F34</f>
        <v>14016.871489885263</v>
      </c>
      <c r="G35" s="70">
        <f>G36-G34</f>
        <v>11721.694480102713</v>
      </c>
      <c r="H35" s="11"/>
      <c r="I35" s="14">
        <f t="shared" si="10"/>
        <v>29</v>
      </c>
      <c r="J35" s="63">
        <f t="shared" si="11"/>
        <v>150776.70531042965</v>
      </c>
      <c r="K35" s="63">
        <f t="shared" si="1"/>
        <v>665.9851450004719</v>
      </c>
      <c r="L35" s="63">
        <f t="shared" si="12"/>
        <v>-5062.8809553678084</v>
      </c>
      <c r="M35" s="65">
        <f t="shared" si="0"/>
        <v>146379.80950006231</v>
      </c>
      <c r="O35" s="14">
        <f t="shared" si="13"/>
        <v>29</v>
      </c>
      <c r="P35" s="54">
        <f t="shared" si="14"/>
        <v>15083.625</v>
      </c>
      <c r="Q35" s="63">
        <f t="shared" si="15"/>
        <v>11965.596486768711</v>
      </c>
      <c r="R35" s="77">
        <f t="shared" si="2"/>
        <v>-5062.8809553678084</v>
      </c>
      <c r="S35" s="63">
        <f t="shared" si="16"/>
        <v>-2113.8211382113823</v>
      </c>
      <c r="T35" s="63"/>
      <c r="U35" s="63">
        <f t="shared" si="17"/>
        <v>-598.27982433843556</v>
      </c>
      <c r="V35" s="77">
        <f t="shared" si="20"/>
        <v>-275.58943089430892</v>
      </c>
      <c r="W35" s="83">
        <f t="shared" si="4"/>
        <v>3915.0251379567753</v>
      </c>
      <c r="X35" s="85">
        <f t="shared" si="18"/>
        <v>109995.60704952695</v>
      </c>
      <c r="Z35" s="92">
        <f t="shared" si="19"/>
        <v>132282.92682926828</v>
      </c>
      <c r="AA35" s="5">
        <f t="shared" si="5"/>
        <v>0</v>
      </c>
      <c r="AB35" s="92">
        <f t="shared" si="6"/>
        <v>132282.92682926828</v>
      </c>
      <c r="AD35" s="133">
        <f t="shared" si="7"/>
        <v>-61300.813008130048</v>
      </c>
      <c r="AE35" s="3">
        <f t="shared" si="8"/>
        <v>1</v>
      </c>
    </row>
    <row r="36" spans="1:31" ht="14.65" thickBot="1" x14ac:dyDescent="0.5">
      <c r="A36" s="37">
        <f>A35+1</f>
        <v>10</v>
      </c>
      <c r="B36" s="38" t="s">
        <v>28</v>
      </c>
      <c r="C36" s="39"/>
      <c r="D36" s="40"/>
      <c r="E36" s="41"/>
      <c r="F36" s="71">
        <f>F34/(100%-C35)</f>
        <v>280337.42979770544</v>
      </c>
      <c r="G36" s="72">
        <f>G34/(100%-C35)</f>
        <v>234433.88960205394</v>
      </c>
      <c r="H36" s="11"/>
      <c r="I36" s="14">
        <f t="shared" si="10"/>
        <v>30</v>
      </c>
      <c r="J36" s="63">
        <f t="shared" si="11"/>
        <v>146379.80950006231</v>
      </c>
      <c r="K36" s="63">
        <f t="shared" si="1"/>
        <v>646.56392679709938</v>
      </c>
      <c r="L36" s="63">
        <f t="shared" si="12"/>
        <v>-5062.8809553678084</v>
      </c>
      <c r="M36" s="65">
        <f t="shared" si="0"/>
        <v>141963.4924714916</v>
      </c>
      <c r="O36" s="14">
        <f t="shared" si="13"/>
        <v>30</v>
      </c>
      <c r="P36" s="54">
        <f t="shared" si="14"/>
        <v>15603.75</v>
      </c>
      <c r="Q36" s="63">
        <f t="shared" si="15"/>
        <v>11965.596486768711</v>
      </c>
      <c r="R36" s="77">
        <f t="shared" si="2"/>
        <v>-5062.8809553678084</v>
      </c>
      <c r="S36" s="63">
        <f t="shared" si="16"/>
        <v>-2113.8211382113823</v>
      </c>
      <c r="T36" s="63">
        <f>-T68*0.5</f>
        <v>-19024.390243902439</v>
      </c>
      <c r="U36" s="63">
        <f t="shared" si="17"/>
        <v>-598.27982433843556</v>
      </c>
      <c r="V36" s="77">
        <f t="shared" si="20"/>
        <v>-266.869918699187</v>
      </c>
      <c r="W36" s="83">
        <f t="shared" si="4"/>
        <v>-15100.645593750542</v>
      </c>
      <c r="X36" s="85">
        <f t="shared" si="18"/>
        <v>94894.961455776414</v>
      </c>
      <c r="Z36" s="92">
        <f t="shared" si="19"/>
        <v>128097.56097560975</v>
      </c>
      <c r="AA36" s="5">
        <f t="shared" si="5"/>
        <v>0</v>
      </c>
      <c r="AB36" s="92">
        <f t="shared" si="6"/>
        <v>128097.56097560975</v>
      </c>
      <c r="AD36" s="133">
        <f t="shared" si="7"/>
        <v>-63414.634146341428</v>
      </c>
      <c r="AE36" s="3">
        <f t="shared" si="8"/>
        <v>1</v>
      </c>
    </row>
    <row r="37" spans="1:31" x14ac:dyDescent="0.45">
      <c r="C37" s="11"/>
      <c r="D37" s="11"/>
      <c r="E37" s="11"/>
      <c r="F37" s="11"/>
      <c r="G37" s="11"/>
      <c r="H37" s="11"/>
      <c r="I37" s="14">
        <f t="shared" si="10"/>
        <v>31</v>
      </c>
      <c r="J37" s="63">
        <f t="shared" si="11"/>
        <v>141963.4924714916</v>
      </c>
      <c r="K37" s="63">
        <f t="shared" si="1"/>
        <v>627.05692450131914</v>
      </c>
      <c r="L37" s="63">
        <f t="shared" si="12"/>
        <v>-5062.8809553678084</v>
      </c>
      <c r="M37" s="65">
        <f t="shared" si="0"/>
        <v>137527.6684406251</v>
      </c>
      <c r="O37" s="14">
        <f t="shared" si="13"/>
        <v>31</v>
      </c>
      <c r="P37" s="54">
        <f t="shared" si="14"/>
        <v>16123.875</v>
      </c>
      <c r="Q37" s="63">
        <f t="shared" si="15"/>
        <v>11965.596486768711</v>
      </c>
      <c r="R37" s="77">
        <f t="shared" si="2"/>
        <v>-5062.8809553678084</v>
      </c>
      <c r="S37" s="63">
        <f t="shared" si="16"/>
        <v>-2113.8211382113823</v>
      </c>
      <c r="T37" s="63"/>
      <c r="U37" s="63">
        <f t="shared" si="17"/>
        <v>-598.27982433843556</v>
      </c>
      <c r="V37" s="77">
        <f t="shared" si="20"/>
        <v>-258.15040650406507</v>
      </c>
      <c r="W37" s="83">
        <f t="shared" si="4"/>
        <v>3932.4641623470193</v>
      </c>
      <c r="X37" s="85">
        <f t="shared" si="18"/>
        <v>98827.425618123438</v>
      </c>
      <c r="Z37" s="92">
        <f t="shared" si="19"/>
        <v>123912.19512195121</v>
      </c>
      <c r="AA37" s="5">
        <f t="shared" si="5"/>
        <v>0</v>
      </c>
      <c r="AB37" s="92">
        <f t="shared" si="6"/>
        <v>123912.19512195121</v>
      </c>
      <c r="AD37" s="133">
        <f t="shared" si="7"/>
        <v>-65528.455284552809</v>
      </c>
      <c r="AE37" s="3">
        <f t="shared" si="8"/>
        <v>1</v>
      </c>
    </row>
    <row r="38" spans="1:31" x14ac:dyDescent="0.45">
      <c r="C38" s="11"/>
      <c r="D38" s="11"/>
      <c r="E38" s="11"/>
      <c r="F38" s="11"/>
      <c r="G38" s="11"/>
      <c r="H38" s="11"/>
      <c r="I38" s="14">
        <f t="shared" si="10"/>
        <v>32</v>
      </c>
      <c r="J38" s="63">
        <f t="shared" si="11"/>
        <v>137527.6684406251</v>
      </c>
      <c r="K38" s="63">
        <f t="shared" si="1"/>
        <v>607.46375920227047</v>
      </c>
      <c r="L38" s="63">
        <f t="shared" si="12"/>
        <v>-5062.8809553678084</v>
      </c>
      <c r="M38" s="65">
        <f t="shared" si="0"/>
        <v>133072.25124445956</v>
      </c>
      <c r="O38" s="14">
        <f t="shared" si="13"/>
        <v>32</v>
      </c>
      <c r="P38" s="54">
        <f t="shared" si="14"/>
        <v>16644</v>
      </c>
      <c r="Q38" s="63">
        <f t="shared" si="15"/>
        <v>11965.596486768711</v>
      </c>
      <c r="R38" s="77">
        <f t="shared" si="2"/>
        <v>-5062.8809553678084</v>
      </c>
      <c r="S38" s="63">
        <f t="shared" si="16"/>
        <v>-2113.8211382113823</v>
      </c>
      <c r="T38" s="63"/>
      <c r="U38" s="63">
        <f t="shared" si="17"/>
        <v>-598.27982433843556</v>
      </c>
      <c r="V38" s="77">
        <f t="shared" si="20"/>
        <v>-249.43089430894307</v>
      </c>
      <c r="W38" s="83">
        <f t="shared" si="4"/>
        <v>3941.183674542141</v>
      </c>
      <c r="X38" s="85">
        <f t="shared" si="18"/>
        <v>102768.60929266558</v>
      </c>
      <c r="Z38" s="92">
        <f t="shared" si="19"/>
        <v>119726.82926829267</v>
      </c>
      <c r="AA38" s="5">
        <f t="shared" si="5"/>
        <v>0</v>
      </c>
      <c r="AB38" s="92">
        <f t="shared" si="6"/>
        <v>119726.82926829267</v>
      </c>
      <c r="AD38" s="133">
        <f t="shared" si="7"/>
        <v>-67642.276422764189</v>
      </c>
      <c r="AE38" s="3">
        <f t="shared" si="8"/>
        <v>1</v>
      </c>
    </row>
    <row r="39" spans="1:31" x14ac:dyDescent="0.45">
      <c r="C39" s="11"/>
      <c r="D39" s="11"/>
      <c r="E39" s="11"/>
      <c r="F39" s="11"/>
      <c r="G39" s="11"/>
      <c r="H39" s="11"/>
      <c r="I39" s="14">
        <f t="shared" si="10"/>
        <v>33</v>
      </c>
      <c r="J39" s="63">
        <f t="shared" si="11"/>
        <v>133072.25124445956</v>
      </c>
      <c r="K39" s="63">
        <f t="shared" si="1"/>
        <v>587.78405031543195</v>
      </c>
      <c r="L39" s="63">
        <f t="shared" si="12"/>
        <v>-5062.8809553678084</v>
      </c>
      <c r="M39" s="65">
        <f t="shared" si="0"/>
        <v>128597.15433940719</v>
      </c>
      <c r="O39" s="14">
        <f t="shared" si="13"/>
        <v>33</v>
      </c>
      <c r="P39" s="54">
        <f t="shared" si="14"/>
        <v>17164.125</v>
      </c>
      <c r="Q39" s="63">
        <f t="shared" si="15"/>
        <v>11965.596486768711</v>
      </c>
      <c r="R39" s="77">
        <f t="shared" si="2"/>
        <v>-5062.8809553678084</v>
      </c>
      <c r="S39" s="63">
        <f t="shared" si="16"/>
        <v>-2113.8211382113823</v>
      </c>
      <c r="T39" s="63"/>
      <c r="U39" s="63">
        <f t="shared" si="17"/>
        <v>-598.27982433843556</v>
      </c>
      <c r="V39" s="77">
        <f t="shared" si="20"/>
        <v>-240.71138211382114</v>
      </c>
      <c r="W39" s="83">
        <f t="shared" si="4"/>
        <v>3949.9031867372632</v>
      </c>
      <c r="X39" s="85">
        <f t="shared" si="18"/>
        <v>106718.51247940285</v>
      </c>
      <c r="Z39" s="92">
        <f t="shared" si="19"/>
        <v>115541.46341463414</v>
      </c>
      <c r="AA39" s="5">
        <f t="shared" si="5"/>
        <v>0</v>
      </c>
      <c r="AB39" s="92">
        <f t="shared" si="6"/>
        <v>115541.46341463414</v>
      </c>
      <c r="AD39" s="133">
        <f t="shared" si="7"/>
        <v>-69756.09756097557</v>
      </c>
      <c r="AE39" s="3">
        <f t="shared" si="8"/>
        <v>1</v>
      </c>
    </row>
    <row r="40" spans="1:31" ht="14.65" thickBot="1" x14ac:dyDescent="0.5">
      <c r="C40" s="11"/>
      <c r="D40" s="11"/>
      <c r="E40" s="11"/>
      <c r="F40" s="11"/>
      <c r="G40" s="11"/>
      <c r="H40" s="11"/>
      <c r="I40" s="14">
        <f t="shared" si="10"/>
        <v>34</v>
      </c>
      <c r="J40" s="63">
        <f t="shared" si="11"/>
        <v>128597.15433940719</v>
      </c>
      <c r="K40" s="63">
        <f t="shared" si="1"/>
        <v>568.01741557522905</v>
      </c>
      <c r="L40" s="63">
        <f t="shared" si="12"/>
        <v>-5062.8809553678084</v>
      </c>
      <c r="M40" s="65">
        <f t="shared" si="0"/>
        <v>124102.29079961461</v>
      </c>
      <c r="O40" s="14">
        <f t="shared" si="13"/>
        <v>34</v>
      </c>
      <c r="P40" s="54">
        <f t="shared" si="14"/>
        <v>17684.25</v>
      </c>
      <c r="Q40" s="63">
        <f t="shared" si="15"/>
        <v>11965.596486768711</v>
      </c>
      <c r="R40" s="77">
        <f t="shared" si="2"/>
        <v>-5062.8809553678084</v>
      </c>
      <c r="S40" s="63">
        <f t="shared" si="16"/>
        <v>-2113.8211382113823</v>
      </c>
      <c r="T40" s="63"/>
      <c r="U40" s="63">
        <f t="shared" si="17"/>
        <v>-598.27982433843556</v>
      </c>
      <c r="V40" s="77">
        <f t="shared" si="20"/>
        <v>-231.99186991869919</v>
      </c>
      <c r="W40" s="83">
        <f t="shared" si="4"/>
        <v>3958.622698932385</v>
      </c>
      <c r="X40" s="85">
        <f t="shared" si="18"/>
        <v>110677.13517833524</v>
      </c>
      <c r="Z40" s="92">
        <f t="shared" si="19"/>
        <v>111356.09756097561</v>
      </c>
      <c r="AA40" s="5">
        <f t="shared" si="5"/>
        <v>0</v>
      </c>
      <c r="AB40" s="92">
        <f t="shared" si="6"/>
        <v>111356.09756097561</v>
      </c>
      <c r="AD40" s="133">
        <f t="shared" si="7"/>
        <v>-71869.91869918695</v>
      </c>
      <c r="AE40" s="3">
        <f t="shared" si="8"/>
        <v>1</v>
      </c>
    </row>
    <row r="41" spans="1:31" ht="32.25" customHeight="1" thickBot="1" x14ac:dyDescent="0.5">
      <c r="A41" s="667" t="s">
        <v>29</v>
      </c>
      <c r="B41" s="668"/>
      <c r="C41" s="668"/>
      <c r="D41" s="668"/>
      <c r="E41" s="668"/>
      <c r="F41" s="668"/>
      <c r="G41" s="669"/>
      <c r="H41" s="11"/>
      <c r="I41" s="14">
        <f t="shared" si="10"/>
        <v>35</v>
      </c>
      <c r="J41" s="63">
        <f t="shared" si="11"/>
        <v>124102.29079961461</v>
      </c>
      <c r="K41" s="63">
        <f t="shared" si="1"/>
        <v>548.16347102760915</v>
      </c>
      <c r="L41" s="63">
        <f t="shared" si="12"/>
        <v>-5062.8809553678084</v>
      </c>
      <c r="M41" s="65">
        <f t="shared" si="0"/>
        <v>119587.57331527441</v>
      </c>
      <c r="O41" s="14">
        <f t="shared" si="13"/>
        <v>35</v>
      </c>
      <c r="P41" s="54">
        <f t="shared" si="14"/>
        <v>18204.375</v>
      </c>
      <c r="Q41" s="63">
        <f t="shared" si="15"/>
        <v>11965.596486768711</v>
      </c>
      <c r="R41" s="77">
        <f t="shared" si="2"/>
        <v>-5062.8809553678084</v>
      </c>
      <c r="S41" s="63">
        <f t="shared" si="16"/>
        <v>-2113.8211382113823</v>
      </c>
      <c r="T41" s="63"/>
      <c r="U41" s="63">
        <f t="shared" si="17"/>
        <v>-598.27982433843556</v>
      </c>
      <c r="V41" s="77">
        <f t="shared" si="20"/>
        <v>-223.2723577235773</v>
      </c>
      <c r="W41" s="83">
        <f t="shared" si="4"/>
        <v>3967.3422111275067</v>
      </c>
      <c r="X41" s="85">
        <f t="shared" si="18"/>
        <v>114644.47738946276</v>
      </c>
      <c r="Z41" s="92">
        <f t="shared" si="19"/>
        <v>107170.73170731709</v>
      </c>
      <c r="AA41" s="5">
        <f t="shared" si="5"/>
        <v>0</v>
      </c>
      <c r="AB41" s="92">
        <f t="shared" si="6"/>
        <v>107170.73170731709</v>
      </c>
      <c r="AD41" s="133">
        <f t="shared" si="7"/>
        <v>-73983.739837398331</v>
      </c>
      <c r="AE41" s="3">
        <f t="shared" si="8"/>
        <v>1</v>
      </c>
    </row>
    <row r="42" spans="1:31" ht="19.5" customHeight="1" x14ac:dyDescent="0.45">
      <c r="A42" s="35">
        <v>1</v>
      </c>
      <c r="B42" s="670" t="s">
        <v>30</v>
      </c>
      <c r="C42" s="671"/>
      <c r="D42" s="671"/>
      <c r="E42" s="672"/>
      <c r="F42" s="73">
        <f>F36/C12/C14</f>
        <v>5191.4338851426937</v>
      </c>
      <c r="G42" s="74">
        <f>G36/C13/C14</f>
        <v>13.024104977891884</v>
      </c>
      <c r="H42" s="11"/>
      <c r="I42" s="20">
        <f t="shared" si="10"/>
        <v>36</v>
      </c>
      <c r="J42" s="63">
        <f t="shared" si="11"/>
        <v>119587.57331527441</v>
      </c>
      <c r="K42" s="79">
        <f t="shared" si="1"/>
        <v>528.22183102258316</v>
      </c>
      <c r="L42" s="63">
        <f t="shared" si="12"/>
        <v>-5062.8809553678084</v>
      </c>
      <c r="M42" s="80">
        <f t="shared" si="0"/>
        <v>115052.91419092918</v>
      </c>
      <c r="O42" s="20">
        <f t="shared" si="13"/>
        <v>36</v>
      </c>
      <c r="P42" s="54">
        <f t="shared" si="14"/>
        <v>18724.5</v>
      </c>
      <c r="Q42" s="63">
        <f t="shared" si="15"/>
        <v>11965.596486768711</v>
      </c>
      <c r="R42" s="77">
        <f t="shared" si="2"/>
        <v>-5062.8809553678084</v>
      </c>
      <c r="S42" s="63">
        <f t="shared" si="16"/>
        <v>-2113.8211382113823</v>
      </c>
      <c r="T42" s="63"/>
      <c r="U42" s="63">
        <f t="shared" si="17"/>
        <v>-598.27982433843556</v>
      </c>
      <c r="V42" s="77">
        <f t="shared" si="20"/>
        <v>-214.55284552845526</v>
      </c>
      <c r="W42" s="83">
        <f t="shared" si="4"/>
        <v>3976.0617233226289</v>
      </c>
      <c r="X42" s="85">
        <f t="shared" si="18"/>
        <v>118620.53911278538</v>
      </c>
      <c r="Z42" s="92">
        <f t="shared" si="19"/>
        <v>102985.36585365853</v>
      </c>
      <c r="AA42" s="5">
        <f t="shared" si="5"/>
        <v>0</v>
      </c>
      <c r="AB42" s="92">
        <f t="shared" si="6"/>
        <v>102985.36585365853</v>
      </c>
      <c r="AD42" s="133">
        <f t="shared" si="7"/>
        <v>-76097.560975609711</v>
      </c>
      <c r="AE42" s="3">
        <f t="shared" si="8"/>
        <v>1</v>
      </c>
    </row>
    <row r="43" spans="1:31" ht="19.5" customHeight="1" thickBot="1" x14ac:dyDescent="0.5">
      <c r="A43" s="36">
        <f>A42+1</f>
        <v>2</v>
      </c>
      <c r="B43" s="673" t="s">
        <v>31</v>
      </c>
      <c r="C43" s="674"/>
      <c r="D43" s="674"/>
      <c r="E43" s="675"/>
      <c r="F43" s="75"/>
      <c r="G43" s="76">
        <f>+(F42*C12+D13*G42)/D13</f>
        <v>30.328884595034197</v>
      </c>
      <c r="H43" s="11"/>
      <c r="I43" s="20">
        <f t="shared" si="10"/>
        <v>37</v>
      </c>
      <c r="J43" s="63">
        <f t="shared" si="11"/>
        <v>115052.91419092918</v>
      </c>
      <c r="K43" s="79">
        <f t="shared" si="1"/>
        <v>508.1921082067347</v>
      </c>
      <c r="L43" s="63">
        <f t="shared" si="12"/>
        <v>-5062.8809553678084</v>
      </c>
      <c r="M43" s="80">
        <f t="shared" si="0"/>
        <v>110498.22534376811</v>
      </c>
      <c r="O43" s="20">
        <f t="shared" si="13"/>
        <v>37</v>
      </c>
      <c r="P43" s="54">
        <f t="shared" si="14"/>
        <v>19244.625</v>
      </c>
      <c r="Q43" s="63">
        <f t="shared" si="15"/>
        <v>11965.596486768711</v>
      </c>
      <c r="R43" s="77">
        <f t="shared" si="2"/>
        <v>-5062.8809553678084</v>
      </c>
      <c r="S43" s="63">
        <f t="shared" si="16"/>
        <v>-2113.8211382113823</v>
      </c>
      <c r="T43" s="63"/>
      <c r="U43" s="63">
        <f t="shared" si="17"/>
        <v>-598.27982433843556</v>
      </c>
      <c r="V43" s="77">
        <f t="shared" si="20"/>
        <v>-205.83333333333334</v>
      </c>
      <c r="W43" s="83">
        <f t="shared" si="4"/>
        <v>3984.7812355177507</v>
      </c>
      <c r="X43" s="85">
        <f t="shared" si="18"/>
        <v>122605.32034830312</v>
      </c>
      <c r="Z43" s="92">
        <f t="shared" si="19"/>
        <v>98800</v>
      </c>
      <c r="AA43" s="5">
        <f t="shared" si="5"/>
        <v>0</v>
      </c>
      <c r="AB43" s="92">
        <f t="shared" si="6"/>
        <v>98800</v>
      </c>
      <c r="AD43" s="133">
        <f t="shared" si="7"/>
        <v>-78211.382113821091</v>
      </c>
      <c r="AE43" s="3">
        <f t="shared" si="8"/>
        <v>1</v>
      </c>
    </row>
    <row r="44" spans="1:31" x14ac:dyDescent="0.45">
      <c r="I44" s="20">
        <f t="shared" si="10"/>
        <v>38</v>
      </c>
      <c r="J44" s="63">
        <f t="shared" si="11"/>
        <v>110498.22534376811</v>
      </c>
      <c r="K44" s="79">
        <f t="shared" si="1"/>
        <v>488.07391351569595</v>
      </c>
      <c r="L44" s="63">
        <f t="shared" si="12"/>
        <v>-5062.8809553678084</v>
      </c>
      <c r="M44" s="80">
        <f t="shared" si="0"/>
        <v>105923.41830191598</v>
      </c>
      <c r="O44" s="20">
        <f t="shared" si="13"/>
        <v>38</v>
      </c>
      <c r="P44" s="54">
        <f t="shared" si="14"/>
        <v>19764.75</v>
      </c>
      <c r="Q44" s="63">
        <f t="shared" si="15"/>
        <v>11965.596486768711</v>
      </c>
      <c r="R44" s="77">
        <f t="shared" si="2"/>
        <v>-5062.8809553678084</v>
      </c>
      <c r="S44" s="63">
        <f t="shared" si="16"/>
        <v>-2113.8211382113823</v>
      </c>
      <c r="T44" s="63"/>
      <c r="U44" s="63">
        <f t="shared" si="17"/>
        <v>-598.27982433843556</v>
      </c>
      <c r="V44" s="77">
        <f t="shared" si="20"/>
        <v>-197.11382113821139</v>
      </c>
      <c r="W44" s="83">
        <f t="shared" si="4"/>
        <v>3993.5007477128729</v>
      </c>
      <c r="X44" s="85">
        <f t="shared" si="18"/>
        <v>126598.82109601599</v>
      </c>
      <c r="Z44" s="92">
        <f t="shared" si="19"/>
        <v>94614.634146341472</v>
      </c>
      <c r="AA44" s="5">
        <f t="shared" si="5"/>
        <v>0</v>
      </c>
      <c r="AB44" s="92">
        <f t="shared" si="6"/>
        <v>94614.634146341472</v>
      </c>
      <c r="AD44" s="133">
        <f t="shared" si="7"/>
        <v>-80325.203252032472</v>
      </c>
      <c r="AE44" s="3">
        <f t="shared" si="8"/>
        <v>1</v>
      </c>
    </row>
    <row r="45" spans="1:31" x14ac:dyDescent="0.45">
      <c r="I45" s="20">
        <f t="shared" si="10"/>
        <v>39</v>
      </c>
      <c r="J45" s="63">
        <f t="shared" si="11"/>
        <v>105923.41830191598</v>
      </c>
      <c r="K45" s="79">
        <f t="shared" si="1"/>
        <v>467.86685616659031</v>
      </c>
      <c r="L45" s="63">
        <f t="shared" si="12"/>
        <v>-5062.8809553678084</v>
      </c>
      <c r="M45" s="80">
        <f t="shared" si="0"/>
        <v>101328.40420271475</v>
      </c>
      <c r="O45" s="20">
        <f t="shared" si="13"/>
        <v>39</v>
      </c>
      <c r="P45" s="54">
        <f t="shared" si="14"/>
        <v>20284.875</v>
      </c>
      <c r="Q45" s="63">
        <f t="shared" si="15"/>
        <v>11965.596486768711</v>
      </c>
      <c r="R45" s="77">
        <f t="shared" si="2"/>
        <v>-5062.8809553678084</v>
      </c>
      <c r="S45" s="63">
        <f t="shared" si="16"/>
        <v>-2113.8211382113823</v>
      </c>
      <c r="T45" s="63"/>
      <c r="U45" s="63">
        <f t="shared" si="17"/>
        <v>-598.27982433843556</v>
      </c>
      <c r="V45" s="77">
        <f t="shared" si="20"/>
        <v>-188.3943089430895</v>
      </c>
      <c r="W45" s="83">
        <f t="shared" si="4"/>
        <v>4002.2202599079947</v>
      </c>
      <c r="X45" s="85">
        <f t="shared" si="18"/>
        <v>130601.04135592398</v>
      </c>
      <c r="Z45" s="92">
        <f t="shared" si="19"/>
        <v>90429.268292682944</v>
      </c>
      <c r="AA45" s="5">
        <f t="shared" si="5"/>
        <v>0</v>
      </c>
      <c r="AB45" s="92">
        <f t="shared" si="6"/>
        <v>90429.268292682944</v>
      </c>
      <c r="AD45" s="133">
        <f t="shared" si="7"/>
        <v>-82439.024390243852</v>
      </c>
      <c r="AE45" s="3">
        <f t="shared" si="8"/>
        <v>1</v>
      </c>
    </row>
    <row r="46" spans="1:31" x14ac:dyDescent="0.45">
      <c r="I46" s="20">
        <f t="shared" si="10"/>
        <v>40</v>
      </c>
      <c r="J46" s="63">
        <f t="shared" si="11"/>
        <v>101328.40420271475</v>
      </c>
      <c r="K46" s="79">
        <f t="shared" si="1"/>
        <v>447.57054365044155</v>
      </c>
      <c r="L46" s="63">
        <f t="shared" si="12"/>
        <v>-5062.8809553678084</v>
      </c>
      <c r="M46" s="80">
        <f t="shared" si="0"/>
        <v>96713.093790997373</v>
      </c>
      <c r="O46" s="20">
        <f t="shared" si="13"/>
        <v>40</v>
      </c>
      <c r="P46" s="54">
        <f t="shared" si="14"/>
        <v>20805</v>
      </c>
      <c r="Q46" s="63">
        <f t="shared" si="15"/>
        <v>11965.596486768711</v>
      </c>
      <c r="R46" s="77">
        <f t="shared" si="2"/>
        <v>-5062.8809553678084</v>
      </c>
      <c r="S46" s="63">
        <f t="shared" si="16"/>
        <v>-2113.8211382113823</v>
      </c>
      <c r="T46" s="63"/>
      <c r="U46" s="63">
        <f t="shared" si="17"/>
        <v>-598.27982433843556</v>
      </c>
      <c r="V46" s="77">
        <f t="shared" si="20"/>
        <v>-179.67479674796746</v>
      </c>
      <c r="W46" s="83">
        <f t="shared" si="4"/>
        <v>4010.9397721031169</v>
      </c>
      <c r="X46" s="85">
        <f t="shared" si="18"/>
        <v>134611.98112802711</v>
      </c>
      <c r="Z46" s="92">
        <f t="shared" si="19"/>
        <v>86243.902439024387</v>
      </c>
      <c r="AA46" s="5">
        <f t="shared" si="5"/>
        <v>0</v>
      </c>
      <c r="AB46" s="92">
        <f t="shared" si="6"/>
        <v>86243.902439024387</v>
      </c>
      <c r="AD46" s="133">
        <f t="shared" si="7"/>
        <v>-84552.845528455233</v>
      </c>
      <c r="AE46" s="3">
        <f t="shared" si="8"/>
        <v>1</v>
      </c>
    </row>
    <row r="47" spans="1:31" x14ac:dyDescent="0.45">
      <c r="I47" s="20">
        <f t="shared" si="10"/>
        <v>41</v>
      </c>
      <c r="J47" s="63">
        <f t="shared" si="11"/>
        <v>96713.093790997373</v>
      </c>
      <c r="K47" s="79">
        <f t="shared" si="1"/>
        <v>427.18458172454996</v>
      </c>
      <c r="L47" s="63">
        <f t="shared" si="12"/>
        <v>-5062.8809553678084</v>
      </c>
      <c r="M47" s="80">
        <f t="shared" si="0"/>
        <v>92077.397417354106</v>
      </c>
      <c r="O47" s="20">
        <f t="shared" si="13"/>
        <v>41</v>
      </c>
      <c r="P47" s="54">
        <f t="shared" si="14"/>
        <v>21325.125</v>
      </c>
      <c r="Q47" s="63">
        <f t="shared" si="15"/>
        <v>11965.596486768711</v>
      </c>
      <c r="R47" s="77">
        <f t="shared" si="2"/>
        <v>-5062.8809553678084</v>
      </c>
      <c r="S47" s="63">
        <f t="shared" si="16"/>
        <v>-2113.8211382113823</v>
      </c>
      <c r="T47" s="63"/>
      <c r="U47" s="63">
        <f t="shared" si="17"/>
        <v>-598.27982433843556</v>
      </c>
      <c r="V47" s="77">
        <f t="shared" si="20"/>
        <v>-170.95528455284554</v>
      </c>
      <c r="W47" s="83">
        <f t="shared" si="4"/>
        <v>4019.6592842982386</v>
      </c>
      <c r="X47" s="85">
        <f t="shared" si="18"/>
        <v>138631.64041232536</v>
      </c>
      <c r="Z47" s="92">
        <f t="shared" si="19"/>
        <v>82058.536585365859</v>
      </c>
      <c r="AA47" s="5">
        <f t="shared" si="5"/>
        <v>0</v>
      </c>
      <c r="AB47" s="92">
        <f t="shared" si="6"/>
        <v>82058.536585365859</v>
      </c>
      <c r="AD47" s="133">
        <f t="shared" si="7"/>
        <v>-86666.666666666613</v>
      </c>
      <c r="AE47" s="3">
        <f t="shared" si="8"/>
        <v>1</v>
      </c>
    </row>
    <row r="48" spans="1:31" x14ac:dyDescent="0.45">
      <c r="I48" s="20">
        <f t="shared" si="10"/>
        <v>42</v>
      </c>
      <c r="J48" s="63">
        <f t="shared" si="11"/>
        <v>92077.397417354106</v>
      </c>
      <c r="K48" s="79">
        <f t="shared" si="1"/>
        <v>406.70857440483428</v>
      </c>
      <c r="L48" s="63">
        <f t="shared" si="12"/>
        <v>-5062.8809553678084</v>
      </c>
      <c r="M48" s="80">
        <f t="shared" si="0"/>
        <v>87421.22503639113</v>
      </c>
      <c r="O48" s="20">
        <f t="shared" si="13"/>
        <v>42</v>
      </c>
      <c r="P48" s="54">
        <f t="shared" si="14"/>
        <v>21845.25</v>
      </c>
      <c r="Q48" s="63">
        <f t="shared" si="15"/>
        <v>11965.596486768711</v>
      </c>
      <c r="R48" s="77">
        <f t="shared" si="2"/>
        <v>-5062.8809553678084</v>
      </c>
      <c r="S48" s="63">
        <f t="shared" si="16"/>
        <v>-2113.8211382113823</v>
      </c>
      <c r="T48" s="63"/>
      <c r="U48" s="63">
        <f t="shared" si="17"/>
        <v>-598.27982433843556</v>
      </c>
      <c r="V48" s="77">
        <f t="shared" si="20"/>
        <v>-162.23577235772362</v>
      </c>
      <c r="W48" s="83">
        <f t="shared" si="4"/>
        <v>4028.3787964933604</v>
      </c>
      <c r="X48" s="85">
        <f t="shared" si="18"/>
        <v>142660.01920881873</v>
      </c>
      <c r="Z48" s="92">
        <f t="shared" si="19"/>
        <v>77873.170731707331</v>
      </c>
      <c r="AA48" s="5">
        <f t="shared" si="5"/>
        <v>0</v>
      </c>
      <c r="AB48" s="92">
        <f t="shared" si="6"/>
        <v>77873.170731707331</v>
      </c>
      <c r="AD48" s="133">
        <f t="shared" si="7"/>
        <v>-88780.487804877994</v>
      </c>
      <c r="AE48" s="3">
        <f t="shared" si="8"/>
        <v>1</v>
      </c>
    </row>
    <row r="49" spans="9:31" x14ac:dyDescent="0.45">
      <c r="I49" s="20">
        <f t="shared" si="10"/>
        <v>43</v>
      </c>
      <c r="J49" s="63">
        <f t="shared" si="11"/>
        <v>87421.22503639113</v>
      </c>
      <c r="K49" s="79">
        <f t="shared" si="1"/>
        <v>386.14212395813973</v>
      </c>
      <c r="L49" s="63">
        <f t="shared" si="12"/>
        <v>-5062.8809553678084</v>
      </c>
      <c r="M49" s="80">
        <f t="shared" si="0"/>
        <v>82744.486204981455</v>
      </c>
      <c r="O49" s="20">
        <f t="shared" si="13"/>
        <v>43</v>
      </c>
      <c r="P49" s="54">
        <f t="shared" si="14"/>
        <v>22365.375</v>
      </c>
      <c r="Q49" s="63">
        <f t="shared" si="15"/>
        <v>11965.596486768711</v>
      </c>
      <c r="R49" s="77">
        <f t="shared" si="2"/>
        <v>-5062.8809553678084</v>
      </c>
      <c r="S49" s="63">
        <f t="shared" si="16"/>
        <v>-2113.8211382113823</v>
      </c>
      <c r="T49" s="63"/>
      <c r="U49" s="63">
        <f t="shared" si="17"/>
        <v>-598.27982433843556</v>
      </c>
      <c r="V49" s="77">
        <f t="shared" si="20"/>
        <v>-153.51626016260161</v>
      </c>
      <c r="W49" s="83">
        <f t="shared" si="4"/>
        <v>4037.0983086884826</v>
      </c>
      <c r="X49" s="85">
        <f t="shared" si="18"/>
        <v>146697.11751750723</v>
      </c>
      <c r="Z49" s="92">
        <f t="shared" si="19"/>
        <v>73687.804878048773</v>
      </c>
      <c r="AA49" s="5">
        <f t="shared" si="5"/>
        <v>0</v>
      </c>
      <c r="AB49" s="92">
        <f t="shared" si="6"/>
        <v>73687.804878048773</v>
      </c>
      <c r="AD49" s="133">
        <f t="shared" si="7"/>
        <v>-90894.308943089374</v>
      </c>
      <c r="AE49" s="3">
        <f t="shared" si="8"/>
        <v>1</v>
      </c>
    </row>
    <row r="50" spans="9:31" x14ac:dyDescent="0.45">
      <c r="I50" s="20">
        <f t="shared" si="10"/>
        <v>44</v>
      </c>
      <c r="J50" s="63">
        <f t="shared" si="11"/>
        <v>82744.486204981455</v>
      </c>
      <c r="K50" s="79">
        <f t="shared" si="1"/>
        <v>365.48483089451241</v>
      </c>
      <c r="L50" s="63">
        <f t="shared" si="12"/>
        <v>-5062.8809553678084</v>
      </c>
      <c r="M50" s="80">
        <f t="shared" si="0"/>
        <v>78047.090080508147</v>
      </c>
      <c r="O50" s="20">
        <f t="shared" si="13"/>
        <v>44</v>
      </c>
      <c r="P50" s="54">
        <f t="shared" si="14"/>
        <v>22885.5</v>
      </c>
      <c r="Q50" s="63">
        <f t="shared" si="15"/>
        <v>11965.596486768711</v>
      </c>
      <c r="R50" s="77">
        <f t="shared" si="2"/>
        <v>-5062.8809553678084</v>
      </c>
      <c r="S50" s="63">
        <f t="shared" si="16"/>
        <v>-2113.8211382113823</v>
      </c>
      <c r="T50" s="63"/>
      <c r="U50" s="63">
        <f t="shared" si="17"/>
        <v>-598.27982433843556</v>
      </c>
      <c r="V50" s="77">
        <f t="shared" si="20"/>
        <v>-144.79674796747969</v>
      </c>
      <c r="W50" s="83">
        <f t="shared" si="4"/>
        <v>4045.8178208836043</v>
      </c>
      <c r="X50" s="85">
        <f t="shared" si="18"/>
        <v>150742.93533839085</v>
      </c>
      <c r="Z50" s="92">
        <f t="shared" si="19"/>
        <v>69502.439024390245</v>
      </c>
      <c r="AA50" s="5">
        <f t="shared" si="5"/>
        <v>0</v>
      </c>
      <c r="AB50" s="92">
        <f t="shared" si="6"/>
        <v>69502.439024390245</v>
      </c>
      <c r="AD50" s="133">
        <f t="shared" si="7"/>
        <v>-93008.130081300755</v>
      </c>
      <c r="AE50" s="3">
        <f t="shared" si="8"/>
        <v>1</v>
      </c>
    </row>
    <row r="51" spans="9:31" x14ac:dyDescent="0.45">
      <c r="I51" s="20">
        <f t="shared" si="10"/>
        <v>45</v>
      </c>
      <c r="J51" s="63">
        <f t="shared" si="11"/>
        <v>78047.090080508147</v>
      </c>
      <c r="K51" s="79">
        <f t="shared" si="1"/>
        <v>344.73629395943988</v>
      </c>
      <c r="L51" s="63">
        <f t="shared" si="12"/>
        <v>-5062.8809553678084</v>
      </c>
      <c r="M51" s="80">
        <f t="shared" si="0"/>
        <v>73328.945419099779</v>
      </c>
      <c r="O51" s="20">
        <f t="shared" si="13"/>
        <v>45</v>
      </c>
      <c r="P51" s="54">
        <f t="shared" si="14"/>
        <v>23405.625</v>
      </c>
      <c r="Q51" s="63">
        <f t="shared" si="15"/>
        <v>11965.596486768711</v>
      </c>
      <c r="R51" s="77">
        <f t="shared" si="2"/>
        <v>-5062.8809553678084</v>
      </c>
      <c r="S51" s="63">
        <f t="shared" si="16"/>
        <v>-2113.8211382113823</v>
      </c>
      <c r="T51" s="63"/>
      <c r="U51" s="63">
        <f t="shared" si="17"/>
        <v>-598.27982433843556</v>
      </c>
      <c r="V51" s="77">
        <f t="shared" si="20"/>
        <v>-136.07723577235774</v>
      </c>
      <c r="W51" s="83">
        <f t="shared" si="4"/>
        <v>4054.5373330787265</v>
      </c>
      <c r="X51" s="85">
        <f t="shared" si="18"/>
        <v>154797.47267146959</v>
      </c>
      <c r="Z51" s="92">
        <f t="shared" si="19"/>
        <v>65317.073170731717</v>
      </c>
      <c r="AA51" s="5">
        <f t="shared" si="5"/>
        <v>0</v>
      </c>
      <c r="AB51" s="92">
        <f t="shared" si="6"/>
        <v>65317.073170731717</v>
      </c>
      <c r="AD51" s="133">
        <f t="shared" si="7"/>
        <v>-95121.951219512135</v>
      </c>
      <c r="AE51" s="3">
        <f t="shared" si="8"/>
        <v>1</v>
      </c>
    </row>
    <row r="52" spans="9:31" x14ac:dyDescent="0.45">
      <c r="I52" s="20">
        <f t="shared" si="10"/>
        <v>46</v>
      </c>
      <c r="J52" s="63">
        <f t="shared" si="11"/>
        <v>73328.945419099779</v>
      </c>
      <c r="K52" s="79">
        <f t="shared" si="1"/>
        <v>323.89611012605627</v>
      </c>
      <c r="L52" s="63">
        <f t="shared" si="12"/>
        <v>-5062.8809553678084</v>
      </c>
      <c r="M52" s="80">
        <f t="shared" si="0"/>
        <v>68589.960573858014</v>
      </c>
      <c r="O52" s="20">
        <f t="shared" si="13"/>
        <v>46</v>
      </c>
      <c r="P52" s="54">
        <f t="shared" si="14"/>
        <v>23925.75</v>
      </c>
      <c r="Q52" s="63">
        <f t="shared" si="15"/>
        <v>11965.596486768711</v>
      </c>
      <c r="R52" s="77">
        <f t="shared" si="2"/>
        <v>-5062.8809553678084</v>
      </c>
      <c r="S52" s="63">
        <f t="shared" si="16"/>
        <v>-2113.8211382113823</v>
      </c>
      <c r="T52" s="63"/>
      <c r="U52" s="63">
        <f t="shared" si="17"/>
        <v>-598.27982433843556</v>
      </c>
      <c r="V52" s="77">
        <f t="shared" si="20"/>
        <v>-127.35772357723583</v>
      </c>
      <c r="W52" s="83">
        <f t="shared" si="4"/>
        <v>4063.2568452738483</v>
      </c>
      <c r="X52" s="85">
        <f t="shared" si="18"/>
        <v>158860.72951674342</v>
      </c>
      <c r="Z52" s="92">
        <f t="shared" si="19"/>
        <v>61131.707317073189</v>
      </c>
      <c r="AA52" s="5">
        <f t="shared" si="5"/>
        <v>0</v>
      </c>
      <c r="AB52" s="92">
        <f t="shared" si="6"/>
        <v>61131.707317073189</v>
      </c>
      <c r="AD52" s="133">
        <f t="shared" si="7"/>
        <v>-97235.772357723516</v>
      </c>
      <c r="AE52" s="3">
        <f t="shared" si="8"/>
        <v>1</v>
      </c>
    </row>
    <row r="53" spans="9:31" x14ac:dyDescent="0.45">
      <c r="I53" s="20">
        <f t="shared" si="10"/>
        <v>47</v>
      </c>
      <c r="J53" s="63">
        <f t="shared" si="11"/>
        <v>68589.960573858014</v>
      </c>
      <c r="K53" s="79">
        <f t="shared" si="1"/>
        <v>302.96387458731448</v>
      </c>
      <c r="L53" s="63">
        <f t="shared" si="12"/>
        <v>-5062.8809553678084</v>
      </c>
      <c r="M53" s="80">
        <f t="shared" si="0"/>
        <v>63830.043493077515</v>
      </c>
      <c r="O53" s="20">
        <f t="shared" si="13"/>
        <v>47</v>
      </c>
      <c r="P53" s="54">
        <f t="shared" si="14"/>
        <v>24445.875</v>
      </c>
      <c r="Q53" s="63">
        <f t="shared" si="15"/>
        <v>11965.596486768711</v>
      </c>
      <c r="R53" s="77">
        <f t="shared" si="2"/>
        <v>-5062.8809553678084</v>
      </c>
      <c r="S53" s="63">
        <f t="shared" si="16"/>
        <v>-2113.8211382113823</v>
      </c>
      <c r="T53" s="63"/>
      <c r="U53" s="63">
        <f t="shared" si="17"/>
        <v>-598.27982433843556</v>
      </c>
      <c r="V53" s="77">
        <f t="shared" si="20"/>
        <v>-118.63821138211382</v>
      </c>
      <c r="W53" s="83">
        <f t="shared" si="4"/>
        <v>4071.9763574689705</v>
      </c>
      <c r="X53" s="85">
        <f t="shared" si="18"/>
        <v>162932.70587421238</v>
      </c>
      <c r="Z53" s="92">
        <f t="shared" si="19"/>
        <v>56946.341463414632</v>
      </c>
      <c r="AA53" s="5">
        <f t="shared" si="5"/>
        <v>0</v>
      </c>
      <c r="AB53" s="92">
        <f t="shared" si="6"/>
        <v>56946.341463414632</v>
      </c>
      <c r="AD53" s="133">
        <f t="shared" si="7"/>
        <v>-99349.593495934896</v>
      </c>
      <c r="AE53" s="3">
        <f t="shared" si="8"/>
        <v>1</v>
      </c>
    </row>
    <row r="54" spans="9:31" x14ac:dyDescent="0.45">
      <c r="I54" s="20">
        <f t="shared" si="10"/>
        <v>48</v>
      </c>
      <c r="J54" s="63">
        <f t="shared" si="11"/>
        <v>63830.043493077515</v>
      </c>
      <c r="K54" s="79">
        <f t="shared" si="1"/>
        <v>281.93918074812274</v>
      </c>
      <c r="L54" s="63">
        <f t="shared" si="12"/>
        <v>-5062.8809553678084</v>
      </c>
      <c r="M54" s="80">
        <f t="shared" si="0"/>
        <v>59049.10171845783</v>
      </c>
      <c r="O54" s="20">
        <f t="shared" si="13"/>
        <v>48</v>
      </c>
      <c r="P54" s="54">
        <f t="shared" si="14"/>
        <v>24966</v>
      </c>
      <c r="Q54" s="63">
        <f t="shared" si="15"/>
        <v>11965.596486768711</v>
      </c>
      <c r="R54" s="77">
        <f t="shared" si="2"/>
        <v>-5062.8809553678084</v>
      </c>
      <c r="S54" s="63">
        <f t="shared" si="16"/>
        <v>-2113.8211382113823</v>
      </c>
      <c r="T54" s="63">
        <f>-T68*0.5</f>
        <v>-19024.390243902439</v>
      </c>
      <c r="U54" s="63">
        <f t="shared" si="17"/>
        <v>-598.27982433843556</v>
      </c>
      <c r="V54" s="77">
        <f t="shared" si="20"/>
        <v>-109.91869918699183</v>
      </c>
      <c r="W54" s="83">
        <f t="shared" si="4"/>
        <v>-14943.694374238346</v>
      </c>
      <c r="X54" s="85">
        <f t="shared" si="18"/>
        <v>147989.01149997403</v>
      </c>
      <c r="Z54" s="92">
        <f t="shared" si="19"/>
        <v>52760.975609756075</v>
      </c>
      <c r="AA54" s="5">
        <f t="shared" si="5"/>
        <v>0</v>
      </c>
      <c r="AB54" s="92">
        <f t="shared" si="6"/>
        <v>52760.975609756075</v>
      </c>
      <c r="AD54" s="133">
        <f t="shared" ref="AD54:AD62" si="24">IF(AD53=0,0,IF(+S54+AD53&lt;-$S$68,0,+S54+AD53))</f>
        <v>-101463.41463414628</v>
      </c>
      <c r="AE54" s="3">
        <f t="shared" si="8"/>
        <v>1</v>
      </c>
    </row>
    <row r="55" spans="9:31" x14ac:dyDescent="0.45">
      <c r="I55" s="20">
        <f t="shared" si="10"/>
        <v>49</v>
      </c>
      <c r="J55" s="63">
        <f t="shared" si="11"/>
        <v>59049.10171845783</v>
      </c>
      <c r="K55" s="79">
        <f>J55*$C$8*30.44/365.25</f>
        <v>260.82162021744665</v>
      </c>
      <c r="L55" s="63">
        <f t="shared" si="12"/>
        <v>-5062.8809553678084</v>
      </c>
      <c r="M55" s="80">
        <f t="shared" si="0"/>
        <v>54247.042383307467</v>
      </c>
      <c r="O55" s="20">
        <f t="shared" si="13"/>
        <v>49</v>
      </c>
      <c r="P55" s="54">
        <f t="shared" si="14"/>
        <v>25486.125</v>
      </c>
      <c r="Q55" s="63">
        <f t="shared" si="15"/>
        <v>11965.596486768711</v>
      </c>
      <c r="R55" s="77">
        <f t="shared" si="2"/>
        <v>-5062.8809553678084</v>
      </c>
      <c r="S55" s="63">
        <f t="shared" si="16"/>
        <v>-2113.8211382113823</v>
      </c>
      <c r="T55" s="63">
        <f>-T69*0.5</f>
        <v>0</v>
      </c>
      <c r="U55" s="63">
        <f t="shared" si="17"/>
        <v>-598.27982433843556</v>
      </c>
      <c r="V55" s="77">
        <f t="shared" si="20"/>
        <v>-101.19918699186989</v>
      </c>
      <c r="W55" s="83">
        <f t="shared" si="4"/>
        <v>4089.4153818592144</v>
      </c>
      <c r="X55" s="85">
        <f t="shared" si="18"/>
        <v>152078.42688183323</v>
      </c>
      <c r="Z55" s="92">
        <f t="shared" si="19"/>
        <v>48575.609756097547</v>
      </c>
      <c r="AA55" s="5">
        <f t="shared" si="5"/>
        <v>0</v>
      </c>
      <c r="AB55" s="92">
        <f t="shared" si="6"/>
        <v>48575.609756097547</v>
      </c>
      <c r="AD55" s="133">
        <f t="shared" si="24"/>
        <v>-103577.23577235766</v>
      </c>
      <c r="AE55" s="3">
        <f t="shared" si="8"/>
        <v>1</v>
      </c>
    </row>
    <row r="56" spans="9:31" x14ac:dyDescent="0.45">
      <c r="I56" s="20">
        <f t="shared" si="10"/>
        <v>50</v>
      </c>
      <c r="J56" s="63">
        <f t="shared" si="11"/>
        <v>54247.042383307467</v>
      </c>
      <c r="K56" s="79">
        <f>J56*$C$8*30.44/365.25</f>
        <v>239.61078280037677</v>
      </c>
      <c r="L56" s="63">
        <f t="shared" si="12"/>
        <v>-5062.8809553678084</v>
      </c>
      <c r="M56" s="80">
        <f t="shared" si="0"/>
        <v>49423.772210740033</v>
      </c>
      <c r="O56" s="20">
        <f t="shared" si="13"/>
        <v>50</v>
      </c>
      <c r="P56" s="54">
        <f t="shared" si="14"/>
        <v>26006.25</v>
      </c>
      <c r="Q56" s="63">
        <f t="shared" si="15"/>
        <v>11965.596486768711</v>
      </c>
      <c r="R56" s="77">
        <f t="shared" si="2"/>
        <v>-5062.8809553678084</v>
      </c>
      <c r="S56" s="63">
        <f t="shared" si="16"/>
        <v>-2113.8211382113823</v>
      </c>
      <c r="T56" s="63">
        <f>-T70*0.5</f>
        <v>0</v>
      </c>
      <c r="U56" s="63">
        <f t="shared" si="17"/>
        <v>-598.27982433843556</v>
      </c>
      <c r="V56" s="77">
        <f t="shared" si="20"/>
        <v>-92.479674796747972</v>
      </c>
      <c r="W56" s="83">
        <f t="shared" si="4"/>
        <v>4098.1348940543367</v>
      </c>
      <c r="X56" s="85">
        <f t="shared" si="18"/>
        <v>156176.56177588756</v>
      </c>
      <c r="Z56" s="92">
        <f t="shared" si="19"/>
        <v>44390.243902439019</v>
      </c>
      <c r="AA56" s="5">
        <f t="shared" si="5"/>
        <v>0</v>
      </c>
      <c r="AB56" s="92">
        <f t="shared" si="6"/>
        <v>44390.243902439019</v>
      </c>
      <c r="AD56" s="133">
        <f t="shared" si="24"/>
        <v>-105691.05691056904</v>
      </c>
      <c r="AE56" s="3">
        <f t="shared" si="8"/>
        <v>1</v>
      </c>
    </row>
    <row r="57" spans="9:31" x14ac:dyDescent="0.45">
      <c r="I57" s="20">
        <f t="shared" si="10"/>
        <v>51</v>
      </c>
      <c r="J57" s="63">
        <f t="shared" si="11"/>
        <v>49423.772210740033</v>
      </c>
      <c r="K57" s="79">
        <f t="shared" ref="K57:K66" si="25">J57*$C$8*30.44/365.25</f>
        <v>218.30625649016045</v>
      </c>
      <c r="L57" s="63">
        <f t="shared" si="12"/>
        <v>-5062.8809553678084</v>
      </c>
      <c r="M57" s="80">
        <f t="shared" si="0"/>
        <v>44579.197511862389</v>
      </c>
      <c r="O57" s="20">
        <f t="shared" si="13"/>
        <v>51</v>
      </c>
      <c r="P57" s="54">
        <f t="shared" si="14"/>
        <v>26526.375</v>
      </c>
      <c r="Q57" s="63">
        <f t="shared" si="15"/>
        <v>11965.596486768711</v>
      </c>
      <c r="R57" s="77">
        <f t="shared" si="2"/>
        <v>-5062.8809553678084</v>
      </c>
      <c r="S57" s="63">
        <f t="shared" si="16"/>
        <v>-2113.8211382113823</v>
      </c>
      <c r="T57" s="63">
        <f>-T71*0.5</f>
        <v>0</v>
      </c>
      <c r="U57" s="63">
        <f t="shared" si="17"/>
        <v>-598.27982433843556</v>
      </c>
      <c r="V57" s="77">
        <f t="shared" si="20"/>
        <v>-83.760162601625964</v>
      </c>
      <c r="W57" s="83">
        <f t="shared" si="4"/>
        <v>4106.8544062494584</v>
      </c>
      <c r="X57" s="85">
        <f t="shared" si="18"/>
        <v>160283.41618213701</v>
      </c>
      <c r="Z57" s="92">
        <f t="shared" si="19"/>
        <v>40204.878048780462</v>
      </c>
      <c r="AA57" s="5">
        <f t="shared" si="5"/>
        <v>0</v>
      </c>
      <c r="AB57" s="92">
        <f t="shared" si="6"/>
        <v>40204.878048780462</v>
      </c>
      <c r="AD57" s="133">
        <f t="shared" si="24"/>
        <v>-107804.87804878042</v>
      </c>
      <c r="AE57" s="3">
        <f t="shared" si="8"/>
        <v>1</v>
      </c>
    </row>
    <row r="58" spans="9:31" x14ac:dyDescent="0.45">
      <c r="I58" s="20">
        <f t="shared" si="10"/>
        <v>52</v>
      </c>
      <c r="J58" s="63">
        <f t="shared" si="11"/>
        <v>44579.197511862389</v>
      </c>
      <c r="K58" s="79">
        <f t="shared" si="25"/>
        <v>196.90762746019936</v>
      </c>
      <c r="L58" s="63">
        <f t="shared" si="12"/>
        <v>-5062.8809553678084</v>
      </c>
      <c r="M58" s="80">
        <f t="shared" si="0"/>
        <v>39713.224183954779</v>
      </c>
      <c r="O58" s="20">
        <f t="shared" si="13"/>
        <v>52</v>
      </c>
      <c r="P58" s="54">
        <f t="shared" si="14"/>
        <v>27046.5</v>
      </c>
      <c r="Q58" s="63">
        <f t="shared" si="15"/>
        <v>11965.596486768711</v>
      </c>
      <c r="R58" s="77">
        <f t="shared" si="2"/>
        <v>-5062.8809553678084</v>
      </c>
      <c r="S58" s="63">
        <f t="shared" si="16"/>
        <v>-2113.8211382113823</v>
      </c>
      <c r="T58" s="63"/>
      <c r="U58" s="63">
        <f t="shared" si="17"/>
        <v>-598.27982433843556</v>
      </c>
      <c r="V58" s="77">
        <f t="shared" si="20"/>
        <v>-75.040650406504028</v>
      </c>
      <c r="W58" s="83">
        <f t="shared" si="4"/>
        <v>4115.5739184445802</v>
      </c>
      <c r="X58" s="85">
        <f t="shared" si="18"/>
        <v>164398.99010058158</v>
      </c>
      <c r="Z58" s="92">
        <f t="shared" si="19"/>
        <v>36019.512195121933</v>
      </c>
      <c r="AA58" s="5">
        <f t="shared" si="5"/>
        <v>0</v>
      </c>
      <c r="AB58" s="92">
        <f t="shared" si="6"/>
        <v>36019.512195121933</v>
      </c>
      <c r="AD58" s="133">
        <f t="shared" si="24"/>
        <v>-109918.6991869918</v>
      </c>
      <c r="AE58" s="3">
        <f t="shared" si="8"/>
        <v>1</v>
      </c>
    </row>
    <row r="59" spans="9:31" x14ac:dyDescent="0.45">
      <c r="I59" s="20">
        <f t="shared" si="10"/>
        <v>53</v>
      </c>
      <c r="J59" s="63">
        <f t="shared" si="11"/>
        <v>39713.224183954779</v>
      </c>
      <c r="K59" s="79">
        <f t="shared" si="25"/>
        <v>175.41448005601075</v>
      </c>
      <c r="L59" s="63">
        <f t="shared" si="12"/>
        <v>-5062.8809553678084</v>
      </c>
      <c r="M59" s="80">
        <f t="shared" si="0"/>
        <v>34825.757708642981</v>
      </c>
      <c r="O59" s="20">
        <f t="shared" si="13"/>
        <v>53</v>
      </c>
      <c r="P59" s="54">
        <f t="shared" si="14"/>
        <v>27566.625</v>
      </c>
      <c r="Q59" s="63">
        <f t="shared" si="15"/>
        <v>11965.596486768711</v>
      </c>
      <c r="R59" s="77">
        <f t="shared" si="2"/>
        <v>-5062.8809553678084</v>
      </c>
      <c r="S59" s="63">
        <f t="shared" si="16"/>
        <v>-2113.8211382113823</v>
      </c>
      <c r="T59" s="63"/>
      <c r="U59" s="63">
        <f t="shared" si="17"/>
        <v>-598.27982433843556</v>
      </c>
      <c r="V59" s="77">
        <f t="shared" si="20"/>
        <v>-66.321138211382092</v>
      </c>
      <c r="W59" s="83">
        <f t="shared" si="4"/>
        <v>4124.2934306397019</v>
      </c>
      <c r="X59" s="85">
        <f t="shared" si="18"/>
        <v>168523.28353122127</v>
      </c>
      <c r="Z59" s="92">
        <f t="shared" si="19"/>
        <v>31834.146341463405</v>
      </c>
      <c r="AA59" s="5">
        <f t="shared" si="5"/>
        <v>0</v>
      </c>
      <c r="AB59" s="92">
        <f t="shared" si="6"/>
        <v>31834.146341463405</v>
      </c>
      <c r="AD59" s="133">
        <f t="shared" si="24"/>
        <v>-112032.52032520318</v>
      </c>
      <c r="AE59" s="3">
        <f t="shared" si="8"/>
        <v>1</v>
      </c>
    </row>
    <row r="60" spans="9:31" x14ac:dyDescent="0.45">
      <c r="I60" s="20">
        <f t="shared" si="10"/>
        <v>54</v>
      </c>
      <c r="J60" s="63">
        <f t="shared" si="11"/>
        <v>34825.757708642981</v>
      </c>
      <c r="K60" s="79">
        <f t="shared" si="25"/>
        <v>153.82639678715373</v>
      </c>
      <c r="L60" s="63">
        <f t="shared" si="12"/>
        <v>-5062.8809553678084</v>
      </c>
      <c r="M60" s="80">
        <f t="shared" si="0"/>
        <v>29916.703150062327</v>
      </c>
      <c r="O60" s="20">
        <f t="shared" si="13"/>
        <v>54</v>
      </c>
      <c r="P60" s="54">
        <f t="shared" si="14"/>
        <v>28086.75</v>
      </c>
      <c r="Q60" s="63">
        <f t="shared" si="15"/>
        <v>11965.596486768711</v>
      </c>
      <c r="R60" s="77">
        <f t="shared" si="2"/>
        <v>-5062.8809553678084</v>
      </c>
      <c r="S60" s="63">
        <f t="shared" si="16"/>
        <v>-2113.8211382113823</v>
      </c>
      <c r="T60" s="63"/>
      <c r="U60" s="63">
        <f t="shared" si="17"/>
        <v>-598.27982433843556</v>
      </c>
      <c r="V60" s="77">
        <f t="shared" si="20"/>
        <v>-57.601626016260106</v>
      </c>
      <c r="W60" s="83">
        <f t="shared" si="4"/>
        <v>4133.0129428348237</v>
      </c>
      <c r="X60" s="85">
        <f t="shared" si="18"/>
        <v>172656.29647405609</v>
      </c>
      <c r="Z60" s="92">
        <f t="shared" si="19"/>
        <v>27648.780487804848</v>
      </c>
      <c r="AA60" s="5">
        <f t="shared" si="5"/>
        <v>0</v>
      </c>
      <c r="AB60" s="92">
        <f t="shared" si="6"/>
        <v>27648.780487804848</v>
      </c>
      <c r="AD60" s="133">
        <f t="shared" si="24"/>
        <v>-114146.34146341456</v>
      </c>
      <c r="AE60" s="3">
        <f t="shared" si="8"/>
        <v>1</v>
      </c>
    </row>
    <row r="61" spans="9:31" x14ac:dyDescent="0.45">
      <c r="I61" s="20">
        <f t="shared" si="10"/>
        <v>55</v>
      </c>
      <c r="J61" s="63">
        <f t="shared" si="11"/>
        <v>29916.703150062327</v>
      </c>
      <c r="K61" s="79">
        <f t="shared" si="25"/>
        <v>132.14295831911994</v>
      </c>
      <c r="L61" s="63">
        <f t="shared" si="12"/>
        <v>-5062.8809553678084</v>
      </c>
      <c r="M61" s="80">
        <f t="shared" si="0"/>
        <v>24985.96515301364</v>
      </c>
      <c r="O61" s="20">
        <f t="shared" si="13"/>
        <v>55</v>
      </c>
      <c r="P61" s="54">
        <f t="shared" si="14"/>
        <v>28606.875</v>
      </c>
      <c r="Q61" s="63">
        <f t="shared" si="15"/>
        <v>11965.596486768711</v>
      </c>
      <c r="R61" s="77">
        <f t="shared" si="2"/>
        <v>-5062.8809553678084</v>
      </c>
      <c r="S61" s="63">
        <f t="shared" si="16"/>
        <v>-2113.8211382113823</v>
      </c>
      <c r="T61" s="63">
        <f>-T75*0.5</f>
        <v>0</v>
      </c>
      <c r="U61" s="63">
        <f t="shared" si="17"/>
        <v>-598.27982433843556</v>
      </c>
      <c r="V61" s="77">
        <f t="shared" si="20"/>
        <v>-48.882113821138169</v>
      </c>
      <c r="W61" s="83">
        <f t="shared" si="4"/>
        <v>4141.7324550299463</v>
      </c>
      <c r="X61" s="85">
        <f t="shared" si="18"/>
        <v>176798.02892908602</v>
      </c>
      <c r="Z61" s="92">
        <f t="shared" si="19"/>
        <v>23463.41463414632</v>
      </c>
      <c r="AA61" s="5">
        <f t="shared" si="5"/>
        <v>0</v>
      </c>
      <c r="AB61" s="92">
        <f t="shared" si="6"/>
        <v>23463.41463414632</v>
      </c>
      <c r="AD61" s="133">
        <f t="shared" si="24"/>
        <v>-116260.16260162594</v>
      </c>
      <c r="AE61" s="3">
        <f t="shared" si="8"/>
        <v>1</v>
      </c>
    </row>
    <row r="62" spans="9:31" x14ac:dyDescent="0.45">
      <c r="I62" s="20">
        <f t="shared" si="10"/>
        <v>56</v>
      </c>
      <c r="J62" s="63">
        <f t="shared" si="11"/>
        <v>24985.96515301364</v>
      </c>
      <c r="K62" s="79">
        <f t="shared" si="25"/>
        <v>110.36374346518812</v>
      </c>
      <c r="L62" s="63">
        <f t="shared" si="12"/>
        <v>-5062.8809553678084</v>
      </c>
      <c r="M62" s="80">
        <f t="shared" si="0"/>
        <v>20033.447941111019</v>
      </c>
      <c r="O62" s="20">
        <f t="shared" si="13"/>
        <v>56</v>
      </c>
      <c r="P62" s="54">
        <f t="shared" si="14"/>
        <v>29127</v>
      </c>
      <c r="Q62" s="63">
        <f t="shared" si="15"/>
        <v>11965.596486768711</v>
      </c>
      <c r="R62" s="77">
        <f t="shared" si="2"/>
        <v>-5062.8809553678084</v>
      </c>
      <c r="S62" s="63">
        <f t="shared" si="16"/>
        <v>-2113.8211382113823</v>
      </c>
      <c r="T62" s="63">
        <f>-T76*0.5</f>
        <v>0</v>
      </c>
      <c r="U62" s="63">
        <f t="shared" si="17"/>
        <v>-598.27982433843556</v>
      </c>
      <c r="V62" s="77">
        <f t="shared" si="20"/>
        <v>-40.162601626016233</v>
      </c>
      <c r="W62" s="83">
        <f t="shared" si="4"/>
        <v>4150.4519672250681</v>
      </c>
      <c r="X62" s="85">
        <f t="shared" si="18"/>
        <v>180948.48089631108</v>
      </c>
      <c r="Z62" s="92">
        <f t="shared" si="19"/>
        <v>19278.048780487792</v>
      </c>
      <c r="AA62" s="5">
        <f t="shared" si="5"/>
        <v>0</v>
      </c>
      <c r="AB62" s="92">
        <f t="shared" si="6"/>
        <v>19278.048780487792</v>
      </c>
      <c r="AD62" s="133">
        <f t="shared" si="24"/>
        <v>-118373.98373983732</v>
      </c>
      <c r="AE62" s="3">
        <f t="shared" si="8"/>
        <v>1</v>
      </c>
    </row>
    <row r="63" spans="9:31" x14ac:dyDescent="0.45">
      <c r="I63" s="20">
        <f t="shared" si="10"/>
        <v>57</v>
      </c>
      <c r="J63" s="63">
        <f t="shared" si="11"/>
        <v>20033.447941111019</v>
      </c>
      <c r="K63" s="79">
        <f t="shared" si="25"/>
        <v>88.488329178242921</v>
      </c>
      <c r="L63" s="63">
        <f t="shared" si="12"/>
        <v>-5062.8809553678084</v>
      </c>
      <c r="M63" s="80">
        <f t="shared" si="0"/>
        <v>15059.055314921454</v>
      </c>
      <c r="O63" s="20">
        <f t="shared" si="13"/>
        <v>57</v>
      </c>
      <c r="P63" s="54">
        <f t="shared" si="14"/>
        <v>29647.125</v>
      </c>
      <c r="Q63" s="63">
        <f t="shared" si="15"/>
        <v>11965.596486768711</v>
      </c>
      <c r="R63" s="77">
        <f t="shared" si="2"/>
        <v>-5062.8809553678084</v>
      </c>
      <c r="S63" s="63">
        <f>+S61</f>
        <v>-2113.8211382113823</v>
      </c>
      <c r="T63" s="63">
        <f>-T76*0.5</f>
        <v>0</v>
      </c>
      <c r="U63" s="63">
        <f>U61</f>
        <v>-598.27982433843556</v>
      </c>
      <c r="V63" s="77">
        <f t="shared" si="20"/>
        <v>-31.443089430894304</v>
      </c>
      <c r="W63" s="83">
        <f t="shared" si="4"/>
        <v>4159.1714794201898</v>
      </c>
      <c r="X63" s="85">
        <f>X61+W63</f>
        <v>180957.20040850621</v>
      </c>
      <c r="Z63" s="92">
        <f t="shared" si="19"/>
        <v>15092.682926829264</v>
      </c>
      <c r="AA63" s="5">
        <f t="shared" si="5"/>
        <v>0</v>
      </c>
      <c r="AB63" s="92">
        <f t="shared" si="6"/>
        <v>15092.682926829264</v>
      </c>
      <c r="AD63" s="133">
        <f>IF(AD61=0,0,IF(+S63+AD61&lt;-$S$68,0,+S63+AD61))</f>
        <v>-118373.98373983732</v>
      </c>
      <c r="AE63" s="3">
        <f t="shared" si="8"/>
        <v>1</v>
      </c>
    </row>
    <row r="64" spans="9:31" x14ac:dyDescent="0.45">
      <c r="I64" s="20">
        <f t="shared" si="10"/>
        <v>58</v>
      </c>
      <c r="J64" s="63">
        <f t="shared" si="11"/>
        <v>15059.055314921454</v>
      </c>
      <c r="K64" s="79">
        <f t="shared" si="25"/>
        <v>66.516290542557371</v>
      </c>
      <c r="L64" s="63">
        <f t="shared" si="12"/>
        <v>-5062.8809553678084</v>
      </c>
      <c r="M64" s="80">
        <f t="shared" si="0"/>
        <v>10062.690650096203</v>
      </c>
      <c r="O64" s="20">
        <f t="shared" si="13"/>
        <v>58</v>
      </c>
      <c r="P64" s="54">
        <f t="shared" si="14"/>
        <v>30167.25</v>
      </c>
      <c r="Q64" s="63">
        <f t="shared" si="15"/>
        <v>11965.596486768711</v>
      </c>
      <c r="R64" s="77">
        <f t="shared" si="2"/>
        <v>-5062.8809553678084</v>
      </c>
      <c r="S64" s="63">
        <f>+S61</f>
        <v>-2113.8211382113823</v>
      </c>
      <c r="T64" s="63">
        <f>-T76*0.5</f>
        <v>0</v>
      </c>
      <c r="U64" s="63">
        <f>U61</f>
        <v>-598.27982433843556</v>
      </c>
      <c r="V64" s="77">
        <f t="shared" si="20"/>
        <v>-22.723577235772307</v>
      </c>
      <c r="W64" s="83">
        <f t="shared" si="4"/>
        <v>4167.8909916153116</v>
      </c>
      <c r="X64" s="85">
        <f>X61+W64</f>
        <v>180965.91992070133</v>
      </c>
      <c r="Z64" s="92">
        <f t="shared" si="19"/>
        <v>10907.317073170707</v>
      </c>
      <c r="AA64" s="5">
        <f t="shared" si="5"/>
        <v>0</v>
      </c>
      <c r="AB64" s="92">
        <f t="shared" si="6"/>
        <v>10907.317073170707</v>
      </c>
      <c r="AD64" s="133">
        <f>IF(AD61=0,0,IF(+S64+AD61&lt;-$S$68,0,+S64+AD61))</f>
        <v>-118373.98373983732</v>
      </c>
      <c r="AE64" s="3">
        <f t="shared" si="8"/>
        <v>1</v>
      </c>
    </row>
    <row r="65" spans="1:31" x14ac:dyDescent="0.45">
      <c r="I65" s="20">
        <f t="shared" si="10"/>
        <v>59</v>
      </c>
      <c r="J65" s="63">
        <f t="shared" si="11"/>
        <v>10062.690650096203</v>
      </c>
      <c r="K65" s="79">
        <f t="shared" si="25"/>
        <v>44.447200765539236</v>
      </c>
      <c r="L65" s="63">
        <f t="shared" si="12"/>
        <v>-5062.8809553678084</v>
      </c>
      <c r="M65" s="80">
        <f t="shared" si="0"/>
        <v>5044.2568954939334</v>
      </c>
      <c r="O65" s="20">
        <f t="shared" si="13"/>
        <v>59</v>
      </c>
      <c r="P65" s="54">
        <f t="shared" si="14"/>
        <v>30687.375</v>
      </c>
      <c r="Q65" s="63">
        <f t="shared" si="15"/>
        <v>11965.596486768711</v>
      </c>
      <c r="R65" s="77">
        <f t="shared" si="2"/>
        <v>-5062.8809553678084</v>
      </c>
      <c r="S65" s="63">
        <f>+S62</f>
        <v>-2113.8211382113823</v>
      </c>
      <c r="T65" s="63">
        <f>-T77*0.5</f>
        <v>0</v>
      </c>
      <c r="U65" s="63">
        <f>U62</f>
        <v>-598.27982433843556</v>
      </c>
      <c r="V65" s="77">
        <f t="shared" si="20"/>
        <v>-14.004065040650374</v>
      </c>
      <c r="W65" s="83">
        <f t="shared" si="4"/>
        <v>4176.6105038104342</v>
      </c>
      <c r="X65" s="85">
        <f>X62+W65</f>
        <v>185125.09140012151</v>
      </c>
      <c r="Z65" s="92">
        <f t="shared" si="19"/>
        <v>6721.9512195121788</v>
      </c>
      <c r="AA65" s="5">
        <f t="shared" si="5"/>
        <v>0</v>
      </c>
      <c r="AB65" s="92">
        <f t="shared" si="6"/>
        <v>6721.9512195121788</v>
      </c>
      <c r="AD65" s="133">
        <f>IF(AD62=0,0,IF(+S65+AD62&lt;-$S$68,0,+S65+AD62))</f>
        <v>-120487.8048780487</v>
      </c>
      <c r="AE65" s="3">
        <f t="shared" si="8"/>
        <v>1</v>
      </c>
    </row>
    <row r="66" spans="1:31" ht="14.65" thickBot="1" x14ac:dyDescent="0.5">
      <c r="I66" s="20">
        <f t="shared" si="10"/>
        <v>60</v>
      </c>
      <c r="J66" s="63">
        <f t="shared" si="11"/>
        <v>5044.2568954939334</v>
      </c>
      <c r="K66" s="79">
        <f t="shared" si="25"/>
        <v>22.280631169440856</v>
      </c>
      <c r="L66" s="63">
        <f t="shared" si="12"/>
        <v>-5062.8809553678084</v>
      </c>
      <c r="M66" s="80">
        <f t="shared" si="0"/>
        <v>3.6565712955662093</v>
      </c>
      <c r="O66" s="20">
        <f t="shared" si="13"/>
        <v>60</v>
      </c>
      <c r="P66" s="54">
        <f t="shared" si="14"/>
        <v>31207.5</v>
      </c>
      <c r="Q66" s="63">
        <f t="shared" si="15"/>
        <v>11965.596486768711</v>
      </c>
      <c r="R66" s="77">
        <f t="shared" si="2"/>
        <v>-5062.8809553678084</v>
      </c>
      <c r="S66" s="63">
        <f>+S62</f>
        <v>-2113.8211382113823</v>
      </c>
      <c r="T66" s="63">
        <f>-T77*0.5</f>
        <v>0</v>
      </c>
      <c r="U66" s="63">
        <f>U62</f>
        <v>-598.27982433843556</v>
      </c>
      <c r="V66" s="77">
        <f t="shared" si="20"/>
        <v>-5.284552845528439</v>
      </c>
      <c r="W66" s="83">
        <f t="shared" si="4"/>
        <v>4185.330016005556</v>
      </c>
      <c r="X66" s="85">
        <f>X62+W66</f>
        <v>185133.81091231664</v>
      </c>
      <c r="Z66" s="92">
        <f t="shared" si="19"/>
        <v>2536.5853658536507</v>
      </c>
      <c r="AA66" s="5">
        <f t="shared" si="5"/>
        <v>0</v>
      </c>
      <c r="AB66" s="92">
        <f t="shared" si="6"/>
        <v>2536.5853658536507</v>
      </c>
      <c r="AD66" s="133">
        <f>IF(AD62=0,0,IF(+S66+AD62&lt;-$S$68,0,+S66+AD62))</f>
        <v>-120487.8048780487</v>
      </c>
      <c r="AE66" s="3">
        <f t="shared" si="8"/>
        <v>1</v>
      </c>
    </row>
    <row r="67" spans="1:31" ht="14.65" thickBot="1" x14ac:dyDescent="0.5">
      <c r="I67" s="21" t="s">
        <v>20</v>
      </c>
      <c r="J67" s="69">
        <f>C7*C11</f>
        <v>2663.4146341463415</v>
      </c>
      <c r="K67" s="69">
        <f>SUM(K7:K54)</f>
        <v>35725.92416147871</v>
      </c>
      <c r="L67" s="81"/>
      <c r="M67" s="82"/>
      <c r="O67" s="58"/>
      <c r="P67" s="59"/>
      <c r="Q67" s="69">
        <f t="shared" ref="Q67:V67" si="26">SUM(Q7:Q54)</f>
        <v>574348.63136489748</v>
      </c>
      <c r="R67" s="69">
        <f t="shared" si="26"/>
        <v>-243018.28585765502</v>
      </c>
      <c r="S67" s="87">
        <f t="shared" si="26"/>
        <v>-101463.41463414628</v>
      </c>
      <c r="T67" s="87">
        <f t="shared" si="26"/>
        <v>-38048.780487804877</v>
      </c>
      <c r="U67" s="69">
        <f t="shared" si="26"/>
        <v>-28717.431568244891</v>
      </c>
      <c r="V67" s="69">
        <f t="shared" si="26"/>
        <v>-15111.707317073171</v>
      </c>
      <c r="W67" s="88"/>
      <c r="X67" s="82"/>
    </row>
    <row r="68" spans="1:31" x14ac:dyDescent="0.45">
      <c r="Q68" s="89">
        <f>+SUM(Q67:V67)</f>
        <v>147989.01149997331</v>
      </c>
      <c r="R68" s="89"/>
      <c r="S68" s="90">
        <f>D31</f>
        <v>126829.26829268293</v>
      </c>
      <c r="T68" s="60">
        <f>D32</f>
        <v>38048.780487804877</v>
      </c>
      <c r="U68" s="89"/>
      <c r="V68" s="89"/>
      <c r="W68" s="89"/>
      <c r="X68" s="89"/>
    </row>
    <row r="69" spans="1:31" ht="14.65" thickBot="1" x14ac:dyDescent="0.5">
      <c r="L69" s="129">
        <f>+PMT(C8/12,C12,(C7),,)</f>
        <v>-5062.8809553678084</v>
      </c>
      <c r="Q69" s="89"/>
      <c r="R69" s="89"/>
      <c r="S69" s="91">
        <f>S67+S68</f>
        <v>25365.853658536653</v>
      </c>
      <c r="T69" s="66">
        <f>T67+T68</f>
        <v>0</v>
      </c>
      <c r="U69" s="89"/>
      <c r="V69" s="89"/>
      <c r="W69" s="89"/>
      <c r="X69" s="89"/>
    </row>
    <row r="70" spans="1:31" ht="14.65" thickBot="1" x14ac:dyDescent="0.5">
      <c r="I70" s="12"/>
      <c r="J70" s="316"/>
      <c r="K70" s="316"/>
      <c r="L70" s="316"/>
      <c r="M70" s="316"/>
      <c r="O70" s="12"/>
      <c r="P70" s="12"/>
      <c r="Q70" s="316"/>
      <c r="R70" s="316"/>
      <c r="S70" s="317"/>
      <c r="T70" s="318"/>
      <c r="U70" s="316"/>
      <c r="V70" s="316"/>
      <c r="W70" s="316"/>
      <c r="X70" s="316"/>
    </row>
    <row r="71" spans="1:31" ht="14.65" thickBot="1" x14ac:dyDescent="0.5">
      <c r="I71" s="12"/>
      <c r="J71" s="316"/>
      <c r="K71" s="316"/>
      <c r="L71" s="316"/>
      <c r="M71" s="316"/>
      <c r="O71" s="12"/>
      <c r="P71" s="12"/>
      <c r="Q71" s="316"/>
      <c r="R71" s="316"/>
      <c r="S71" s="317"/>
      <c r="T71" s="318"/>
      <c r="U71" s="316"/>
      <c r="V71" s="316"/>
      <c r="W71" s="316"/>
      <c r="X71" s="316"/>
    </row>
    <row r="72" spans="1:31" x14ac:dyDescent="0.45">
      <c r="Q72" s="89"/>
      <c r="R72" s="89"/>
      <c r="S72" s="90">
        <f>D31</f>
        <v>126829.26829268293</v>
      </c>
      <c r="T72" s="60">
        <f>D32</f>
        <v>38048.780487804877</v>
      </c>
      <c r="U72" s="89"/>
      <c r="V72" s="89"/>
      <c r="W72" s="89"/>
      <c r="X72" s="89"/>
    </row>
    <row r="73" spans="1:31" ht="14.65" thickBot="1" x14ac:dyDescent="0.5">
      <c r="L73" s="129"/>
      <c r="Q73" s="89"/>
      <c r="R73" s="89"/>
      <c r="S73" s="91">
        <f>S55+S72</f>
        <v>124715.44715447155</v>
      </c>
      <c r="T73" s="66">
        <f>T55+T72</f>
        <v>38048.780487804877</v>
      </c>
      <c r="U73" s="89"/>
      <c r="V73" s="89"/>
      <c r="W73" s="89"/>
      <c r="X73" s="89"/>
    </row>
    <row r="74" spans="1:31" s="131" customFormat="1" ht="14.65" thickBot="1" x14ac:dyDescent="0.5"/>
    <row r="75" spans="1:31" ht="31.15" thickBot="1" x14ac:dyDescent="0.5">
      <c r="A75" s="679" t="str">
        <f>+A3</f>
        <v>CAT 14H Grader</v>
      </c>
      <c r="B75" s="680"/>
      <c r="C75" s="681"/>
      <c r="D75" s="682" t="s">
        <v>2</v>
      </c>
      <c r="E75" s="694"/>
      <c r="F75" s="694"/>
      <c r="G75" s="694"/>
      <c r="H75" s="683"/>
      <c r="I75" s="683"/>
      <c r="J75" s="683"/>
      <c r="K75" s="683"/>
      <c r="L75" s="683"/>
      <c r="M75" s="683"/>
      <c r="N75" s="683"/>
      <c r="O75" s="683"/>
      <c r="P75" s="683"/>
      <c r="Q75" s="683"/>
      <c r="R75" s="683"/>
      <c r="S75" s="683"/>
      <c r="T75" s="683"/>
      <c r="U75" s="683"/>
      <c r="V75" s="683"/>
      <c r="W75" s="683"/>
      <c r="X75" s="684"/>
    </row>
    <row r="76" spans="1:31" ht="28.9" thickBot="1" x14ac:dyDescent="0.5">
      <c r="C76" s="11"/>
      <c r="D76" s="11"/>
      <c r="E76" s="164" t="s">
        <v>77</v>
      </c>
      <c r="F76" s="164" t="s">
        <v>78</v>
      </c>
      <c r="G76" s="164" t="s">
        <v>79</v>
      </c>
      <c r="H76" s="11"/>
      <c r="I76" s="12"/>
      <c r="J76" s="11"/>
      <c r="K76" s="11"/>
      <c r="L76" s="11"/>
      <c r="M76" s="11"/>
      <c r="Q76" s="56">
        <v>416</v>
      </c>
      <c r="U76" s="57">
        <v>0.05</v>
      </c>
    </row>
    <row r="77" spans="1:31" ht="23.65" thickBot="1" x14ac:dyDescent="0.5">
      <c r="A77" s="685" t="s">
        <v>9</v>
      </c>
      <c r="B77" s="686"/>
      <c r="C77" s="687"/>
      <c r="D77" s="11"/>
      <c r="E77" s="165" t="e">
        <v>#REF!</v>
      </c>
      <c r="F77" s="165" t="e">
        <v>#REF!</v>
      </c>
      <c r="G77" s="165" t="e">
        <v>#REF!</v>
      </c>
      <c r="H77" s="11"/>
      <c r="I77" s="688" t="s">
        <v>34</v>
      </c>
      <c r="J77" s="689"/>
      <c r="K77" s="689"/>
      <c r="L77" s="689"/>
      <c r="M77" s="690"/>
      <c r="O77" s="688" t="s">
        <v>35</v>
      </c>
      <c r="P77" s="691"/>
      <c r="Q77" s="689"/>
      <c r="R77" s="689"/>
      <c r="S77" s="689"/>
      <c r="T77" s="689"/>
      <c r="U77" s="689"/>
      <c r="V77" s="689"/>
      <c r="W77" s="692"/>
      <c r="X77" s="693"/>
      <c r="AA77" s="145">
        <v>0</v>
      </c>
    </row>
    <row r="78" spans="1:31" ht="28.9" thickBot="1" x14ac:dyDescent="0.5">
      <c r="A78" s="29" t="s">
        <v>0</v>
      </c>
      <c r="B78" s="28" t="s">
        <v>1</v>
      </c>
      <c r="C78" s="50" t="s">
        <v>10</v>
      </c>
      <c r="D78" s="11"/>
      <c r="E78" s="11"/>
      <c r="F78" s="11"/>
      <c r="G78" s="11"/>
      <c r="H78" s="11"/>
      <c r="I78" s="16" t="s">
        <v>15</v>
      </c>
      <c r="J78" s="17" t="s">
        <v>16</v>
      </c>
      <c r="K78" s="17" t="s">
        <v>17</v>
      </c>
      <c r="L78" s="17" t="s">
        <v>18</v>
      </c>
      <c r="M78" s="18" t="s">
        <v>19</v>
      </c>
      <c r="O78" s="16" t="s">
        <v>15</v>
      </c>
      <c r="P78" s="52" t="s">
        <v>39</v>
      </c>
      <c r="Q78" s="17" t="s">
        <v>36</v>
      </c>
      <c r="R78" s="17" t="s">
        <v>37</v>
      </c>
      <c r="S78" s="17" t="s">
        <v>27</v>
      </c>
      <c r="T78" s="17" t="s">
        <v>38</v>
      </c>
      <c r="U78" s="17" t="s">
        <v>7</v>
      </c>
      <c r="V78" s="17" t="s">
        <v>41</v>
      </c>
      <c r="W78" s="18" t="s">
        <v>40</v>
      </c>
      <c r="X78" s="55" t="s">
        <v>42</v>
      </c>
      <c r="Z78" s="5" t="s">
        <v>71</v>
      </c>
      <c r="AA78" s="5" t="s">
        <v>46</v>
      </c>
      <c r="AB78" s="5" t="s">
        <v>47</v>
      </c>
    </row>
    <row r="79" spans="1:31" x14ac:dyDescent="0.45">
      <c r="A79" s="8">
        <v>1</v>
      </c>
      <c r="B79" s="9" t="s">
        <v>11</v>
      </c>
      <c r="C79" s="61" t="e">
        <v>#REF!</v>
      </c>
      <c r="D79" s="163"/>
      <c r="E79" s="8" t="s">
        <v>61</v>
      </c>
      <c r="F79" s="148" t="e">
        <v>#REF!</v>
      </c>
      <c r="G79" s="106"/>
      <c r="H79" s="11"/>
      <c r="I79" s="15">
        <v>1</v>
      </c>
      <c r="J79" s="77" t="e">
        <f>C79</f>
        <v>#REF!</v>
      </c>
      <c r="K79" s="77" t="e">
        <f>J79*$C$8*30.44/365.25</f>
        <v>#REF!</v>
      </c>
      <c r="L79" s="77" t="e">
        <f>L126</f>
        <v>#REF!</v>
      </c>
      <c r="M79" s="78" t="e">
        <f t="shared" ref="M79:M126" si="27">J79+K79+L79</f>
        <v>#REF!</v>
      </c>
      <c r="O79" s="15">
        <v>1</v>
      </c>
      <c r="P79" s="53">
        <f>Q76</f>
        <v>416</v>
      </c>
      <c r="Q79" s="77">
        <f>$F$42+($Q$4*$G$42)</f>
        <v>11965.596486768711</v>
      </c>
      <c r="R79" s="77" t="e">
        <f>L79</f>
        <v>#REF!</v>
      </c>
      <c r="S79" s="77" t="e">
        <f>-S128/C84</f>
        <v>#REF!</v>
      </c>
      <c r="T79" s="77"/>
      <c r="U79" s="77">
        <f>-Q79*U76</f>
        <v>-598.27982433843556</v>
      </c>
      <c r="V79" s="77">
        <f>-(AB79*$C$9/12)</f>
        <v>-519.7357723577237</v>
      </c>
      <c r="W79" s="83" t="e">
        <f>SUM(Q79:V79)</f>
        <v>#REF!</v>
      </c>
      <c r="X79" s="84" t="e">
        <f>W79</f>
        <v>#REF!</v>
      </c>
      <c r="Z79" s="92">
        <f>+$D$27-(($D$27+$D$28)*O79/$B$22)</f>
        <v>249473.17073170733</v>
      </c>
      <c r="AA79" s="5">
        <f>+Z79*$AA$5</f>
        <v>0</v>
      </c>
      <c r="AB79" s="92">
        <f>+Z79+AA79</f>
        <v>249473.17073170733</v>
      </c>
    </row>
    <row r="80" spans="1:31" ht="28.5" x14ac:dyDescent="0.45">
      <c r="A80" s="4">
        <f>A79+1</f>
        <v>2</v>
      </c>
      <c r="B80" s="5" t="s">
        <v>3</v>
      </c>
      <c r="C80" s="51">
        <f t="shared" ref="C80:C86" si="28">+C8</f>
        <v>5.2999999999999999E-2</v>
      </c>
      <c r="D80" s="11"/>
      <c r="E80" s="107" t="s">
        <v>64</v>
      </c>
      <c r="F80" s="314" t="e">
        <v>#REF!</v>
      </c>
      <c r="G80" s="108"/>
      <c r="H80" s="11"/>
      <c r="I80" s="14">
        <f>I79+1</f>
        <v>2</v>
      </c>
      <c r="J80" s="63" t="e">
        <f>M79</f>
        <v>#REF!</v>
      </c>
      <c r="K80" s="63" t="e">
        <f t="shared" ref="K80:K126" si="29">J80*$C$8*30.44/365.25</f>
        <v>#REF!</v>
      </c>
      <c r="L80" s="63" t="e">
        <f>L79</f>
        <v>#REF!</v>
      </c>
      <c r="M80" s="65" t="e">
        <f t="shared" si="27"/>
        <v>#REF!</v>
      </c>
      <c r="O80" s="14">
        <f>O79+1</f>
        <v>2</v>
      </c>
      <c r="P80" s="54">
        <f>P79+$Q$4</f>
        <v>936.125</v>
      </c>
      <c r="Q80" s="63">
        <f>$F$42+($Q$4*$G$42)</f>
        <v>11965.596486768711</v>
      </c>
      <c r="R80" s="63" t="e">
        <f>R79</f>
        <v>#REF!</v>
      </c>
      <c r="S80" s="63" t="e">
        <f>+S79</f>
        <v>#REF!</v>
      </c>
      <c r="T80" s="63"/>
      <c r="U80" s="63">
        <f>U79</f>
        <v>-598.27982433843556</v>
      </c>
      <c r="V80" s="77">
        <f t="shared" ref="V80:V86" si="30">-(AB80*$C$9/12)</f>
        <v>-511.01626016260161</v>
      </c>
      <c r="W80" s="83" t="e">
        <f t="shared" ref="W80:W126" si="31">SUM(Q80:V80)</f>
        <v>#REF!</v>
      </c>
      <c r="X80" s="85" t="e">
        <f>X79+W80</f>
        <v>#REF!</v>
      </c>
      <c r="Z80" s="92">
        <f>+$D$27-(($D$27+$D$28)*O80/$B$22)</f>
        <v>245287.80487804877</v>
      </c>
      <c r="AA80" s="5">
        <f t="shared" ref="AA80:AA126" si="32">+Z80*$AA$5</f>
        <v>0</v>
      </c>
      <c r="AB80" s="92">
        <f t="shared" ref="AB80:AB126" si="33">+Z80+AA80</f>
        <v>245287.80487804877</v>
      </c>
    </row>
    <row r="81" spans="1:28" x14ac:dyDescent="0.45">
      <c r="A81" s="4">
        <f t="shared" ref="A81:A86" si="34">A80+1</f>
        <v>3</v>
      </c>
      <c r="B81" s="5" t="s">
        <v>4</v>
      </c>
      <c r="C81" s="51">
        <f t="shared" si="28"/>
        <v>2.5000000000000001E-2</v>
      </c>
      <c r="D81" s="11"/>
      <c r="E81" s="109" t="s">
        <v>69</v>
      </c>
      <c r="F81" s="149">
        <f>+F9</f>
        <v>12682.926829268294</v>
      </c>
      <c r="G81" s="110"/>
      <c r="H81" s="11"/>
      <c r="I81" s="14">
        <f t="shared" ref="I81:I126" si="35">I80+1</f>
        <v>3</v>
      </c>
      <c r="J81" s="63" t="e">
        <f t="shared" ref="J81:J95" si="36">M80</f>
        <v>#REF!</v>
      </c>
      <c r="K81" s="63" t="e">
        <f t="shared" si="29"/>
        <v>#REF!</v>
      </c>
      <c r="L81" s="63" t="e">
        <f t="shared" ref="L81:L113" si="37">L80</f>
        <v>#REF!</v>
      </c>
      <c r="M81" s="65" t="e">
        <f t="shared" si="27"/>
        <v>#REF!</v>
      </c>
      <c r="O81" s="14">
        <f t="shared" ref="O81:O126" si="38">O80+1</f>
        <v>3</v>
      </c>
      <c r="P81" s="54">
        <f t="shared" ref="P81:P126" si="39">P80+$Q$4</f>
        <v>1456.25</v>
      </c>
      <c r="Q81" s="63">
        <f t="shared" ref="Q81:Q126" si="40">$F$42+($Q$4*$G$42)</f>
        <v>11965.596486768711</v>
      </c>
      <c r="R81" s="63" t="e">
        <f>R80</f>
        <v>#REF!</v>
      </c>
      <c r="S81" s="63" t="e">
        <f t="shared" ref="S81:S126" si="41">+S80</f>
        <v>#REF!</v>
      </c>
      <c r="T81" s="63"/>
      <c r="U81" s="63">
        <f t="shared" ref="U81:U126" si="42">U80</f>
        <v>-598.27982433843556</v>
      </c>
      <c r="V81" s="77">
        <f t="shared" si="30"/>
        <v>-502.29674796747969</v>
      </c>
      <c r="W81" s="83" t="e">
        <f t="shared" si="31"/>
        <v>#REF!</v>
      </c>
      <c r="X81" s="85" t="e">
        <f t="shared" ref="X81:X126" si="43">X80+W81</f>
        <v>#REF!</v>
      </c>
      <c r="Z81" s="92">
        <f t="shared" ref="Z81:Z126" si="44">+$D$27-(($D$27+$D$28)*O81/$B$22)</f>
        <v>241102.43902439025</v>
      </c>
      <c r="AA81" s="5">
        <f t="shared" si="32"/>
        <v>0</v>
      </c>
      <c r="AB81" s="92">
        <f t="shared" si="33"/>
        <v>241102.43902439025</v>
      </c>
    </row>
    <row r="82" spans="1:28" ht="14.65" thickBot="1" x14ac:dyDescent="0.5">
      <c r="A82" s="4">
        <f t="shared" si="34"/>
        <v>4</v>
      </c>
      <c r="B82" s="5" t="s">
        <v>5</v>
      </c>
      <c r="C82" s="51">
        <f t="shared" si="28"/>
        <v>0.05</v>
      </c>
      <c r="D82" s="11"/>
      <c r="E82" s="111" t="s">
        <v>52</v>
      </c>
      <c r="F82" s="315" t="e">
        <f>(SUM(F79:F81)*G82)*(1-F77)</f>
        <v>#REF!</v>
      </c>
      <c r="G82" s="128">
        <f>+G10</f>
        <v>0</v>
      </c>
      <c r="H82" s="11"/>
      <c r="I82" s="14">
        <f t="shared" si="35"/>
        <v>4</v>
      </c>
      <c r="J82" s="63" t="e">
        <f t="shared" si="36"/>
        <v>#REF!</v>
      </c>
      <c r="K82" s="63" t="e">
        <f t="shared" si="29"/>
        <v>#REF!</v>
      </c>
      <c r="L82" s="63" t="e">
        <f t="shared" si="37"/>
        <v>#REF!</v>
      </c>
      <c r="M82" s="65" t="e">
        <f t="shared" si="27"/>
        <v>#REF!</v>
      </c>
      <c r="O82" s="14">
        <f t="shared" si="38"/>
        <v>4</v>
      </c>
      <c r="P82" s="54">
        <f t="shared" si="39"/>
        <v>1976.375</v>
      </c>
      <c r="Q82" s="63">
        <f t="shared" si="40"/>
        <v>11965.596486768711</v>
      </c>
      <c r="R82" s="63" t="e">
        <f t="shared" ref="R82:R126" si="45">R81</f>
        <v>#REF!</v>
      </c>
      <c r="S82" s="63" t="e">
        <f t="shared" si="41"/>
        <v>#REF!</v>
      </c>
      <c r="T82" s="63"/>
      <c r="U82" s="63">
        <f t="shared" si="42"/>
        <v>-598.27982433843556</v>
      </c>
      <c r="V82" s="77">
        <f t="shared" si="30"/>
        <v>-493.57723577235782</v>
      </c>
      <c r="W82" s="83" t="e">
        <f t="shared" si="31"/>
        <v>#REF!</v>
      </c>
      <c r="X82" s="85" t="e">
        <f t="shared" si="43"/>
        <v>#REF!</v>
      </c>
      <c r="Z82" s="92">
        <f t="shared" si="44"/>
        <v>236917.07317073172</v>
      </c>
      <c r="AA82" s="5">
        <f t="shared" si="32"/>
        <v>0</v>
      </c>
      <c r="AB82" s="92">
        <f t="shared" si="33"/>
        <v>236917.07317073172</v>
      </c>
    </row>
    <row r="83" spans="1:28" ht="14.65" thickBot="1" x14ac:dyDescent="0.5">
      <c r="A83" s="4">
        <f t="shared" si="34"/>
        <v>5</v>
      </c>
      <c r="B83" s="5" t="s">
        <v>12</v>
      </c>
      <c r="C83" s="51">
        <f t="shared" si="28"/>
        <v>0.01</v>
      </c>
      <c r="D83" s="11"/>
      <c r="E83" s="112" t="s">
        <v>28</v>
      </c>
      <c r="F83" s="313" t="e">
        <f>SUM(F79:F82)</f>
        <v>#REF!</v>
      </c>
      <c r="G83" s="113"/>
      <c r="H83" s="11"/>
      <c r="I83" s="14">
        <f t="shared" si="35"/>
        <v>5</v>
      </c>
      <c r="J83" s="63" t="e">
        <f t="shared" si="36"/>
        <v>#REF!</v>
      </c>
      <c r="K83" s="63" t="e">
        <f t="shared" si="29"/>
        <v>#REF!</v>
      </c>
      <c r="L83" s="63" t="e">
        <f t="shared" si="37"/>
        <v>#REF!</v>
      </c>
      <c r="M83" s="65" t="e">
        <f t="shared" si="27"/>
        <v>#REF!</v>
      </c>
      <c r="O83" s="14">
        <f t="shared" si="38"/>
        <v>5</v>
      </c>
      <c r="P83" s="54">
        <f t="shared" si="39"/>
        <v>2496.5</v>
      </c>
      <c r="Q83" s="63">
        <f t="shared" si="40"/>
        <v>11965.596486768711</v>
      </c>
      <c r="R83" s="63" t="e">
        <f t="shared" si="45"/>
        <v>#REF!</v>
      </c>
      <c r="S83" s="63" t="e">
        <f t="shared" si="41"/>
        <v>#REF!</v>
      </c>
      <c r="T83" s="63"/>
      <c r="U83" s="63">
        <f t="shared" si="42"/>
        <v>-598.27982433843556</v>
      </c>
      <c r="V83" s="77">
        <f t="shared" si="30"/>
        <v>-484.85772357723584</v>
      </c>
      <c r="W83" s="83" t="e">
        <f t="shared" si="31"/>
        <v>#REF!</v>
      </c>
      <c r="X83" s="85" t="e">
        <f t="shared" si="43"/>
        <v>#REF!</v>
      </c>
      <c r="Z83" s="92">
        <f t="shared" si="44"/>
        <v>232731.70731707319</v>
      </c>
      <c r="AA83" s="5">
        <f t="shared" si="32"/>
        <v>0</v>
      </c>
      <c r="AB83" s="92">
        <f t="shared" si="33"/>
        <v>232731.70731707319</v>
      </c>
    </row>
    <row r="84" spans="1:28" x14ac:dyDescent="0.45">
      <c r="A84" s="4">
        <f t="shared" si="34"/>
        <v>6</v>
      </c>
      <c r="B84" s="5" t="s">
        <v>13</v>
      </c>
      <c r="C84" s="166">
        <f t="shared" si="28"/>
        <v>60</v>
      </c>
      <c r="D84" s="11"/>
      <c r="E84" s="11"/>
      <c r="F84" s="11"/>
      <c r="G84" s="11"/>
      <c r="H84" s="11"/>
      <c r="I84" s="14">
        <f t="shared" si="35"/>
        <v>6</v>
      </c>
      <c r="J84" s="63" t="e">
        <f t="shared" si="36"/>
        <v>#REF!</v>
      </c>
      <c r="K84" s="63" t="e">
        <f t="shared" si="29"/>
        <v>#REF!</v>
      </c>
      <c r="L84" s="63" t="e">
        <f t="shared" si="37"/>
        <v>#REF!</v>
      </c>
      <c r="M84" s="65" t="e">
        <f t="shared" si="27"/>
        <v>#REF!</v>
      </c>
      <c r="O84" s="14">
        <f t="shared" si="38"/>
        <v>6</v>
      </c>
      <c r="P84" s="54">
        <f t="shared" si="39"/>
        <v>3016.625</v>
      </c>
      <c r="Q84" s="63">
        <f t="shared" si="40"/>
        <v>11965.596486768711</v>
      </c>
      <c r="R84" s="63" t="e">
        <f t="shared" si="45"/>
        <v>#REF!</v>
      </c>
      <c r="S84" s="63" t="e">
        <f t="shared" si="41"/>
        <v>#REF!</v>
      </c>
      <c r="T84" s="63"/>
      <c r="U84" s="63">
        <f t="shared" si="42"/>
        <v>-598.27982433843556</v>
      </c>
      <c r="V84" s="77">
        <f t="shared" si="30"/>
        <v>-476.13821138211387</v>
      </c>
      <c r="W84" s="83" t="e">
        <f t="shared" si="31"/>
        <v>#REF!</v>
      </c>
      <c r="X84" s="85" t="e">
        <f t="shared" si="43"/>
        <v>#REF!</v>
      </c>
      <c r="Z84" s="92">
        <f t="shared" si="44"/>
        <v>228546.34146341463</v>
      </c>
      <c r="AA84" s="5">
        <f t="shared" si="32"/>
        <v>0</v>
      </c>
      <c r="AB84" s="92">
        <f t="shared" si="33"/>
        <v>228546.34146341463</v>
      </c>
    </row>
    <row r="85" spans="1:28" x14ac:dyDescent="0.45">
      <c r="A85" s="4">
        <f t="shared" si="34"/>
        <v>7</v>
      </c>
      <c r="B85" s="5" t="s">
        <v>14</v>
      </c>
      <c r="C85" s="166">
        <f t="shared" si="28"/>
        <v>20000</v>
      </c>
      <c r="D85" s="11"/>
      <c r="E85" s="11"/>
      <c r="F85" s="11"/>
      <c r="G85" s="11"/>
      <c r="H85" s="11"/>
      <c r="I85" s="14">
        <f t="shared" si="35"/>
        <v>7</v>
      </c>
      <c r="J85" s="63" t="e">
        <f t="shared" si="36"/>
        <v>#REF!</v>
      </c>
      <c r="K85" s="63" t="e">
        <f t="shared" si="29"/>
        <v>#REF!</v>
      </c>
      <c r="L85" s="63" t="e">
        <f t="shared" si="37"/>
        <v>#REF!</v>
      </c>
      <c r="M85" s="65" t="e">
        <f t="shared" si="27"/>
        <v>#REF!</v>
      </c>
      <c r="O85" s="14">
        <f t="shared" si="38"/>
        <v>7</v>
      </c>
      <c r="P85" s="54">
        <f t="shared" si="39"/>
        <v>3536.75</v>
      </c>
      <c r="Q85" s="63">
        <f t="shared" si="40"/>
        <v>11965.596486768711</v>
      </c>
      <c r="R85" s="63" t="e">
        <f t="shared" si="45"/>
        <v>#REF!</v>
      </c>
      <c r="S85" s="63" t="e">
        <f t="shared" si="41"/>
        <v>#REF!</v>
      </c>
      <c r="T85" s="63"/>
      <c r="U85" s="63">
        <f t="shared" si="42"/>
        <v>-598.27982433843556</v>
      </c>
      <c r="V85" s="77">
        <f t="shared" si="30"/>
        <v>-467.41869918699194</v>
      </c>
      <c r="W85" s="83" t="e">
        <f t="shared" si="31"/>
        <v>#REF!</v>
      </c>
      <c r="X85" s="85" t="e">
        <f t="shared" si="43"/>
        <v>#REF!</v>
      </c>
      <c r="Z85" s="92">
        <f t="shared" si="44"/>
        <v>224360.9756097561</v>
      </c>
      <c r="AA85" s="5">
        <f t="shared" si="32"/>
        <v>0</v>
      </c>
      <c r="AB85" s="92">
        <f t="shared" si="33"/>
        <v>224360.9756097561</v>
      </c>
    </row>
    <row r="86" spans="1:28" ht="14.65" thickBot="1" x14ac:dyDescent="0.5">
      <c r="A86" s="6">
        <f t="shared" si="34"/>
        <v>8</v>
      </c>
      <c r="B86" s="7" t="s">
        <v>33</v>
      </c>
      <c r="C86" s="51">
        <f t="shared" si="28"/>
        <v>0.9</v>
      </c>
      <c r="D86" s="11"/>
      <c r="E86" s="11"/>
      <c r="F86" s="11"/>
      <c r="G86" s="11"/>
      <c r="H86" s="11"/>
      <c r="I86" s="14">
        <f t="shared" si="35"/>
        <v>8</v>
      </c>
      <c r="J86" s="63" t="e">
        <f t="shared" si="36"/>
        <v>#REF!</v>
      </c>
      <c r="K86" s="63" t="e">
        <f t="shared" si="29"/>
        <v>#REF!</v>
      </c>
      <c r="L86" s="63" t="e">
        <f t="shared" si="37"/>
        <v>#REF!</v>
      </c>
      <c r="M86" s="65" t="e">
        <f t="shared" si="27"/>
        <v>#REF!</v>
      </c>
      <c r="O86" s="14">
        <f t="shared" si="38"/>
        <v>8</v>
      </c>
      <c r="P86" s="54">
        <f t="shared" si="39"/>
        <v>4056.875</v>
      </c>
      <c r="Q86" s="63">
        <f t="shared" si="40"/>
        <v>11965.596486768711</v>
      </c>
      <c r="R86" s="63" t="e">
        <f t="shared" si="45"/>
        <v>#REF!</v>
      </c>
      <c r="S86" s="63" t="e">
        <f t="shared" si="41"/>
        <v>#REF!</v>
      </c>
      <c r="T86" s="63"/>
      <c r="U86" s="63">
        <f t="shared" si="42"/>
        <v>-598.27982433843556</v>
      </c>
      <c r="V86" s="77">
        <f t="shared" si="30"/>
        <v>-458.69918699186991</v>
      </c>
      <c r="W86" s="83" t="e">
        <f t="shared" si="31"/>
        <v>#REF!</v>
      </c>
      <c r="X86" s="85" t="e">
        <f t="shared" si="43"/>
        <v>#REF!</v>
      </c>
      <c r="Z86" s="92">
        <f t="shared" si="44"/>
        <v>220175.60975609755</v>
      </c>
      <c r="AA86" s="5">
        <f t="shared" si="32"/>
        <v>0</v>
      </c>
      <c r="AB86" s="92">
        <f t="shared" si="33"/>
        <v>220175.60975609755</v>
      </c>
    </row>
    <row r="87" spans="1:28" ht="14.65" thickBot="1" x14ac:dyDescent="0.5">
      <c r="C87" s="11"/>
      <c r="D87" s="11"/>
      <c r="E87" s="11"/>
      <c r="F87" s="11"/>
      <c r="G87" s="11"/>
      <c r="H87" s="11"/>
      <c r="I87" s="14">
        <f t="shared" si="35"/>
        <v>9</v>
      </c>
      <c r="J87" s="63" t="e">
        <f t="shared" si="36"/>
        <v>#REF!</v>
      </c>
      <c r="K87" s="63" t="e">
        <f t="shared" si="29"/>
        <v>#REF!</v>
      </c>
      <c r="L87" s="63" t="e">
        <f t="shared" si="37"/>
        <v>#REF!</v>
      </c>
      <c r="M87" s="65" t="e">
        <f t="shared" si="27"/>
        <v>#REF!</v>
      </c>
      <c r="O87" s="14">
        <f t="shared" si="38"/>
        <v>9</v>
      </c>
      <c r="P87" s="54">
        <f t="shared" si="39"/>
        <v>4577</v>
      </c>
      <c r="Q87" s="63">
        <f t="shared" si="40"/>
        <v>11965.596486768711</v>
      </c>
      <c r="R87" s="63" t="e">
        <f t="shared" si="45"/>
        <v>#REF!</v>
      </c>
      <c r="S87" s="63" t="e">
        <f t="shared" si="41"/>
        <v>#REF!</v>
      </c>
      <c r="T87" s="63"/>
      <c r="U87" s="63">
        <f t="shared" si="42"/>
        <v>-598.27982433843556</v>
      </c>
      <c r="V87" s="77">
        <f>-(AB87*$C$9/12)</f>
        <v>-449.97967479674799</v>
      </c>
      <c r="W87" s="83" t="e">
        <f t="shared" si="31"/>
        <v>#REF!</v>
      </c>
      <c r="X87" s="85" t="e">
        <f t="shared" si="43"/>
        <v>#REF!</v>
      </c>
      <c r="Z87" s="92">
        <f t="shared" si="44"/>
        <v>215990.24390243902</v>
      </c>
      <c r="AA87" s="5">
        <f t="shared" si="32"/>
        <v>0</v>
      </c>
      <c r="AB87" s="92">
        <f t="shared" si="33"/>
        <v>215990.24390243902</v>
      </c>
    </row>
    <row r="88" spans="1:28" ht="16.149999999999999" thickBot="1" x14ac:dyDescent="0.5">
      <c r="A88" s="661" t="s">
        <v>43</v>
      </c>
      <c r="B88" s="662"/>
      <c r="C88" s="662"/>
      <c r="D88" s="662"/>
      <c r="E88" s="663"/>
      <c r="F88" s="1"/>
      <c r="G88" s="1"/>
      <c r="H88" s="117"/>
      <c r="I88" s="14">
        <f t="shared" si="35"/>
        <v>10</v>
      </c>
      <c r="J88" s="63" t="e">
        <f t="shared" si="36"/>
        <v>#REF!</v>
      </c>
      <c r="K88" s="63" t="e">
        <f t="shared" si="29"/>
        <v>#REF!</v>
      </c>
      <c r="L88" s="63" t="e">
        <f t="shared" si="37"/>
        <v>#REF!</v>
      </c>
      <c r="M88" s="65" t="e">
        <f t="shared" si="27"/>
        <v>#REF!</v>
      </c>
      <c r="O88" s="14">
        <f t="shared" si="38"/>
        <v>10</v>
      </c>
      <c r="P88" s="54">
        <f t="shared" si="39"/>
        <v>5097.125</v>
      </c>
      <c r="Q88" s="63">
        <f t="shared" si="40"/>
        <v>11965.596486768711</v>
      </c>
      <c r="R88" s="63" t="e">
        <f t="shared" si="45"/>
        <v>#REF!</v>
      </c>
      <c r="S88" s="63" t="e">
        <f t="shared" si="41"/>
        <v>#REF!</v>
      </c>
      <c r="T88" s="63"/>
      <c r="U88" s="63">
        <f t="shared" si="42"/>
        <v>-598.27982433843556</v>
      </c>
      <c r="V88" s="77">
        <f t="shared" ref="V88:V126" si="46">-(AB88*$C$9/12)</f>
        <v>-441.26016260162606</v>
      </c>
      <c r="W88" s="83" t="e">
        <f t="shared" si="31"/>
        <v>#REF!</v>
      </c>
      <c r="X88" s="85" t="e">
        <f t="shared" si="43"/>
        <v>#REF!</v>
      </c>
      <c r="Z88" s="92">
        <f t="shared" si="44"/>
        <v>211804.87804878049</v>
      </c>
      <c r="AA88" s="5">
        <f t="shared" si="32"/>
        <v>0</v>
      </c>
      <c r="AB88" s="92">
        <f t="shared" si="33"/>
        <v>211804.87804878049</v>
      </c>
    </row>
    <row r="89" spans="1:28" ht="14.65" thickBot="1" x14ac:dyDescent="0.5">
      <c r="A89" s="97" t="s">
        <v>44</v>
      </c>
      <c r="B89" s="98" t="s">
        <v>48</v>
      </c>
      <c r="C89" s="98" t="s">
        <v>45</v>
      </c>
      <c r="D89" s="99" t="s">
        <v>46</v>
      </c>
      <c r="E89" s="55" t="s">
        <v>47</v>
      </c>
      <c r="F89" s="1"/>
      <c r="G89" s="1"/>
      <c r="H89" s="117"/>
      <c r="I89" s="14">
        <f t="shared" si="35"/>
        <v>11</v>
      </c>
      <c r="J89" s="63" t="e">
        <f t="shared" si="36"/>
        <v>#REF!</v>
      </c>
      <c r="K89" s="63" t="e">
        <f t="shared" si="29"/>
        <v>#REF!</v>
      </c>
      <c r="L89" s="63" t="e">
        <f t="shared" si="37"/>
        <v>#REF!</v>
      </c>
      <c r="M89" s="65" t="e">
        <f t="shared" si="27"/>
        <v>#REF!</v>
      </c>
      <c r="O89" s="14">
        <f t="shared" si="38"/>
        <v>11</v>
      </c>
      <c r="P89" s="54">
        <f t="shared" si="39"/>
        <v>5617.25</v>
      </c>
      <c r="Q89" s="63">
        <f t="shared" si="40"/>
        <v>11965.596486768711</v>
      </c>
      <c r="R89" s="63" t="e">
        <f t="shared" si="45"/>
        <v>#REF!</v>
      </c>
      <c r="S89" s="63" t="e">
        <f t="shared" si="41"/>
        <v>#REF!</v>
      </c>
      <c r="T89" s="63"/>
      <c r="U89" s="63">
        <f t="shared" si="42"/>
        <v>-598.27982433843556</v>
      </c>
      <c r="V89" s="77">
        <f t="shared" si="46"/>
        <v>-432.54065040650408</v>
      </c>
      <c r="W89" s="83" t="e">
        <f t="shared" si="31"/>
        <v>#REF!</v>
      </c>
      <c r="X89" s="85" t="e">
        <f t="shared" si="43"/>
        <v>#REF!</v>
      </c>
      <c r="Z89" s="92">
        <f t="shared" si="44"/>
        <v>207619.51219512196</v>
      </c>
      <c r="AA89" s="5">
        <f t="shared" si="32"/>
        <v>0</v>
      </c>
      <c r="AB89" s="92">
        <f t="shared" si="33"/>
        <v>207619.51219512196</v>
      </c>
    </row>
    <row r="90" spans="1:28" x14ac:dyDescent="0.45">
      <c r="A90" s="94">
        <v>1</v>
      </c>
      <c r="B90" s="95">
        <v>12</v>
      </c>
      <c r="C90" s="96">
        <f>D$27-(D$27+D$28)*B90/60</f>
        <v>203434.14634146341</v>
      </c>
      <c r="D90" s="100">
        <v>0.1</v>
      </c>
      <c r="E90" s="103">
        <f t="shared" ref="E90:E95" si="47">C90/(100%-D90)</f>
        <v>226037.94037940376</v>
      </c>
      <c r="F90" s="11"/>
      <c r="G90" s="11"/>
      <c r="H90" s="11"/>
      <c r="I90" s="14">
        <f t="shared" si="35"/>
        <v>12</v>
      </c>
      <c r="J90" s="63" t="e">
        <f t="shared" si="36"/>
        <v>#REF!</v>
      </c>
      <c r="K90" s="63" t="e">
        <f t="shared" si="29"/>
        <v>#REF!</v>
      </c>
      <c r="L90" s="63" t="e">
        <f t="shared" si="37"/>
        <v>#REF!</v>
      </c>
      <c r="M90" s="65" t="e">
        <f t="shared" si="27"/>
        <v>#REF!</v>
      </c>
      <c r="O90" s="14">
        <f t="shared" si="38"/>
        <v>12</v>
      </c>
      <c r="P90" s="54">
        <f t="shared" si="39"/>
        <v>6137.375</v>
      </c>
      <c r="Q90" s="63">
        <f t="shared" si="40"/>
        <v>11965.596486768711</v>
      </c>
      <c r="R90" s="63" t="e">
        <f t="shared" si="45"/>
        <v>#REF!</v>
      </c>
      <c r="S90" s="63" t="e">
        <f t="shared" si="41"/>
        <v>#REF!</v>
      </c>
      <c r="T90" s="63"/>
      <c r="U90" s="63">
        <f t="shared" si="42"/>
        <v>-598.27982433843556</v>
      </c>
      <c r="V90" s="77">
        <f t="shared" si="46"/>
        <v>-423.82113821138211</v>
      </c>
      <c r="W90" s="83" t="e">
        <f t="shared" si="31"/>
        <v>#REF!</v>
      </c>
      <c r="X90" s="85" t="e">
        <f t="shared" si="43"/>
        <v>#REF!</v>
      </c>
      <c r="Z90" s="92">
        <f t="shared" si="44"/>
        <v>203434.14634146341</v>
      </c>
      <c r="AA90" s="5">
        <f t="shared" si="32"/>
        <v>0</v>
      </c>
      <c r="AB90" s="92">
        <f t="shared" si="33"/>
        <v>203434.14634146341</v>
      </c>
    </row>
    <row r="91" spans="1:28" x14ac:dyDescent="0.45">
      <c r="A91" s="4">
        <f>A90+1</f>
        <v>2</v>
      </c>
      <c r="B91" s="5">
        <f>B90+12</f>
        <v>24</v>
      </c>
      <c r="C91" s="92">
        <f>D$27-(D$27+D$28)*B91/60</f>
        <v>153209.75609756098</v>
      </c>
      <c r="D91" s="101">
        <f>D90</f>
        <v>0.1</v>
      </c>
      <c r="E91" s="104">
        <f t="shared" si="47"/>
        <v>170233.0623306233</v>
      </c>
      <c r="F91" s="11"/>
      <c r="G91" s="11"/>
      <c r="H91" s="11"/>
      <c r="I91" s="14">
        <f t="shared" si="35"/>
        <v>13</v>
      </c>
      <c r="J91" s="63" t="e">
        <f t="shared" si="36"/>
        <v>#REF!</v>
      </c>
      <c r="K91" s="63" t="e">
        <f t="shared" si="29"/>
        <v>#REF!</v>
      </c>
      <c r="L91" s="63" t="e">
        <f t="shared" si="37"/>
        <v>#REF!</v>
      </c>
      <c r="M91" s="65" t="e">
        <f t="shared" si="27"/>
        <v>#REF!</v>
      </c>
      <c r="O91" s="14">
        <f t="shared" si="38"/>
        <v>13</v>
      </c>
      <c r="P91" s="54">
        <f t="shared" si="39"/>
        <v>6657.5</v>
      </c>
      <c r="Q91" s="63">
        <f t="shared" si="40"/>
        <v>11965.596486768711</v>
      </c>
      <c r="R91" s="63" t="e">
        <f t="shared" si="45"/>
        <v>#REF!</v>
      </c>
      <c r="S91" s="63" t="e">
        <f t="shared" si="41"/>
        <v>#REF!</v>
      </c>
      <c r="T91" s="63"/>
      <c r="U91" s="63">
        <f t="shared" si="42"/>
        <v>-598.27982433843556</v>
      </c>
      <c r="V91" s="77">
        <f t="shared" si="46"/>
        <v>-415.10162601626024</v>
      </c>
      <c r="W91" s="83" t="e">
        <f t="shared" si="31"/>
        <v>#REF!</v>
      </c>
      <c r="X91" s="85" t="e">
        <f t="shared" si="43"/>
        <v>#REF!</v>
      </c>
      <c r="Z91" s="92">
        <f t="shared" si="44"/>
        <v>199248.78048780488</v>
      </c>
      <c r="AA91" s="5">
        <f t="shared" si="32"/>
        <v>0</v>
      </c>
      <c r="AB91" s="92">
        <f t="shared" si="33"/>
        <v>199248.78048780488</v>
      </c>
    </row>
    <row r="92" spans="1:28" x14ac:dyDescent="0.45">
      <c r="A92" s="4">
        <f>A91+1</f>
        <v>3</v>
      </c>
      <c r="B92" s="5">
        <f>B91+12</f>
        <v>36</v>
      </c>
      <c r="C92" s="92">
        <f>D$27-(D$27+D$28)*B92/60</f>
        <v>102985.36585365853</v>
      </c>
      <c r="D92" s="101">
        <f>D91</f>
        <v>0.1</v>
      </c>
      <c r="E92" s="104">
        <f t="shared" si="47"/>
        <v>114428.18428184281</v>
      </c>
      <c r="F92" s="11"/>
      <c r="G92" s="11"/>
      <c r="H92" s="11"/>
      <c r="I92" s="14">
        <f t="shared" si="35"/>
        <v>14</v>
      </c>
      <c r="J92" s="63" t="e">
        <f t="shared" si="36"/>
        <v>#REF!</v>
      </c>
      <c r="K92" s="63" t="e">
        <f t="shared" si="29"/>
        <v>#REF!</v>
      </c>
      <c r="L92" s="63" t="e">
        <f t="shared" si="37"/>
        <v>#REF!</v>
      </c>
      <c r="M92" s="65" t="e">
        <f t="shared" si="27"/>
        <v>#REF!</v>
      </c>
      <c r="O92" s="14">
        <f t="shared" si="38"/>
        <v>14</v>
      </c>
      <c r="P92" s="54">
        <f t="shared" si="39"/>
        <v>7177.625</v>
      </c>
      <c r="Q92" s="63">
        <f t="shared" si="40"/>
        <v>11965.596486768711</v>
      </c>
      <c r="R92" s="63" t="e">
        <f t="shared" si="45"/>
        <v>#REF!</v>
      </c>
      <c r="S92" s="63" t="e">
        <f t="shared" si="41"/>
        <v>#REF!</v>
      </c>
      <c r="T92" s="63"/>
      <c r="U92" s="63">
        <f t="shared" si="42"/>
        <v>-598.27982433843556</v>
      </c>
      <c r="V92" s="77">
        <f t="shared" si="46"/>
        <v>-406.38211382113826</v>
      </c>
      <c r="W92" s="83" t="e">
        <f t="shared" si="31"/>
        <v>#REF!</v>
      </c>
      <c r="X92" s="85" t="e">
        <f t="shared" si="43"/>
        <v>#REF!</v>
      </c>
      <c r="Z92" s="92">
        <f t="shared" si="44"/>
        <v>195063.41463414635</v>
      </c>
      <c r="AA92" s="5">
        <f t="shared" si="32"/>
        <v>0</v>
      </c>
      <c r="AB92" s="92">
        <f t="shared" si="33"/>
        <v>195063.41463414635</v>
      </c>
    </row>
    <row r="93" spans="1:28" x14ac:dyDescent="0.45">
      <c r="A93" s="4">
        <f>A92+1</f>
        <v>4</v>
      </c>
      <c r="B93" s="5">
        <f>B92+12</f>
        <v>48</v>
      </c>
      <c r="C93" s="92">
        <f>D$27-(D$27+D$28)*B93/60</f>
        <v>52760.975609756075</v>
      </c>
      <c r="D93" s="101">
        <f>D92</f>
        <v>0.1</v>
      </c>
      <c r="E93" s="104">
        <f t="shared" si="47"/>
        <v>58623.306233062307</v>
      </c>
      <c r="F93" s="11"/>
      <c r="G93" s="11"/>
      <c r="H93" s="11"/>
      <c r="I93" s="14">
        <f t="shared" si="35"/>
        <v>15</v>
      </c>
      <c r="J93" s="63" t="e">
        <f t="shared" si="36"/>
        <v>#REF!</v>
      </c>
      <c r="K93" s="63" t="e">
        <f t="shared" si="29"/>
        <v>#REF!</v>
      </c>
      <c r="L93" s="63" t="e">
        <f t="shared" si="37"/>
        <v>#REF!</v>
      </c>
      <c r="M93" s="65" t="e">
        <f t="shared" si="27"/>
        <v>#REF!</v>
      </c>
      <c r="O93" s="14">
        <f t="shared" si="38"/>
        <v>15</v>
      </c>
      <c r="P93" s="54">
        <f t="shared" si="39"/>
        <v>7697.75</v>
      </c>
      <c r="Q93" s="63">
        <f t="shared" si="40"/>
        <v>11965.596486768711</v>
      </c>
      <c r="R93" s="63" t="e">
        <f t="shared" si="45"/>
        <v>#REF!</v>
      </c>
      <c r="S93" s="63" t="e">
        <f t="shared" si="41"/>
        <v>#REF!</v>
      </c>
      <c r="T93" s="63"/>
      <c r="U93" s="63">
        <f t="shared" si="42"/>
        <v>-598.27982433843556</v>
      </c>
      <c r="V93" s="77">
        <f t="shared" si="46"/>
        <v>-397.66260162601628</v>
      </c>
      <c r="W93" s="83" t="e">
        <f t="shared" si="31"/>
        <v>#REF!</v>
      </c>
      <c r="X93" s="85" t="e">
        <f t="shared" si="43"/>
        <v>#REF!</v>
      </c>
      <c r="Z93" s="92">
        <f t="shared" si="44"/>
        <v>190878.04878048779</v>
      </c>
      <c r="AA93" s="5">
        <f t="shared" si="32"/>
        <v>0</v>
      </c>
      <c r="AB93" s="92">
        <f t="shared" si="33"/>
        <v>190878.04878048779</v>
      </c>
    </row>
    <row r="94" spans="1:28" x14ac:dyDescent="0.45">
      <c r="A94" s="4">
        <f>A93+1</f>
        <v>5</v>
      </c>
      <c r="B94" s="5">
        <f>B93+12</f>
        <v>60</v>
      </c>
      <c r="C94" s="92">
        <f>D$27-(D$27+D$28)*B94/60</f>
        <v>2536.5853658536507</v>
      </c>
      <c r="D94" s="101">
        <f>D93</f>
        <v>0.1</v>
      </c>
      <c r="E94" s="104">
        <f t="shared" si="47"/>
        <v>2818.4281842818341</v>
      </c>
      <c r="F94" s="11"/>
      <c r="G94" s="11"/>
      <c r="H94" s="11"/>
      <c r="I94" s="14">
        <f t="shared" si="35"/>
        <v>16</v>
      </c>
      <c r="J94" s="63" t="e">
        <f t="shared" si="36"/>
        <v>#REF!</v>
      </c>
      <c r="K94" s="63" t="e">
        <f t="shared" si="29"/>
        <v>#REF!</v>
      </c>
      <c r="L94" s="63" t="e">
        <f t="shared" si="37"/>
        <v>#REF!</v>
      </c>
      <c r="M94" s="65" t="e">
        <f t="shared" si="27"/>
        <v>#REF!</v>
      </c>
      <c r="O94" s="14">
        <f t="shared" si="38"/>
        <v>16</v>
      </c>
      <c r="P94" s="54">
        <f t="shared" si="39"/>
        <v>8217.875</v>
      </c>
      <c r="Q94" s="63">
        <f t="shared" si="40"/>
        <v>11965.596486768711</v>
      </c>
      <c r="R94" s="63" t="e">
        <f t="shared" si="45"/>
        <v>#REF!</v>
      </c>
      <c r="S94" s="63" t="e">
        <f t="shared" si="41"/>
        <v>#REF!</v>
      </c>
      <c r="T94" s="63"/>
      <c r="U94" s="63">
        <f t="shared" si="42"/>
        <v>-598.27982433843556</v>
      </c>
      <c r="V94" s="77">
        <f t="shared" si="46"/>
        <v>-388.9430894308943</v>
      </c>
      <c r="W94" s="83" t="e">
        <f t="shared" si="31"/>
        <v>#REF!</v>
      </c>
      <c r="X94" s="85" t="e">
        <f t="shared" si="43"/>
        <v>#REF!</v>
      </c>
      <c r="Z94" s="92">
        <f t="shared" si="44"/>
        <v>186692.68292682926</v>
      </c>
      <c r="AA94" s="5">
        <f t="shared" si="32"/>
        <v>0</v>
      </c>
      <c r="AB94" s="92">
        <f t="shared" si="33"/>
        <v>186692.68292682926</v>
      </c>
    </row>
    <row r="95" spans="1:28" ht="14.65" thickBot="1" x14ac:dyDescent="0.5">
      <c r="A95" s="6">
        <f>A94+1</f>
        <v>6</v>
      </c>
      <c r="B95" s="7">
        <f>B94+12</f>
        <v>72</v>
      </c>
      <c r="C95" s="93">
        <v>1</v>
      </c>
      <c r="D95" s="102">
        <f>D94</f>
        <v>0.1</v>
      </c>
      <c r="E95" s="105">
        <f t="shared" si="47"/>
        <v>1.1111111111111112</v>
      </c>
      <c r="H95" s="11"/>
      <c r="I95" s="14">
        <f t="shared" si="35"/>
        <v>17</v>
      </c>
      <c r="J95" s="63" t="e">
        <f t="shared" si="36"/>
        <v>#REF!</v>
      </c>
      <c r="K95" s="63" t="e">
        <f t="shared" si="29"/>
        <v>#REF!</v>
      </c>
      <c r="L95" s="63" t="e">
        <f t="shared" si="37"/>
        <v>#REF!</v>
      </c>
      <c r="M95" s="65" t="e">
        <f t="shared" si="27"/>
        <v>#REF!</v>
      </c>
      <c r="O95" s="14">
        <f t="shared" si="38"/>
        <v>17</v>
      </c>
      <c r="P95" s="54">
        <f t="shared" si="39"/>
        <v>8738</v>
      </c>
      <c r="Q95" s="63">
        <f t="shared" si="40"/>
        <v>11965.596486768711</v>
      </c>
      <c r="R95" s="63" t="e">
        <f t="shared" si="45"/>
        <v>#REF!</v>
      </c>
      <c r="S95" s="63" t="e">
        <f t="shared" si="41"/>
        <v>#REF!</v>
      </c>
      <c r="T95" s="63"/>
      <c r="U95" s="63">
        <f t="shared" si="42"/>
        <v>-598.27982433843556</v>
      </c>
      <c r="V95" s="77">
        <f t="shared" si="46"/>
        <v>-380.22357723577238</v>
      </c>
      <c r="W95" s="83" t="e">
        <f t="shared" si="31"/>
        <v>#REF!</v>
      </c>
      <c r="X95" s="85" t="e">
        <f t="shared" si="43"/>
        <v>#REF!</v>
      </c>
      <c r="Z95" s="92">
        <f t="shared" si="44"/>
        <v>182507.31707317074</v>
      </c>
      <c r="AA95" s="5">
        <f t="shared" si="32"/>
        <v>0</v>
      </c>
      <c r="AB95" s="92">
        <f t="shared" si="33"/>
        <v>182507.31707317074</v>
      </c>
    </row>
    <row r="96" spans="1:28" ht="14.65" thickBot="1" x14ac:dyDescent="0.5">
      <c r="H96" s="11"/>
      <c r="I96" s="14">
        <f>I95+1</f>
        <v>18</v>
      </c>
      <c r="J96" s="63" t="e">
        <f>M95</f>
        <v>#REF!</v>
      </c>
      <c r="K96" s="63" t="e">
        <f t="shared" si="29"/>
        <v>#REF!</v>
      </c>
      <c r="L96" s="63" t="e">
        <f>L95</f>
        <v>#REF!</v>
      </c>
      <c r="M96" s="65" t="e">
        <f t="shared" si="27"/>
        <v>#REF!</v>
      </c>
      <c r="O96" s="14">
        <f>O95+1</f>
        <v>18</v>
      </c>
      <c r="P96" s="54">
        <f t="shared" si="39"/>
        <v>9258.125</v>
      </c>
      <c r="Q96" s="63">
        <f t="shared" si="40"/>
        <v>11965.596486768711</v>
      </c>
      <c r="R96" s="63" t="e">
        <f t="shared" si="45"/>
        <v>#REF!</v>
      </c>
      <c r="S96" s="63" t="e">
        <f t="shared" si="41"/>
        <v>#REF!</v>
      </c>
      <c r="T96" s="63"/>
      <c r="U96" s="63">
        <f t="shared" si="42"/>
        <v>-598.27982433843556</v>
      </c>
      <c r="V96" s="77">
        <f t="shared" si="46"/>
        <v>-371.50406504065046</v>
      </c>
      <c r="W96" s="83" t="e">
        <f t="shared" si="31"/>
        <v>#REF!</v>
      </c>
      <c r="X96" s="85" t="e">
        <f t="shared" si="43"/>
        <v>#REF!</v>
      </c>
      <c r="Z96" s="92">
        <f t="shared" si="44"/>
        <v>178321.95121951221</v>
      </c>
      <c r="AA96" s="5">
        <f t="shared" si="32"/>
        <v>0</v>
      </c>
      <c r="AB96" s="92">
        <f t="shared" si="33"/>
        <v>178321.95121951221</v>
      </c>
    </row>
    <row r="97" spans="1:28" ht="31.15" thickBot="1" x14ac:dyDescent="0.5">
      <c r="A97" s="664" t="s">
        <v>21</v>
      </c>
      <c r="B97" s="665"/>
      <c r="C97" s="665"/>
      <c r="D97" s="665"/>
      <c r="E97" s="665"/>
      <c r="F97" s="665"/>
      <c r="G97" s="666"/>
      <c r="H97" s="11"/>
      <c r="I97" s="14">
        <f t="shared" si="35"/>
        <v>19</v>
      </c>
      <c r="J97" s="63" t="e">
        <f t="shared" ref="J97:J126" si="48">M96</f>
        <v>#REF!</v>
      </c>
      <c r="K97" s="63" t="e">
        <f t="shared" si="29"/>
        <v>#REF!</v>
      </c>
      <c r="L97" s="63" t="e">
        <f t="shared" si="37"/>
        <v>#REF!</v>
      </c>
      <c r="M97" s="65" t="e">
        <f t="shared" si="27"/>
        <v>#REF!</v>
      </c>
      <c r="O97" s="14">
        <f t="shared" si="38"/>
        <v>19</v>
      </c>
      <c r="P97" s="54">
        <f t="shared" si="39"/>
        <v>9778.25</v>
      </c>
      <c r="Q97" s="63">
        <f t="shared" si="40"/>
        <v>11965.596486768711</v>
      </c>
      <c r="R97" s="63" t="e">
        <f t="shared" si="45"/>
        <v>#REF!</v>
      </c>
      <c r="S97" s="63" t="e">
        <f t="shared" si="41"/>
        <v>#REF!</v>
      </c>
      <c r="T97" s="63"/>
      <c r="U97" s="63">
        <f t="shared" si="42"/>
        <v>-598.27982433843556</v>
      </c>
      <c r="V97" s="77">
        <f t="shared" si="46"/>
        <v>-362.78455284552848</v>
      </c>
      <c r="W97" s="83" t="e">
        <f t="shared" si="31"/>
        <v>#REF!</v>
      </c>
      <c r="X97" s="85" t="e">
        <f t="shared" si="43"/>
        <v>#REF!</v>
      </c>
      <c r="Z97" s="92">
        <f t="shared" si="44"/>
        <v>174136.58536585368</v>
      </c>
      <c r="AA97" s="5">
        <f t="shared" si="32"/>
        <v>0</v>
      </c>
      <c r="AB97" s="92">
        <f t="shared" si="33"/>
        <v>174136.58536585368</v>
      </c>
    </row>
    <row r="98" spans="1:28" ht="28.9" thickBot="1" x14ac:dyDescent="0.5">
      <c r="A98" s="26" t="s">
        <v>0</v>
      </c>
      <c r="B98" s="27" t="s">
        <v>1</v>
      </c>
      <c r="C98" s="43" t="s">
        <v>22</v>
      </c>
      <c r="D98" s="43" t="s">
        <v>10</v>
      </c>
      <c r="E98" s="43" t="s">
        <v>23</v>
      </c>
      <c r="F98" s="43" t="s">
        <v>24</v>
      </c>
      <c r="G98" s="44" t="s">
        <v>25</v>
      </c>
      <c r="H98" s="11"/>
      <c r="I98" s="14">
        <f t="shared" si="35"/>
        <v>20</v>
      </c>
      <c r="J98" s="63" t="e">
        <f t="shared" si="48"/>
        <v>#REF!</v>
      </c>
      <c r="K98" s="63" t="e">
        <f t="shared" si="29"/>
        <v>#REF!</v>
      </c>
      <c r="L98" s="63" t="e">
        <f t="shared" si="37"/>
        <v>#REF!</v>
      </c>
      <c r="M98" s="65" t="e">
        <f t="shared" si="27"/>
        <v>#REF!</v>
      </c>
      <c r="O98" s="14">
        <f t="shared" si="38"/>
        <v>20</v>
      </c>
      <c r="P98" s="54">
        <f t="shared" si="39"/>
        <v>10298.375</v>
      </c>
      <c r="Q98" s="63">
        <f t="shared" si="40"/>
        <v>11965.596486768711</v>
      </c>
      <c r="R98" s="63" t="e">
        <f t="shared" si="45"/>
        <v>#REF!</v>
      </c>
      <c r="S98" s="63" t="e">
        <f t="shared" si="41"/>
        <v>#REF!</v>
      </c>
      <c r="T98" s="63"/>
      <c r="U98" s="63">
        <f t="shared" si="42"/>
        <v>-598.27982433843556</v>
      </c>
      <c r="V98" s="77">
        <f t="shared" si="46"/>
        <v>-354.0650406504065</v>
      </c>
      <c r="W98" s="83" t="e">
        <f t="shared" si="31"/>
        <v>#REF!</v>
      </c>
      <c r="X98" s="85" t="e">
        <f t="shared" si="43"/>
        <v>#REF!</v>
      </c>
      <c r="Z98" s="92">
        <f t="shared" si="44"/>
        <v>169951.21951219512</v>
      </c>
      <c r="AA98" s="5">
        <f t="shared" si="32"/>
        <v>0</v>
      </c>
      <c r="AB98" s="92">
        <f t="shared" si="33"/>
        <v>169951.21951219512</v>
      </c>
    </row>
    <row r="99" spans="1:28" x14ac:dyDescent="0.45">
      <c r="A99" s="8">
        <v>1</v>
      </c>
      <c r="B99" s="9" t="s">
        <v>16</v>
      </c>
      <c r="C99" s="48">
        <v>1</v>
      </c>
      <c r="D99" s="153" t="e">
        <f>+C79*C99</f>
        <v>#REF!</v>
      </c>
      <c r="E99" s="49">
        <v>0.5</v>
      </c>
      <c r="F99" s="62" t="e">
        <f>E99*D99</f>
        <v>#REF!</v>
      </c>
      <c r="G99" s="60" t="e">
        <f>D99-F99</f>
        <v>#REF!</v>
      </c>
      <c r="H99" s="11"/>
      <c r="I99" s="14">
        <f t="shared" si="35"/>
        <v>21</v>
      </c>
      <c r="J99" s="63" t="e">
        <f t="shared" si="48"/>
        <v>#REF!</v>
      </c>
      <c r="K99" s="63" t="e">
        <f t="shared" si="29"/>
        <v>#REF!</v>
      </c>
      <c r="L99" s="63" t="e">
        <f t="shared" si="37"/>
        <v>#REF!</v>
      </c>
      <c r="M99" s="65" t="e">
        <f t="shared" si="27"/>
        <v>#REF!</v>
      </c>
      <c r="O99" s="14">
        <f t="shared" si="38"/>
        <v>21</v>
      </c>
      <c r="P99" s="54">
        <f t="shared" si="39"/>
        <v>10818.5</v>
      </c>
      <c r="Q99" s="63">
        <f t="shared" si="40"/>
        <v>11965.596486768711</v>
      </c>
      <c r="R99" s="63" t="e">
        <f t="shared" si="45"/>
        <v>#REF!</v>
      </c>
      <c r="S99" s="63" t="e">
        <f t="shared" si="41"/>
        <v>#REF!</v>
      </c>
      <c r="T99" s="63"/>
      <c r="U99" s="63">
        <f t="shared" si="42"/>
        <v>-598.27982433843556</v>
      </c>
      <c r="V99" s="77">
        <f t="shared" si="46"/>
        <v>-345.34552845528464</v>
      </c>
      <c r="W99" s="83" t="e">
        <f t="shared" si="31"/>
        <v>#REF!</v>
      </c>
      <c r="X99" s="85" t="e">
        <f t="shared" si="43"/>
        <v>#REF!</v>
      </c>
      <c r="Z99" s="92">
        <f t="shared" si="44"/>
        <v>165765.85365853659</v>
      </c>
      <c r="AA99" s="5">
        <f t="shared" si="32"/>
        <v>0</v>
      </c>
      <c r="AB99" s="92">
        <f t="shared" si="33"/>
        <v>165765.85365853659</v>
      </c>
    </row>
    <row r="100" spans="1:28" x14ac:dyDescent="0.45">
      <c r="A100" s="4">
        <f>A99+1</f>
        <v>2</v>
      </c>
      <c r="B100" s="5" t="s">
        <v>12</v>
      </c>
      <c r="C100" s="19">
        <f>C83</f>
        <v>0.01</v>
      </c>
      <c r="D100" s="154" t="e">
        <f>-C100*C79</f>
        <v>#REF!</v>
      </c>
      <c r="E100" s="23">
        <f>E99</f>
        <v>0.5</v>
      </c>
      <c r="F100" s="63" t="e">
        <f t="shared" ref="F100:F105" si="49">E100*D100</f>
        <v>#REF!</v>
      </c>
      <c r="G100" s="65" t="e">
        <f>D100-F100</f>
        <v>#REF!</v>
      </c>
      <c r="H100" s="11"/>
      <c r="I100" s="14">
        <f t="shared" si="35"/>
        <v>22</v>
      </c>
      <c r="J100" s="63" t="e">
        <f t="shared" si="48"/>
        <v>#REF!</v>
      </c>
      <c r="K100" s="63" t="e">
        <f t="shared" si="29"/>
        <v>#REF!</v>
      </c>
      <c r="L100" s="63" t="e">
        <f t="shared" si="37"/>
        <v>#REF!</v>
      </c>
      <c r="M100" s="65" t="e">
        <f t="shared" si="27"/>
        <v>#REF!</v>
      </c>
      <c r="O100" s="14">
        <f t="shared" si="38"/>
        <v>22</v>
      </c>
      <c r="P100" s="54">
        <f t="shared" si="39"/>
        <v>11338.625</v>
      </c>
      <c r="Q100" s="63">
        <f t="shared" si="40"/>
        <v>11965.596486768711</v>
      </c>
      <c r="R100" s="63" t="e">
        <f t="shared" si="45"/>
        <v>#REF!</v>
      </c>
      <c r="S100" s="63" t="e">
        <f t="shared" si="41"/>
        <v>#REF!</v>
      </c>
      <c r="T100" s="63"/>
      <c r="U100" s="63">
        <f t="shared" si="42"/>
        <v>-598.27982433843556</v>
      </c>
      <c r="V100" s="77">
        <f t="shared" si="46"/>
        <v>-336.6260162601626</v>
      </c>
      <c r="W100" s="83" t="e">
        <f t="shared" si="31"/>
        <v>#REF!</v>
      </c>
      <c r="X100" s="85" t="e">
        <f t="shared" si="43"/>
        <v>#REF!</v>
      </c>
      <c r="Z100" s="92">
        <f t="shared" si="44"/>
        <v>161580.48780487804</v>
      </c>
      <c r="AA100" s="5">
        <f t="shared" si="32"/>
        <v>0</v>
      </c>
      <c r="AB100" s="92">
        <f t="shared" si="33"/>
        <v>161580.48780487804</v>
      </c>
    </row>
    <row r="101" spans="1:28" x14ac:dyDescent="0.45">
      <c r="A101" s="4">
        <f t="shared" ref="A101:A106" si="50">A100+1</f>
        <v>3</v>
      </c>
      <c r="B101" s="5" t="s">
        <v>17</v>
      </c>
      <c r="C101" s="24">
        <f>C80</f>
        <v>5.2999999999999999E-2</v>
      </c>
      <c r="D101" s="63" t="e">
        <f>K127</f>
        <v>#REF!</v>
      </c>
      <c r="E101" s="23">
        <v>1</v>
      </c>
      <c r="F101" s="63" t="e">
        <f t="shared" si="49"/>
        <v>#REF!</v>
      </c>
      <c r="G101" s="65" t="e">
        <f>D101-F101</f>
        <v>#REF!</v>
      </c>
      <c r="H101" s="11"/>
      <c r="I101" s="14">
        <f t="shared" si="35"/>
        <v>23</v>
      </c>
      <c r="J101" s="63" t="e">
        <f t="shared" si="48"/>
        <v>#REF!</v>
      </c>
      <c r="K101" s="63" t="e">
        <f t="shared" si="29"/>
        <v>#REF!</v>
      </c>
      <c r="L101" s="63" t="e">
        <f t="shared" si="37"/>
        <v>#REF!</v>
      </c>
      <c r="M101" s="65" t="e">
        <f t="shared" si="27"/>
        <v>#REF!</v>
      </c>
      <c r="O101" s="14">
        <f t="shared" si="38"/>
        <v>23</v>
      </c>
      <c r="P101" s="54">
        <f t="shared" si="39"/>
        <v>11858.75</v>
      </c>
      <c r="Q101" s="63">
        <f t="shared" si="40"/>
        <v>11965.596486768711</v>
      </c>
      <c r="R101" s="63" t="e">
        <f t="shared" si="45"/>
        <v>#REF!</v>
      </c>
      <c r="S101" s="63" t="e">
        <f t="shared" si="41"/>
        <v>#REF!</v>
      </c>
      <c r="T101" s="63"/>
      <c r="U101" s="63">
        <f t="shared" si="42"/>
        <v>-598.27982433843556</v>
      </c>
      <c r="V101" s="77">
        <f t="shared" si="46"/>
        <v>-327.90650406504068</v>
      </c>
      <c r="W101" s="83" t="e">
        <f t="shared" si="31"/>
        <v>#REF!</v>
      </c>
      <c r="X101" s="85" t="e">
        <f t="shared" si="43"/>
        <v>#REF!</v>
      </c>
      <c r="Z101" s="92">
        <f t="shared" si="44"/>
        <v>157395.12195121951</v>
      </c>
      <c r="AA101" s="5">
        <f t="shared" si="32"/>
        <v>0</v>
      </c>
      <c r="AB101" s="92">
        <f t="shared" si="33"/>
        <v>157395.12195121951</v>
      </c>
    </row>
    <row r="102" spans="1:28" x14ac:dyDescent="0.45">
      <c r="A102" s="4">
        <f t="shared" si="50"/>
        <v>4</v>
      </c>
      <c r="B102" s="5" t="s">
        <v>6</v>
      </c>
      <c r="C102" s="23">
        <f>C81</f>
        <v>2.5000000000000001E-2</v>
      </c>
      <c r="D102" s="63">
        <f>-V127</f>
        <v>15111.707317073171</v>
      </c>
      <c r="E102" s="23">
        <v>1</v>
      </c>
      <c r="F102" s="63">
        <f t="shared" si="49"/>
        <v>15111.707317073171</v>
      </c>
      <c r="G102" s="65">
        <f>D102-F102</f>
        <v>0</v>
      </c>
      <c r="H102" s="11"/>
      <c r="I102" s="14">
        <f t="shared" si="35"/>
        <v>24</v>
      </c>
      <c r="J102" s="63" t="e">
        <f t="shared" si="48"/>
        <v>#REF!</v>
      </c>
      <c r="K102" s="63" t="e">
        <f t="shared" si="29"/>
        <v>#REF!</v>
      </c>
      <c r="L102" s="63" t="e">
        <f t="shared" si="37"/>
        <v>#REF!</v>
      </c>
      <c r="M102" s="65" t="e">
        <f t="shared" si="27"/>
        <v>#REF!</v>
      </c>
      <c r="O102" s="14">
        <f t="shared" si="38"/>
        <v>24</v>
      </c>
      <c r="P102" s="54">
        <f t="shared" si="39"/>
        <v>12378.875</v>
      </c>
      <c r="Q102" s="63">
        <f t="shared" si="40"/>
        <v>11965.596486768711</v>
      </c>
      <c r="R102" s="63" t="e">
        <f t="shared" si="45"/>
        <v>#REF!</v>
      </c>
      <c r="S102" s="63" t="e">
        <f t="shared" si="41"/>
        <v>#REF!</v>
      </c>
      <c r="T102" s="63"/>
      <c r="U102" s="63">
        <f t="shared" si="42"/>
        <v>-598.27982433843556</v>
      </c>
      <c r="V102" s="77">
        <f t="shared" si="46"/>
        <v>-319.1869918699187</v>
      </c>
      <c r="W102" s="83" t="e">
        <f t="shared" si="31"/>
        <v>#REF!</v>
      </c>
      <c r="X102" s="85" t="e">
        <f t="shared" si="43"/>
        <v>#REF!</v>
      </c>
      <c r="Z102" s="92">
        <f t="shared" si="44"/>
        <v>153209.75609756098</v>
      </c>
      <c r="AA102" s="5">
        <f t="shared" si="32"/>
        <v>0</v>
      </c>
      <c r="AB102" s="92">
        <f t="shared" si="33"/>
        <v>153209.75609756098</v>
      </c>
    </row>
    <row r="103" spans="1:28" x14ac:dyDescent="0.45">
      <c r="A103" s="4">
        <f t="shared" si="50"/>
        <v>5</v>
      </c>
      <c r="B103" s="5" t="s">
        <v>27</v>
      </c>
      <c r="C103" s="19">
        <f>+C31</f>
        <v>0.5</v>
      </c>
      <c r="D103" s="174" t="e">
        <v>#REF!</v>
      </c>
      <c r="E103" s="23">
        <v>0</v>
      </c>
      <c r="F103" s="63" t="e">
        <f t="shared" si="49"/>
        <v>#REF!</v>
      </c>
      <c r="G103" s="65" t="e">
        <f>D103</f>
        <v>#REF!</v>
      </c>
      <c r="H103" s="11"/>
      <c r="I103" s="14">
        <f t="shared" si="35"/>
        <v>25</v>
      </c>
      <c r="J103" s="63" t="e">
        <f t="shared" si="48"/>
        <v>#REF!</v>
      </c>
      <c r="K103" s="63" t="e">
        <f t="shared" si="29"/>
        <v>#REF!</v>
      </c>
      <c r="L103" s="63" t="e">
        <f t="shared" si="37"/>
        <v>#REF!</v>
      </c>
      <c r="M103" s="65" t="e">
        <f t="shared" si="27"/>
        <v>#REF!</v>
      </c>
      <c r="O103" s="14">
        <f t="shared" si="38"/>
        <v>25</v>
      </c>
      <c r="P103" s="54">
        <f t="shared" si="39"/>
        <v>12899</v>
      </c>
      <c r="Q103" s="63">
        <f t="shared" si="40"/>
        <v>11965.596486768711</v>
      </c>
      <c r="R103" s="63" t="e">
        <f t="shared" si="45"/>
        <v>#REF!</v>
      </c>
      <c r="S103" s="63" t="e">
        <f t="shared" si="41"/>
        <v>#REF!</v>
      </c>
      <c r="T103" s="63"/>
      <c r="U103" s="63">
        <f t="shared" si="42"/>
        <v>-598.27982433843556</v>
      </c>
      <c r="V103" s="77">
        <f t="shared" si="46"/>
        <v>-310.46747967479678</v>
      </c>
      <c r="W103" s="83" t="e">
        <f t="shared" si="31"/>
        <v>#REF!</v>
      </c>
      <c r="X103" s="85" t="e">
        <f t="shared" si="43"/>
        <v>#REF!</v>
      </c>
      <c r="Z103" s="92">
        <f t="shared" si="44"/>
        <v>149024.39024390245</v>
      </c>
      <c r="AA103" s="5">
        <f t="shared" si="32"/>
        <v>0</v>
      </c>
      <c r="AB103" s="92">
        <f t="shared" si="33"/>
        <v>149024.39024390245</v>
      </c>
    </row>
    <row r="104" spans="1:28" x14ac:dyDescent="0.45">
      <c r="A104" s="4">
        <f t="shared" si="50"/>
        <v>6</v>
      </c>
      <c r="B104" s="5" t="s">
        <v>26</v>
      </c>
      <c r="C104" s="19">
        <f>+C32</f>
        <v>0.15</v>
      </c>
      <c r="D104" s="174" t="e">
        <v>#REF!</v>
      </c>
      <c r="E104" s="23">
        <v>0</v>
      </c>
      <c r="F104" s="63" t="e">
        <f t="shared" si="49"/>
        <v>#REF!</v>
      </c>
      <c r="G104" s="65" t="e">
        <f>D104</f>
        <v>#REF!</v>
      </c>
      <c r="H104" s="11"/>
      <c r="I104" s="14">
        <f t="shared" si="35"/>
        <v>26</v>
      </c>
      <c r="J104" s="63" t="e">
        <f t="shared" si="48"/>
        <v>#REF!</v>
      </c>
      <c r="K104" s="63" t="e">
        <f t="shared" si="29"/>
        <v>#REF!</v>
      </c>
      <c r="L104" s="63" t="e">
        <f t="shared" si="37"/>
        <v>#REF!</v>
      </c>
      <c r="M104" s="65" t="e">
        <f t="shared" si="27"/>
        <v>#REF!</v>
      </c>
      <c r="O104" s="14">
        <f t="shared" si="38"/>
        <v>26</v>
      </c>
      <c r="P104" s="54">
        <f t="shared" si="39"/>
        <v>13419.125</v>
      </c>
      <c r="Q104" s="63">
        <f t="shared" si="40"/>
        <v>11965.596486768711</v>
      </c>
      <c r="R104" s="63" t="e">
        <f t="shared" si="45"/>
        <v>#REF!</v>
      </c>
      <c r="S104" s="63" t="e">
        <f t="shared" si="41"/>
        <v>#REF!</v>
      </c>
      <c r="T104" s="63"/>
      <c r="U104" s="63">
        <f t="shared" si="42"/>
        <v>-598.27982433843556</v>
      </c>
      <c r="V104" s="77">
        <f t="shared" si="46"/>
        <v>-301.7479674796748</v>
      </c>
      <c r="W104" s="83" t="e">
        <f t="shared" si="31"/>
        <v>#REF!</v>
      </c>
      <c r="X104" s="85" t="e">
        <f t="shared" si="43"/>
        <v>#REF!</v>
      </c>
      <c r="Z104" s="92">
        <f t="shared" si="44"/>
        <v>144839.0243902439</v>
      </c>
      <c r="AA104" s="5">
        <f t="shared" si="32"/>
        <v>0</v>
      </c>
      <c r="AB104" s="92">
        <f t="shared" si="33"/>
        <v>144839.0243902439</v>
      </c>
    </row>
    <row r="105" spans="1:28" ht="14.65" thickBot="1" x14ac:dyDescent="0.5">
      <c r="A105" s="6">
        <f t="shared" si="50"/>
        <v>7</v>
      </c>
      <c r="B105" s="7" t="s">
        <v>32</v>
      </c>
      <c r="C105" s="19">
        <f>+C33</f>
        <v>0.03</v>
      </c>
      <c r="D105" s="174" t="e">
        <v>#REF!</v>
      </c>
      <c r="E105" s="25">
        <v>0</v>
      </c>
      <c r="F105" s="64" t="e">
        <f t="shared" si="49"/>
        <v>#REF!</v>
      </c>
      <c r="G105" s="66" t="e">
        <f>D105</f>
        <v>#REF!</v>
      </c>
      <c r="H105" s="11"/>
      <c r="I105" s="14">
        <f t="shared" si="35"/>
        <v>27</v>
      </c>
      <c r="J105" s="63" t="e">
        <f t="shared" si="48"/>
        <v>#REF!</v>
      </c>
      <c r="K105" s="63" t="e">
        <f t="shared" si="29"/>
        <v>#REF!</v>
      </c>
      <c r="L105" s="63" t="e">
        <f t="shared" si="37"/>
        <v>#REF!</v>
      </c>
      <c r="M105" s="65" t="e">
        <f t="shared" si="27"/>
        <v>#REF!</v>
      </c>
      <c r="O105" s="14">
        <f t="shared" si="38"/>
        <v>27</v>
      </c>
      <c r="P105" s="54">
        <f t="shared" si="39"/>
        <v>13939.25</v>
      </c>
      <c r="Q105" s="63">
        <f t="shared" si="40"/>
        <v>11965.596486768711</v>
      </c>
      <c r="R105" s="63" t="e">
        <f t="shared" si="45"/>
        <v>#REF!</v>
      </c>
      <c r="S105" s="63" t="e">
        <f t="shared" si="41"/>
        <v>#REF!</v>
      </c>
      <c r="T105" s="63"/>
      <c r="U105" s="63">
        <f t="shared" si="42"/>
        <v>-598.27982433843556</v>
      </c>
      <c r="V105" s="77">
        <f t="shared" si="46"/>
        <v>-293.02845528455282</v>
      </c>
      <c r="W105" s="83" t="e">
        <f t="shared" si="31"/>
        <v>#REF!</v>
      </c>
      <c r="X105" s="85" t="e">
        <f t="shared" si="43"/>
        <v>#REF!</v>
      </c>
      <c r="Z105" s="92">
        <f t="shared" si="44"/>
        <v>140653.65853658534</v>
      </c>
      <c r="AA105" s="5">
        <f t="shared" si="32"/>
        <v>0</v>
      </c>
      <c r="AB105" s="92">
        <f t="shared" si="33"/>
        <v>140653.65853658534</v>
      </c>
    </row>
    <row r="106" spans="1:28" ht="14.65" thickBot="1" x14ac:dyDescent="0.5">
      <c r="A106" s="33">
        <f t="shared" si="50"/>
        <v>8</v>
      </c>
      <c r="B106" s="30" t="s">
        <v>8</v>
      </c>
      <c r="C106" s="45"/>
      <c r="D106" s="46"/>
      <c r="E106" s="47"/>
      <c r="F106" s="67" t="e">
        <f>SUM(F99:F105)</f>
        <v>#REF!</v>
      </c>
      <c r="G106" s="68" t="e">
        <f>SUM(G99:G105)</f>
        <v>#REF!</v>
      </c>
      <c r="H106" s="11"/>
      <c r="I106" s="14">
        <f t="shared" si="35"/>
        <v>28</v>
      </c>
      <c r="J106" s="63" t="e">
        <f t="shared" si="48"/>
        <v>#REF!</v>
      </c>
      <c r="K106" s="63" t="e">
        <f t="shared" si="29"/>
        <v>#REF!</v>
      </c>
      <c r="L106" s="63" t="e">
        <f t="shared" si="37"/>
        <v>#REF!</v>
      </c>
      <c r="M106" s="65" t="e">
        <f t="shared" si="27"/>
        <v>#REF!</v>
      </c>
      <c r="O106" s="14">
        <f t="shared" si="38"/>
        <v>28</v>
      </c>
      <c r="P106" s="54">
        <f t="shared" si="39"/>
        <v>14459.375</v>
      </c>
      <c r="Q106" s="63">
        <f t="shared" si="40"/>
        <v>11965.596486768711</v>
      </c>
      <c r="R106" s="63" t="e">
        <f t="shared" si="45"/>
        <v>#REF!</v>
      </c>
      <c r="S106" s="63" t="e">
        <f t="shared" si="41"/>
        <v>#REF!</v>
      </c>
      <c r="T106" s="63"/>
      <c r="U106" s="63">
        <f t="shared" si="42"/>
        <v>-598.27982433843556</v>
      </c>
      <c r="V106" s="77">
        <f t="shared" si="46"/>
        <v>-284.3089430894309</v>
      </c>
      <c r="W106" s="83" t="e">
        <f t="shared" si="31"/>
        <v>#REF!</v>
      </c>
      <c r="X106" s="85" t="e">
        <f t="shared" si="43"/>
        <v>#REF!</v>
      </c>
      <c r="Z106" s="92">
        <f t="shared" si="44"/>
        <v>136468.29268292681</v>
      </c>
      <c r="AA106" s="5">
        <f t="shared" si="32"/>
        <v>0</v>
      </c>
      <c r="AB106" s="92">
        <f t="shared" si="33"/>
        <v>136468.29268292681</v>
      </c>
    </row>
    <row r="107" spans="1:28" ht="14.65" thickBot="1" x14ac:dyDescent="0.5">
      <c r="A107" s="31">
        <f>A106+1</f>
        <v>9</v>
      </c>
      <c r="B107" s="32" t="s">
        <v>7</v>
      </c>
      <c r="C107" s="42">
        <f>+C35</f>
        <v>0.05</v>
      </c>
      <c r="D107" s="22"/>
      <c r="E107" s="34"/>
      <c r="F107" s="69" t="e">
        <f>F108-F106</f>
        <v>#REF!</v>
      </c>
      <c r="G107" s="70" t="e">
        <f>G108-G106</f>
        <v>#REF!</v>
      </c>
      <c r="H107" s="11"/>
      <c r="I107" s="14">
        <f t="shared" si="35"/>
        <v>29</v>
      </c>
      <c r="J107" s="63" t="e">
        <f t="shared" si="48"/>
        <v>#REF!</v>
      </c>
      <c r="K107" s="63" t="e">
        <f t="shared" si="29"/>
        <v>#REF!</v>
      </c>
      <c r="L107" s="63" t="e">
        <f t="shared" si="37"/>
        <v>#REF!</v>
      </c>
      <c r="M107" s="65" t="e">
        <f t="shared" si="27"/>
        <v>#REF!</v>
      </c>
      <c r="O107" s="14">
        <f t="shared" si="38"/>
        <v>29</v>
      </c>
      <c r="P107" s="54">
        <f t="shared" si="39"/>
        <v>14979.5</v>
      </c>
      <c r="Q107" s="63">
        <f t="shared" si="40"/>
        <v>11965.596486768711</v>
      </c>
      <c r="R107" s="63" t="e">
        <f t="shared" si="45"/>
        <v>#REF!</v>
      </c>
      <c r="S107" s="63" t="e">
        <f t="shared" si="41"/>
        <v>#REF!</v>
      </c>
      <c r="T107" s="63"/>
      <c r="U107" s="63">
        <f t="shared" si="42"/>
        <v>-598.27982433843556</v>
      </c>
      <c r="V107" s="77">
        <f t="shared" si="46"/>
        <v>-275.58943089430892</v>
      </c>
      <c r="W107" s="83" t="e">
        <f t="shared" si="31"/>
        <v>#REF!</v>
      </c>
      <c r="X107" s="85" t="e">
        <f t="shared" si="43"/>
        <v>#REF!</v>
      </c>
      <c r="Z107" s="92">
        <f t="shared" si="44"/>
        <v>132282.92682926828</v>
      </c>
      <c r="AA107" s="5">
        <f t="shared" si="32"/>
        <v>0</v>
      </c>
      <c r="AB107" s="92">
        <f t="shared" si="33"/>
        <v>132282.92682926828</v>
      </c>
    </row>
    <row r="108" spans="1:28" ht="14.65" thickBot="1" x14ac:dyDescent="0.5">
      <c r="A108" s="37">
        <f>A107+1</f>
        <v>10</v>
      </c>
      <c r="B108" s="38" t="s">
        <v>28</v>
      </c>
      <c r="C108" s="39"/>
      <c r="D108" s="40"/>
      <c r="E108" s="41"/>
      <c r="F108" s="71" t="e">
        <f>F106/(100%-C107)</f>
        <v>#REF!</v>
      </c>
      <c r="G108" s="72" t="e">
        <f>G106/(100%-C107)</f>
        <v>#REF!</v>
      </c>
      <c r="H108" s="11"/>
      <c r="I108" s="14">
        <f t="shared" si="35"/>
        <v>30</v>
      </c>
      <c r="J108" s="63" t="e">
        <f t="shared" si="48"/>
        <v>#REF!</v>
      </c>
      <c r="K108" s="63" t="e">
        <f t="shared" si="29"/>
        <v>#REF!</v>
      </c>
      <c r="L108" s="63" t="e">
        <f t="shared" si="37"/>
        <v>#REF!</v>
      </c>
      <c r="M108" s="65" t="e">
        <f t="shared" si="27"/>
        <v>#REF!</v>
      </c>
      <c r="O108" s="14">
        <f t="shared" si="38"/>
        <v>30</v>
      </c>
      <c r="P108" s="54">
        <f t="shared" si="39"/>
        <v>15499.625</v>
      </c>
      <c r="Q108" s="63">
        <f t="shared" si="40"/>
        <v>11965.596486768711</v>
      </c>
      <c r="R108" s="63" t="e">
        <f t="shared" si="45"/>
        <v>#REF!</v>
      </c>
      <c r="S108" s="63" t="e">
        <f t="shared" si="41"/>
        <v>#REF!</v>
      </c>
      <c r="T108" s="63" t="e">
        <f>-T128*0.5</f>
        <v>#REF!</v>
      </c>
      <c r="U108" s="63">
        <f t="shared" si="42"/>
        <v>-598.27982433843556</v>
      </c>
      <c r="V108" s="77">
        <f t="shared" si="46"/>
        <v>-266.869918699187</v>
      </c>
      <c r="W108" s="83" t="e">
        <f t="shared" si="31"/>
        <v>#REF!</v>
      </c>
      <c r="X108" s="85" t="e">
        <f t="shared" si="43"/>
        <v>#REF!</v>
      </c>
      <c r="Z108" s="92">
        <f t="shared" si="44"/>
        <v>128097.56097560975</v>
      </c>
      <c r="AA108" s="5">
        <f t="shared" si="32"/>
        <v>0</v>
      </c>
      <c r="AB108" s="92">
        <f t="shared" si="33"/>
        <v>128097.56097560975</v>
      </c>
    </row>
    <row r="109" spans="1:28" x14ac:dyDescent="0.45">
      <c r="C109" s="11"/>
      <c r="D109" s="11"/>
      <c r="E109" s="11"/>
      <c r="F109" s="11"/>
      <c r="G109" s="11"/>
      <c r="H109" s="11"/>
      <c r="I109" s="14">
        <f t="shared" si="35"/>
        <v>31</v>
      </c>
      <c r="J109" s="63" t="e">
        <f t="shared" si="48"/>
        <v>#REF!</v>
      </c>
      <c r="K109" s="63" t="e">
        <f t="shared" si="29"/>
        <v>#REF!</v>
      </c>
      <c r="L109" s="63" t="e">
        <f t="shared" si="37"/>
        <v>#REF!</v>
      </c>
      <c r="M109" s="65" t="e">
        <f t="shared" si="27"/>
        <v>#REF!</v>
      </c>
      <c r="O109" s="14">
        <f t="shared" si="38"/>
        <v>31</v>
      </c>
      <c r="P109" s="54">
        <f t="shared" si="39"/>
        <v>16019.75</v>
      </c>
      <c r="Q109" s="63">
        <f t="shared" si="40"/>
        <v>11965.596486768711</v>
      </c>
      <c r="R109" s="63" t="e">
        <f t="shared" si="45"/>
        <v>#REF!</v>
      </c>
      <c r="S109" s="63" t="e">
        <f t="shared" si="41"/>
        <v>#REF!</v>
      </c>
      <c r="T109" s="63"/>
      <c r="U109" s="63">
        <f t="shared" si="42"/>
        <v>-598.27982433843556</v>
      </c>
      <c r="V109" s="77">
        <f t="shared" si="46"/>
        <v>-258.15040650406507</v>
      </c>
      <c r="W109" s="83" t="e">
        <f t="shared" si="31"/>
        <v>#REF!</v>
      </c>
      <c r="X109" s="85" t="e">
        <f t="shared" si="43"/>
        <v>#REF!</v>
      </c>
      <c r="Z109" s="92">
        <f t="shared" si="44"/>
        <v>123912.19512195121</v>
      </c>
      <c r="AA109" s="5">
        <f t="shared" si="32"/>
        <v>0</v>
      </c>
      <c r="AB109" s="92">
        <f t="shared" si="33"/>
        <v>123912.19512195121</v>
      </c>
    </row>
    <row r="110" spans="1:28" x14ac:dyDescent="0.45">
      <c r="C110" s="11"/>
      <c r="D110" s="11"/>
      <c r="E110" s="11"/>
      <c r="F110" s="11"/>
      <c r="G110" s="11"/>
      <c r="H110" s="11"/>
      <c r="I110" s="14">
        <f t="shared" si="35"/>
        <v>32</v>
      </c>
      <c r="J110" s="63" t="e">
        <f t="shared" si="48"/>
        <v>#REF!</v>
      </c>
      <c r="K110" s="63" t="e">
        <f t="shared" si="29"/>
        <v>#REF!</v>
      </c>
      <c r="L110" s="63" t="e">
        <f t="shared" si="37"/>
        <v>#REF!</v>
      </c>
      <c r="M110" s="65" t="e">
        <f t="shared" si="27"/>
        <v>#REF!</v>
      </c>
      <c r="O110" s="14">
        <f t="shared" si="38"/>
        <v>32</v>
      </c>
      <c r="P110" s="54">
        <f t="shared" si="39"/>
        <v>16539.875</v>
      </c>
      <c r="Q110" s="63">
        <f t="shared" si="40"/>
        <v>11965.596486768711</v>
      </c>
      <c r="R110" s="63" t="e">
        <f t="shared" si="45"/>
        <v>#REF!</v>
      </c>
      <c r="S110" s="63" t="e">
        <f t="shared" si="41"/>
        <v>#REF!</v>
      </c>
      <c r="T110" s="63"/>
      <c r="U110" s="63">
        <f t="shared" si="42"/>
        <v>-598.27982433843556</v>
      </c>
      <c r="V110" s="77">
        <f t="shared" si="46"/>
        <v>-249.43089430894307</v>
      </c>
      <c r="W110" s="83" t="e">
        <f t="shared" si="31"/>
        <v>#REF!</v>
      </c>
      <c r="X110" s="85" t="e">
        <f t="shared" si="43"/>
        <v>#REF!</v>
      </c>
      <c r="Z110" s="92">
        <f t="shared" si="44"/>
        <v>119726.82926829267</v>
      </c>
      <c r="AA110" s="5">
        <f t="shared" si="32"/>
        <v>0</v>
      </c>
      <c r="AB110" s="92">
        <f t="shared" si="33"/>
        <v>119726.82926829267</v>
      </c>
    </row>
    <row r="111" spans="1:28" x14ac:dyDescent="0.45">
      <c r="C111" s="11"/>
      <c r="D111" s="11"/>
      <c r="E111" s="11"/>
      <c r="F111" s="11"/>
      <c r="G111" s="11"/>
      <c r="H111" s="11"/>
      <c r="I111" s="14">
        <f t="shared" si="35"/>
        <v>33</v>
      </c>
      <c r="J111" s="63" t="e">
        <f t="shared" si="48"/>
        <v>#REF!</v>
      </c>
      <c r="K111" s="63" t="e">
        <f t="shared" si="29"/>
        <v>#REF!</v>
      </c>
      <c r="L111" s="63" t="e">
        <f t="shared" si="37"/>
        <v>#REF!</v>
      </c>
      <c r="M111" s="65" t="e">
        <f t="shared" si="27"/>
        <v>#REF!</v>
      </c>
      <c r="O111" s="14">
        <f t="shared" si="38"/>
        <v>33</v>
      </c>
      <c r="P111" s="54">
        <f t="shared" si="39"/>
        <v>17060</v>
      </c>
      <c r="Q111" s="63">
        <f t="shared" si="40"/>
        <v>11965.596486768711</v>
      </c>
      <c r="R111" s="63" t="e">
        <f t="shared" si="45"/>
        <v>#REF!</v>
      </c>
      <c r="S111" s="63" t="e">
        <f t="shared" si="41"/>
        <v>#REF!</v>
      </c>
      <c r="T111" s="63"/>
      <c r="U111" s="63">
        <f t="shared" si="42"/>
        <v>-598.27982433843556</v>
      </c>
      <c r="V111" s="77">
        <f t="shared" si="46"/>
        <v>-240.71138211382114</v>
      </c>
      <c r="W111" s="83" t="e">
        <f t="shared" si="31"/>
        <v>#REF!</v>
      </c>
      <c r="X111" s="85" t="e">
        <f t="shared" si="43"/>
        <v>#REF!</v>
      </c>
      <c r="Z111" s="92">
        <f t="shared" si="44"/>
        <v>115541.46341463414</v>
      </c>
      <c r="AA111" s="5">
        <f t="shared" si="32"/>
        <v>0</v>
      </c>
      <c r="AB111" s="92">
        <f t="shared" si="33"/>
        <v>115541.46341463414</v>
      </c>
    </row>
    <row r="112" spans="1:28" ht="14.65" thickBot="1" x14ac:dyDescent="0.5">
      <c r="C112" s="11"/>
      <c r="D112" s="11"/>
      <c r="E112" s="11"/>
      <c r="F112" s="11"/>
      <c r="G112" s="11"/>
      <c r="H112" s="11"/>
      <c r="I112" s="14">
        <f t="shared" si="35"/>
        <v>34</v>
      </c>
      <c r="J112" s="63" t="e">
        <f t="shared" si="48"/>
        <v>#REF!</v>
      </c>
      <c r="K112" s="63" t="e">
        <f t="shared" si="29"/>
        <v>#REF!</v>
      </c>
      <c r="L112" s="63" t="e">
        <f t="shared" si="37"/>
        <v>#REF!</v>
      </c>
      <c r="M112" s="65" t="e">
        <f t="shared" si="27"/>
        <v>#REF!</v>
      </c>
      <c r="O112" s="14">
        <f t="shared" si="38"/>
        <v>34</v>
      </c>
      <c r="P112" s="54">
        <f t="shared" si="39"/>
        <v>17580.125</v>
      </c>
      <c r="Q112" s="63">
        <f t="shared" si="40"/>
        <v>11965.596486768711</v>
      </c>
      <c r="R112" s="63" t="e">
        <f t="shared" si="45"/>
        <v>#REF!</v>
      </c>
      <c r="S112" s="63" t="e">
        <f t="shared" si="41"/>
        <v>#REF!</v>
      </c>
      <c r="T112" s="63"/>
      <c r="U112" s="63">
        <f t="shared" si="42"/>
        <v>-598.27982433843556</v>
      </c>
      <c r="V112" s="77">
        <f t="shared" si="46"/>
        <v>-231.99186991869919</v>
      </c>
      <c r="W112" s="83" t="e">
        <f t="shared" si="31"/>
        <v>#REF!</v>
      </c>
      <c r="X112" s="85" t="e">
        <f t="shared" si="43"/>
        <v>#REF!</v>
      </c>
      <c r="Z112" s="92">
        <f t="shared" si="44"/>
        <v>111356.09756097561</v>
      </c>
      <c r="AA112" s="5">
        <f t="shared" si="32"/>
        <v>0</v>
      </c>
      <c r="AB112" s="92">
        <f t="shared" si="33"/>
        <v>111356.09756097561</v>
      </c>
    </row>
    <row r="113" spans="1:28" ht="31.15" thickBot="1" x14ac:dyDescent="0.5">
      <c r="A113" s="667" t="s">
        <v>29</v>
      </c>
      <c r="B113" s="668"/>
      <c r="C113" s="668"/>
      <c r="D113" s="668"/>
      <c r="E113" s="668"/>
      <c r="F113" s="668"/>
      <c r="G113" s="669"/>
      <c r="H113" s="11"/>
      <c r="I113" s="14">
        <f t="shared" si="35"/>
        <v>35</v>
      </c>
      <c r="J113" s="63" t="e">
        <f t="shared" si="48"/>
        <v>#REF!</v>
      </c>
      <c r="K113" s="63" t="e">
        <f t="shared" si="29"/>
        <v>#REF!</v>
      </c>
      <c r="L113" s="63" t="e">
        <f t="shared" si="37"/>
        <v>#REF!</v>
      </c>
      <c r="M113" s="65" t="e">
        <f t="shared" si="27"/>
        <v>#REF!</v>
      </c>
      <c r="O113" s="14">
        <f t="shared" si="38"/>
        <v>35</v>
      </c>
      <c r="P113" s="54">
        <f t="shared" si="39"/>
        <v>18100.25</v>
      </c>
      <c r="Q113" s="63">
        <f t="shared" si="40"/>
        <v>11965.596486768711</v>
      </c>
      <c r="R113" s="63" t="e">
        <f t="shared" si="45"/>
        <v>#REF!</v>
      </c>
      <c r="S113" s="63" t="e">
        <f t="shared" si="41"/>
        <v>#REF!</v>
      </c>
      <c r="T113" s="63"/>
      <c r="U113" s="63">
        <f t="shared" si="42"/>
        <v>-598.27982433843556</v>
      </c>
      <c r="V113" s="77">
        <f t="shared" si="46"/>
        <v>-223.2723577235773</v>
      </c>
      <c r="W113" s="83" t="e">
        <f t="shared" si="31"/>
        <v>#REF!</v>
      </c>
      <c r="X113" s="85" t="e">
        <f t="shared" si="43"/>
        <v>#REF!</v>
      </c>
      <c r="Z113" s="92">
        <f t="shared" si="44"/>
        <v>107170.73170731709</v>
      </c>
      <c r="AA113" s="5">
        <f t="shared" si="32"/>
        <v>0</v>
      </c>
      <c r="AB113" s="92">
        <f t="shared" si="33"/>
        <v>107170.73170731709</v>
      </c>
    </row>
    <row r="114" spans="1:28" ht="18" x14ac:dyDescent="0.45">
      <c r="A114" s="35">
        <v>1</v>
      </c>
      <c r="B114" s="670" t="s">
        <v>30</v>
      </c>
      <c r="C114" s="671"/>
      <c r="D114" s="671"/>
      <c r="E114" s="672"/>
      <c r="F114" s="73" t="e">
        <f>F108/C84/C86</f>
        <v>#REF!</v>
      </c>
      <c r="G114" s="74" t="e">
        <f>G108/C85/C86</f>
        <v>#REF!</v>
      </c>
      <c r="H114" s="11"/>
      <c r="I114" s="20">
        <f t="shared" si="35"/>
        <v>36</v>
      </c>
      <c r="J114" s="79" t="e">
        <f t="shared" si="48"/>
        <v>#REF!</v>
      </c>
      <c r="K114" s="79" t="e">
        <f t="shared" si="29"/>
        <v>#REF!</v>
      </c>
      <c r="L114" s="79" t="e">
        <f>L113</f>
        <v>#REF!</v>
      </c>
      <c r="M114" s="80" t="e">
        <f t="shared" si="27"/>
        <v>#REF!</v>
      </c>
      <c r="O114" s="20">
        <f t="shared" si="38"/>
        <v>36</v>
      </c>
      <c r="P114" s="54">
        <f t="shared" si="39"/>
        <v>18620.375</v>
      </c>
      <c r="Q114" s="63">
        <f t="shared" si="40"/>
        <v>11965.596486768711</v>
      </c>
      <c r="R114" s="63" t="e">
        <f t="shared" si="45"/>
        <v>#REF!</v>
      </c>
      <c r="S114" s="63" t="e">
        <f t="shared" si="41"/>
        <v>#REF!</v>
      </c>
      <c r="T114" s="63"/>
      <c r="U114" s="63">
        <f t="shared" si="42"/>
        <v>-598.27982433843556</v>
      </c>
      <c r="V114" s="77">
        <f t="shared" si="46"/>
        <v>-214.55284552845526</v>
      </c>
      <c r="W114" s="83" t="e">
        <f t="shared" si="31"/>
        <v>#REF!</v>
      </c>
      <c r="X114" s="85" t="e">
        <f t="shared" si="43"/>
        <v>#REF!</v>
      </c>
      <c r="Z114" s="92">
        <f t="shared" si="44"/>
        <v>102985.36585365853</v>
      </c>
      <c r="AA114" s="5">
        <f t="shared" si="32"/>
        <v>0</v>
      </c>
      <c r="AB114" s="92">
        <f t="shared" si="33"/>
        <v>102985.36585365853</v>
      </c>
    </row>
    <row r="115" spans="1:28" ht="18.399999999999999" thickBot="1" x14ac:dyDescent="0.5">
      <c r="A115" s="36">
        <f>A114+1</f>
        <v>2</v>
      </c>
      <c r="B115" s="673" t="s">
        <v>31</v>
      </c>
      <c r="C115" s="674"/>
      <c r="D115" s="674"/>
      <c r="E115" s="675"/>
      <c r="F115" s="75"/>
      <c r="G115" s="76" t="e">
        <f>(G108+F108)/C85/C86</f>
        <v>#REF!</v>
      </c>
      <c r="H115" s="11"/>
      <c r="I115" s="20">
        <f t="shared" si="35"/>
        <v>37</v>
      </c>
      <c r="J115" s="79" t="e">
        <f t="shared" si="48"/>
        <v>#REF!</v>
      </c>
      <c r="K115" s="79" t="e">
        <f t="shared" si="29"/>
        <v>#REF!</v>
      </c>
      <c r="L115" s="79" t="e">
        <f t="shared" ref="L115:L125" si="51">L114</f>
        <v>#REF!</v>
      </c>
      <c r="M115" s="80" t="e">
        <f t="shared" si="27"/>
        <v>#REF!</v>
      </c>
      <c r="O115" s="20">
        <f t="shared" si="38"/>
        <v>37</v>
      </c>
      <c r="P115" s="54">
        <f t="shared" si="39"/>
        <v>19140.5</v>
      </c>
      <c r="Q115" s="63">
        <f t="shared" si="40"/>
        <v>11965.596486768711</v>
      </c>
      <c r="R115" s="63" t="e">
        <f t="shared" si="45"/>
        <v>#REF!</v>
      </c>
      <c r="S115" s="63" t="e">
        <f t="shared" si="41"/>
        <v>#REF!</v>
      </c>
      <c r="T115" s="63"/>
      <c r="U115" s="63">
        <f t="shared" si="42"/>
        <v>-598.27982433843556</v>
      </c>
      <c r="V115" s="77">
        <f t="shared" si="46"/>
        <v>-205.83333333333334</v>
      </c>
      <c r="W115" s="83" t="e">
        <f t="shared" si="31"/>
        <v>#REF!</v>
      </c>
      <c r="X115" s="85" t="e">
        <f t="shared" si="43"/>
        <v>#REF!</v>
      </c>
      <c r="Z115" s="92">
        <f t="shared" si="44"/>
        <v>98800</v>
      </c>
      <c r="AA115" s="5">
        <f t="shared" si="32"/>
        <v>0</v>
      </c>
      <c r="AB115" s="92">
        <f t="shared" si="33"/>
        <v>98800</v>
      </c>
    </row>
    <row r="116" spans="1:28" x14ac:dyDescent="0.45">
      <c r="I116" s="20">
        <f t="shared" si="35"/>
        <v>38</v>
      </c>
      <c r="J116" s="79" t="e">
        <f t="shared" si="48"/>
        <v>#REF!</v>
      </c>
      <c r="K116" s="79" t="e">
        <f t="shared" si="29"/>
        <v>#REF!</v>
      </c>
      <c r="L116" s="79" t="e">
        <f t="shared" si="51"/>
        <v>#REF!</v>
      </c>
      <c r="M116" s="80" t="e">
        <f t="shared" si="27"/>
        <v>#REF!</v>
      </c>
      <c r="O116" s="20">
        <f t="shared" si="38"/>
        <v>38</v>
      </c>
      <c r="P116" s="54">
        <f t="shared" si="39"/>
        <v>19660.625</v>
      </c>
      <c r="Q116" s="63">
        <f t="shared" si="40"/>
        <v>11965.596486768711</v>
      </c>
      <c r="R116" s="63" t="e">
        <f t="shared" si="45"/>
        <v>#REF!</v>
      </c>
      <c r="S116" s="63" t="e">
        <f t="shared" si="41"/>
        <v>#REF!</v>
      </c>
      <c r="T116" s="63"/>
      <c r="U116" s="63">
        <f t="shared" si="42"/>
        <v>-598.27982433843556</v>
      </c>
      <c r="V116" s="77">
        <f t="shared" si="46"/>
        <v>-197.11382113821139</v>
      </c>
      <c r="W116" s="83" t="e">
        <f t="shared" si="31"/>
        <v>#REF!</v>
      </c>
      <c r="X116" s="85" t="e">
        <f t="shared" si="43"/>
        <v>#REF!</v>
      </c>
      <c r="Z116" s="92">
        <f t="shared" si="44"/>
        <v>94614.634146341472</v>
      </c>
      <c r="AA116" s="5">
        <f t="shared" si="32"/>
        <v>0</v>
      </c>
      <c r="AB116" s="92">
        <f t="shared" si="33"/>
        <v>94614.634146341472</v>
      </c>
    </row>
    <row r="117" spans="1:28" x14ac:dyDescent="0.45">
      <c r="I117" s="20">
        <f t="shared" si="35"/>
        <v>39</v>
      </c>
      <c r="J117" s="79" t="e">
        <f t="shared" si="48"/>
        <v>#REF!</v>
      </c>
      <c r="K117" s="79" t="e">
        <f t="shared" si="29"/>
        <v>#REF!</v>
      </c>
      <c r="L117" s="79" t="e">
        <f t="shared" si="51"/>
        <v>#REF!</v>
      </c>
      <c r="M117" s="80" t="e">
        <f t="shared" si="27"/>
        <v>#REF!</v>
      </c>
      <c r="O117" s="20">
        <f t="shared" si="38"/>
        <v>39</v>
      </c>
      <c r="P117" s="54">
        <f t="shared" si="39"/>
        <v>20180.75</v>
      </c>
      <c r="Q117" s="63">
        <f t="shared" si="40"/>
        <v>11965.596486768711</v>
      </c>
      <c r="R117" s="63" t="e">
        <f t="shared" si="45"/>
        <v>#REF!</v>
      </c>
      <c r="S117" s="63" t="e">
        <f t="shared" si="41"/>
        <v>#REF!</v>
      </c>
      <c r="T117" s="63"/>
      <c r="U117" s="63">
        <f t="shared" si="42"/>
        <v>-598.27982433843556</v>
      </c>
      <c r="V117" s="77">
        <f t="shared" si="46"/>
        <v>-188.3943089430895</v>
      </c>
      <c r="W117" s="83" t="e">
        <f t="shared" si="31"/>
        <v>#REF!</v>
      </c>
      <c r="X117" s="85" t="e">
        <f t="shared" si="43"/>
        <v>#REF!</v>
      </c>
      <c r="Z117" s="92">
        <f t="shared" si="44"/>
        <v>90429.268292682944</v>
      </c>
      <c r="AA117" s="5">
        <f t="shared" si="32"/>
        <v>0</v>
      </c>
      <c r="AB117" s="92">
        <f t="shared" si="33"/>
        <v>90429.268292682944</v>
      </c>
    </row>
    <row r="118" spans="1:28" x14ac:dyDescent="0.45">
      <c r="I118" s="20">
        <f t="shared" si="35"/>
        <v>40</v>
      </c>
      <c r="J118" s="79" t="e">
        <f t="shared" si="48"/>
        <v>#REF!</v>
      </c>
      <c r="K118" s="79" t="e">
        <f t="shared" si="29"/>
        <v>#REF!</v>
      </c>
      <c r="L118" s="79" t="e">
        <f t="shared" si="51"/>
        <v>#REF!</v>
      </c>
      <c r="M118" s="80" t="e">
        <f t="shared" si="27"/>
        <v>#REF!</v>
      </c>
      <c r="O118" s="20">
        <f t="shared" si="38"/>
        <v>40</v>
      </c>
      <c r="P118" s="54">
        <f t="shared" si="39"/>
        <v>20700.875</v>
      </c>
      <c r="Q118" s="63">
        <f t="shared" si="40"/>
        <v>11965.596486768711</v>
      </c>
      <c r="R118" s="63" t="e">
        <f t="shared" si="45"/>
        <v>#REF!</v>
      </c>
      <c r="S118" s="63" t="e">
        <f t="shared" si="41"/>
        <v>#REF!</v>
      </c>
      <c r="T118" s="63"/>
      <c r="U118" s="63">
        <f t="shared" si="42"/>
        <v>-598.27982433843556</v>
      </c>
      <c r="V118" s="77">
        <f t="shared" si="46"/>
        <v>-179.67479674796746</v>
      </c>
      <c r="W118" s="83" t="e">
        <f t="shared" si="31"/>
        <v>#REF!</v>
      </c>
      <c r="X118" s="85" t="e">
        <f t="shared" si="43"/>
        <v>#REF!</v>
      </c>
      <c r="Z118" s="92">
        <f t="shared" si="44"/>
        <v>86243.902439024387</v>
      </c>
      <c r="AA118" s="5">
        <f t="shared" si="32"/>
        <v>0</v>
      </c>
      <c r="AB118" s="92">
        <f t="shared" si="33"/>
        <v>86243.902439024387</v>
      </c>
    </row>
    <row r="119" spans="1:28" x14ac:dyDescent="0.45">
      <c r="I119" s="20">
        <f t="shared" si="35"/>
        <v>41</v>
      </c>
      <c r="J119" s="79" t="e">
        <f t="shared" si="48"/>
        <v>#REF!</v>
      </c>
      <c r="K119" s="79" t="e">
        <f t="shared" si="29"/>
        <v>#REF!</v>
      </c>
      <c r="L119" s="79" t="e">
        <f t="shared" si="51"/>
        <v>#REF!</v>
      </c>
      <c r="M119" s="80" t="e">
        <f t="shared" si="27"/>
        <v>#REF!</v>
      </c>
      <c r="O119" s="20">
        <f t="shared" si="38"/>
        <v>41</v>
      </c>
      <c r="P119" s="54">
        <f t="shared" si="39"/>
        <v>21221</v>
      </c>
      <c r="Q119" s="63">
        <f t="shared" si="40"/>
        <v>11965.596486768711</v>
      </c>
      <c r="R119" s="63" t="e">
        <f t="shared" si="45"/>
        <v>#REF!</v>
      </c>
      <c r="S119" s="63" t="e">
        <f t="shared" si="41"/>
        <v>#REF!</v>
      </c>
      <c r="T119" s="63"/>
      <c r="U119" s="63">
        <f t="shared" si="42"/>
        <v>-598.27982433843556</v>
      </c>
      <c r="V119" s="77">
        <f t="shared" si="46"/>
        <v>-170.95528455284554</v>
      </c>
      <c r="W119" s="83" t="e">
        <f t="shared" si="31"/>
        <v>#REF!</v>
      </c>
      <c r="X119" s="85" t="e">
        <f t="shared" si="43"/>
        <v>#REF!</v>
      </c>
      <c r="Z119" s="92">
        <f t="shared" si="44"/>
        <v>82058.536585365859</v>
      </c>
      <c r="AA119" s="5">
        <f t="shared" si="32"/>
        <v>0</v>
      </c>
      <c r="AB119" s="92">
        <f t="shared" si="33"/>
        <v>82058.536585365859</v>
      </c>
    </row>
    <row r="120" spans="1:28" x14ac:dyDescent="0.45">
      <c r="I120" s="20">
        <f t="shared" si="35"/>
        <v>42</v>
      </c>
      <c r="J120" s="79" t="e">
        <f t="shared" si="48"/>
        <v>#REF!</v>
      </c>
      <c r="K120" s="79" t="e">
        <f t="shared" si="29"/>
        <v>#REF!</v>
      </c>
      <c r="L120" s="79" t="e">
        <f t="shared" si="51"/>
        <v>#REF!</v>
      </c>
      <c r="M120" s="80" t="e">
        <f t="shared" si="27"/>
        <v>#REF!</v>
      </c>
      <c r="O120" s="20">
        <f t="shared" si="38"/>
        <v>42</v>
      </c>
      <c r="P120" s="54">
        <f t="shared" si="39"/>
        <v>21741.125</v>
      </c>
      <c r="Q120" s="63">
        <f t="shared" si="40"/>
        <v>11965.596486768711</v>
      </c>
      <c r="R120" s="63" t="e">
        <f t="shared" si="45"/>
        <v>#REF!</v>
      </c>
      <c r="S120" s="63" t="e">
        <f t="shared" si="41"/>
        <v>#REF!</v>
      </c>
      <c r="T120" s="63"/>
      <c r="U120" s="63">
        <f t="shared" si="42"/>
        <v>-598.27982433843556</v>
      </c>
      <c r="V120" s="77">
        <f t="shared" si="46"/>
        <v>-162.23577235772362</v>
      </c>
      <c r="W120" s="83" t="e">
        <f t="shared" si="31"/>
        <v>#REF!</v>
      </c>
      <c r="X120" s="85" t="e">
        <f t="shared" si="43"/>
        <v>#REF!</v>
      </c>
      <c r="Z120" s="92">
        <f t="shared" si="44"/>
        <v>77873.170731707331</v>
      </c>
      <c r="AA120" s="5">
        <f t="shared" si="32"/>
        <v>0</v>
      </c>
      <c r="AB120" s="92">
        <f t="shared" si="33"/>
        <v>77873.170731707331</v>
      </c>
    </row>
    <row r="121" spans="1:28" x14ac:dyDescent="0.45">
      <c r="I121" s="20">
        <f t="shared" si="35"/>
        <v>43</v>
      </c>
      <c r="J121" s="79" t="e">
        <f t="shared" si="48"/>
        <v>#REF!</v>
      </c>
      <c r="K121" s="79" t="e">
        <f t="shared" si="29"/>
        <v>#REF!</v>
      </c>
      <c r="L121" s="79" t="e">
        <f t="shared" si="51"/>
        <v>#REF!</v>
      </c>
      <c r="M121" s="80" t="e">
        <f t="shared" si="27"/>
        <v>#REF!</v>
      </c>
      <c r="O121" s="20">
        <f t="shared" si="38"/>
        <v>43</v>
      </c>
      <c r="P121" s="54">
        <f t="shared" si="39"/>
        <v>22261.25</v>
      </c>
      <c r="Q121" s="63">
        <f t="shared" si="40"/>
        <v>11965.596486768711</v>
      </c>
      <c r="R121" s="63" t="e">
        <f t="shared" si="45"/>
        <v>#REF!</v>
      </c>
      <c r="S121" s="63" t="e">
        <f t="shared" si="41"/>
        <v>#REF!</v>
      </c>
      <c r="T121" s="63"/>
      <c r="U121" s="63">
        <f t="shared" si="42"/>
        <v>-598.27982433843556</v>
      </c>
      <c r="V121" s="77">
        <f t="shared" si="46"/>
        <v>-153.51626016260161</v>
      </c>
      <c r="W121" s="83" t="e">
        <f t="shared" si="31"/>
        <v>#REF!</v>
      </c>
      <c r="X121" s="85" t="e">
        <f t="shared" si="43"/>
        <v>#REF!</v>
      </c>
      <c r="Z121" s="92">
        <f t="shared" si="44"/>
        <v>73687.804878048773</v>
      </c>
      <c r="AA121" s="5">
        <f t="shared" si="32"/>
        <v>0</v>
      </c>
      <c r="AB121" s="92">
        <f t="shared" si="33"/>
        <v>73687.804878048773</v>
      </c>
    </row>
    <row r="122" spans="1:28" x14ac:dyDescent="0.45">
      <c r="I122" s="20">
        <f t="shared" si="35"/>
        <v>44</v>
      </c>
      <c r="J122" s="79" t="e">
        <f t="shared" si="48"/>
        <v>#REF!</v>
      </c>
      <c r="K122" s="79" t="e">
        <f t="shared" si="29"/>
        <v>#REF!</v>
      </c>
      <c r="L122" s="79" t="e">
        <f t="shared" si="51"/>
        <v>#REF!</v>
      </c>
      <c r="M122" s="80" t="e">
        <f t="shared" si="27"/>
        <v>#REF!</v>
      </c>
      <c r="O122" s="20">
        <f t="shared" si="38"/>
        <v>44</v>
      </c>
      <c r="P122" s="54">
        <f t="shared" si="39"/>
        <v>22781.375</v>
      </c>
      <c r="Q122" s="63">
        <f t="shared" si="40"/>
        <v>11965.596486768711</v>
      </c>
      <c r="R122" s="63" t="e">
        <f t="shared" si="45"/>
        <v>#REF!</v>
      </c>
      <c r="S122" s="63" t="e">
        <f t="shared" si="41"/>
        <v>#REF!</v>
      </c>
      <c r="T122" s="63"/>
      <c r="U122" s="63">
        <f t="shared" si="42"/>
        <v>-598.27982433843556</v>
      </c>
      <c r="V122" s="77">
        <f t="shared" si="46"/>
        <v>-144.79674796747969</v>
      </c>
      <c r="W122" s="83" t="e">
        <f t="shared" si="31"/>
        <v>#REF!</v>
      </c>
      <c r="X122" s="85" t="e">
        <f t="shared" si="43"/>
        <v>#REF!</v>
      </c>
      <c r="Z122" s="92">
        <f t="shared" si="44"/>
        <v>69502.439024390245</v>
      </c>
      <c r="AA122" s="5">
        <f t="shared" si="32"/>
        <v>0</v>
      </c>
      <c r="AB122" s="92">
        <f t="shared" si="33"/>
        <v>69502.439024390245</v>
      </c>
    </row>
    <row r="123" spans="1:28" x14ac:dyDescent="0.45">
      <c r="I123" s="20">
        <f t="shared" si="35"/>
        <v>45</v>
      </c>
      <c r="J123" s="79" t="e">
        <f t="shared" si="48"/>
        <v>#REF!</v>
      </c>
      <c r="K123" s="79" t="e">
        <f t="shared" si="29"/>
        <v>#REF!</v>
      </c>
      <c r="L123" s="79" t="e">
        <f t="shared" si="51"/>
        <v>#REF!</v>
      </c>
      <c r="M123" s="80" t="e">
        <f t="shared" si="27"/>
        <v>#REF!</v>
      </c>
      <c r="O123" s="20">
        <f t="shared" si="38"/>
        <v>45</v>
      </c>
      <c r="P123" s="54">
        <f t="shared" si="39"/>
        <v>23301.5</v>
      </c>
      <c r="Q123" s="63">
        <f t="shared" si="40"/>
        <v>11965.596486768711</v>
      </c>
      <c r="R123" s="63" t="e">
        <f t="shared" si="45"/>
        <v>#REF!</v>
      </c>
      <c r="S123" s="63" t="e">
        <f t="shared" si="41"/>
        <v>#REF!</v>
      </c>
      <c r="T123" s="63"/>
      <c r="U123" s="63">
        <f t="shared" si="42"/>
        <v>-598.27982433843556</v>
      </c>
      <c r="V123" s="77">
        <f t="shared" si="46"/>
        <v>-136.07723577235774</v>
      </c>
      <c r="W123" s="83" t="e">
        <f t="shared" si="31"/>
        <v>#REF!</v>
      </c>
      <c r="X123" s="85" t="e">
        <f t="shared" si="43"/>
        <v>#REF!</v>
      </c>
      <c r="Z123" s="92">
        <f t="shared" si="44"/>
        <v>65317.073170731717</v>
      </c>
      <c r="AA123" s="5">
        <f t="shared" si="32"/>
        <v>0</v>
      </c>
      <c r="AB123" s="92">
        <f t="shared" si="33"/>
        <v>65317.073170731717</v>
      </c>
    </row>
    <row r="124" spans="1:28" x14ac:dyDescent="0.45">
      <c r="I124" s="20">
        <f t="shared" si="35"/>
        <v>46</v>
      </c>
      <c r="J124" s="79" t="e">
        <f t="shared" si="48"/>
        <v>#REF!</v>
      </c>
      <c r="K124" s="79" t="e">
        <f t="shared" si="29"/>
        <v>#REF!</v>
      </c>
      <c r="L124" s="79" t="e">
        <f t="shared" si="51"/>
        <v>#REF!</v>
      </c>
      <c r="M124" s="80" t="e">
        <f t="shared" si="27"/>
        <v>#REF!</v>
      </c>
      <c r="O124" s="20">
        <f t="shared" si="38"/>
        <v>46</v>
      </c>
      <c r="P124" s="54">
        <f t="shared" si="39"/>
        <v>23821.625</v>
      </c>
      <c r="Q124" s="63">
        <f t="shared" si="40"/>
        <v>11965.596486768711</v>
      </c>
      <c r="R124" s="63" t="e">
        <f t="shared" si="45"/>
        <v>#REF!</v>
      </c>
      <c r="S124" s="63" t="e">
        <f t="shared" si="41"/>
        <v>#REF!</v>
      </c>
      <c r="T124" s="63"/>
      <c r="U124" s="63">
        <f t="shared" si="42"/>
        <v>-598.27982433843556</v>
      </c>
      <c r="V124" s="77">
        <f t="shared" si="46"/>
        <v>-127.35772357723583</v>
      </c>
      <c r="W124" s="83" t="e">
        <f t="shared" si="31"/>
        <v>#REF!</v>
      </c>
      <c r="X124" s="85" t="e">
        <f t="shared" si="43"/>
        <v>#REF!</v>
      </c>
      <c r="Z124" s="92">
        <f t="shared" si="44"/>
        <v>61131.707317073189</v>
      </c>
      <c r="AA124" s="5">
        <f t="shared" si="32"/>
        <v>0</v>
      </c>
      <c r="AB124" s="92">
        <f t="shared" si="33"/>
        <v>61131.707317073189</v>
      </c>
    </row>
    <row r="125" spans="1:28" x14ac:dyDescent="0.45">
      <c r="I125" s="20">
        <f t="shared" si="35"/>
        <v>47</v>
      </c>
      <c r="J125" s="79" t="e">
        <f t="shared" si="48"/>
        <v>#REF!</v>
      </c>
      <c r="K125" s="79" t="e">
        <f t="shared" si="29"/>
        <v>#REF!</v>
      </c>
      <c r="L125" s="79" t="e">
        <f t="shared" si="51"/>
        <v>#REF!</v>
      </c>
      <c r="M125" s="80" t="e">
        <f t="shared" si="27"/>
        <v>#REF!</v>
      </c>
      <c r="O125" s="20">
        <f t="shared" si="38"/>
        <v>47</v>
      </c>
      <c r="P125" s="54">
        <f t="shared" si="39"/>
        <v>24341.75</v>
      </c>
      <c r="Q125" s="63">
        <f t="shared" si="40"/>
        <v>11965.596486768711</v>
      </c>
      <c r="R125" s="63" t="e">
        <f t="shared" si="45"/>
        <v>#REF!</v>
      </c>
      <c r="S125" s="63" t="e">
        <f t="shared" si="41"/>
        <v>#REF!</v>
      </c>
      <c r="T125" s="63"/>
      <c r="U125" s="63">
        <f t="shared" si="42"/>
        <v>-598.27982433843556</v>
      </c>
      <c r="V125" s="77">
        <f t="shared" si="46"/>
        <v>-118.63821138211382</v>
      </c>
      <c r="W125" s="83" t="e">
        <f t="shared" si="31"/>
        <v>#REF!</v>
      </c>
      <c r="X125" s="85" t="e">
        <f t="shared" si="43"/>
        <v>#REF!</v>
      </c>
      <c r="Z125" s="92">
        <f t="shared" si="44"/>
        <v>56946.341463414632</v>
      </c>
      <c r="AA125" s="5">
        <f t="shared" si="32"/>
        <v>0</v>
      </c>
      <c r="AB125" s="92">
        <f t="shared" si="33"/>
        <v>56946.341463414632</v>
      </c>
    </row>
    <row r="126" spans="1:28" ht="14.65" thickBot="1" x14ac:dyDescent="0.5">
      <c r="I126" s="20">
        <f t="shared" si="35"/>
        <v>48</v>
      </c>
      <c r="J126" s="79" t="e">
        <f t="shared" si="48"/>
        <v>#REF!</v>
      </c>
      <c r="K126" s="79" t="e">
        <f t="shared" si="29"/>
        <v>#REF!</v>
      </c>
      <c r="L126" s="79" t="e">
        <f>+L129</f>
        <v>#REF!</v>
      </c>
      <c r="M126" s="80" t="e">
        <f t="shared" si="27"/>
        <v>#REF!</v>
      </c>
      <c r="O126" s="20">
        <f t="shared" si="38"/>
        <v>48</v>
      </c>
      <c r="P126" s="54">
        <f t="shared" si="39"/>
        <v>24861.875</v>
      </c>
      <c r="Q126" s="63">
        <f t="shared" si="40"/>
        <v>11965.596486768711</v>
      </c>
      <c r="R126" s="63" t="e">
        <f t="shared" si="45"/>
        <v>#REF!</v>
      </c>
      <c r="S126" s="63" t="e">
        <f t="shared" si="41"/>
        <v>#REF!</v>
      </c>
      <c r="T126" s="63" t="e">
        <f>-T128*0.5</f>
        <v>#REF!</v>
      </c>
      <c r="U126" s="63">
        <f t="shared" si="42"/>
        <v>-598.27982433843556</v>
      </c>
      <c r="V126" s="77">
        <f t="shared" si="46"/>
        <v>-109.91869918699183</v>
      </c>
      <c r="W126" s="83" t="e">
        <f t="shared" si="31"/>
        <v>#REF!</v>
      </c>
      <c r="X126" s="86" t="e">
        <f t="shared" si="43"/>
        <v>#REF!</v>
      </c>
      <c r="Z126" s="92">
        <f t="shared" si="44"/>
        <v>52760.975609756075</v>
      </c>
      <c r="AA126" s="5">
        <f t="shared" si="32"/>
        <v>0</v>
      </c>
      <c r="AB126" s="92">
        <f t="shared" si="33"/>
        <v>52760.975609756075</v>
      </c>
    </row>
    <row r="127" spans="1:28" ht="14.65" thickBot="1" x14ac:dyDescent="0.5">
      <c r="I127" s="21" t="s">
        <v>20</v>
      </c>
      <c r="J127" s="69" t="e">
        <f>C79*C83</f>
        <v>#REF!</v>
      </c>
      <c r="K127" s="69" t="e">
        <f>SUM(K79:K126)</f>
        <v>#REF!</v>
      </c>
      <c r="L127" s="81"/>
      <c r="M127" s="82"/>
      <c r="O127" s="58"/>
      <c r="P127" s="59"/>
      <c r="Q127" s="81"/>
      <c r="R127" s="69" t="e">
        <f>SUM(R79:R126)</f>
        <v>#REF!</v>
      </c>
      <c r="S127" s="87" t="e">
        <f>SUM(S79:S126)</f>
        <v>#REF!</v>
      </c>
      <c r="T127" s="87" t="e">
        <f>SUM(T79:T126)</f>
        <v>#REF!</v>
      </c>
      <c r="U127" s="69">
        <f>SUM(U79:U126)</f>
        <v>-28717.431568244891</v>
      </c>
      <c r="V127" s="69">
        <f>SUM(V79:V126)</f>
        <v>-15111.707317073171</v>
      </c>
      <c r="W127" s="88"/>
      <c r="X127" s="82"/>
    </row>
    <row r="128" spans="1:28" x14ac:dyDescent="0.45">
      <c r="Q128" s="89"/>
      <c r="R128" s="89"/>
      <c r="S128" s="90" t="e">
        <f>D103</f>
        <v>#REF!</v>
      </c>
      <c r="T128" s="60" t="e">
        <f>D104</f>
        <v>#REF!</v>
      </c>
      <c r="U128" s="89"/>
      <c r="V128" s="89"/>
      <c r="W128" s="89"/>
      <c r="X128" s="89"/>
    </row>
    <row r="129" spans="12:24" ht="14.65" thickBot="1" x14ac:dyDescent="0.5">
      <c r="L129" s="129" t="e">
        <f>+PMT(C80/12,C84,(C79),,)</f>
        <v>#REF!</v>
      </c>
      <c r="Q129" s="89"/>
      <c r="R129" s="89"/>
      <c r="S129" s="91" t="e">
        <f>S127+S128</f>
        <v>#REF!</v>
      </c>
      <c r="T129" s="66" t="e">
        <f>T127+T128</f>
        <v>#REF!</v>
      </c>
      <c r="U129" s="89"/>
      <c r="V129" s="89"/>
      <c r="W129" s="89"/>
      <c r="X129" s="89"/>
    </row>
  </sheetData>
  <mergeCells count="21">
    <mergeCell ref="B114:E114"/>
    <mergeCell ref="B115:E115"/>
    <mergeCell ref="A77:C77"/>
    <mergeCell ref="I77:M77"/>
    <mergeCell ref="O77:X77"/>
    <mergeCell ref="A88:E88"/>
    <mergeCell ref="A97:G97"/>
    <mergeCell ref="A113:G113"/>
    <mergeCell ref="A75:C75"/>
    <mergeCell ref="D75:X75"/>
    <mergeCell ref="A1:X1"/>
    <mergeCell ref="A3:C3"/>
    <mergeCell ref="D3:X3"/>
    <mergeCell ref="A5:C5"/>
    <mergeCell ref="I5:M5"/>
    <mergeCell ref="O5:X5"/>
    <mergeCell ref="A16:E16"/>
    <mergeCell ref="A25:G25"/>
    <mergeCell ref="A41:G41"/>
    <mergeCell ref="B42:E42"/>
    <mergeCell ref="B43:E43"/>
  </mergeCells>
  <printOptions horizontalCentered="1"/>
  <pageMargins left="0.70866141732283505" right="0.70866141732283505" top="0.74803149606299202" bottom="0.74803149606299202" header="0.31496062992126" footer="0.31496062992126"/>
  <headerFooter>
    <oddHeader>&amp;R&amp;A</oddHeader>
    <oddFooter>&amp;L&amp;D&amp;C&amp;P&amp;R&amp;A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98CA6-55D4-0140-ACEB-D1A2450A82A8}">
  <sheetPr>
    <tabColor theme="9" tint="-0.249977111117893"/>
    <pageSetUpPr fitToPage="1"/>
  </sheetPr>
  <dimension ref="A1:AE130"/>
  <sheetViews>
    <sheetView topLeftCell="A8" zoomScale="99" workbookViewId="0">
      <selection activeCell="A2" sqref="A2"/>
    </sheetView>
  </sheetViews>
  <sheetFormatPr defaultColWidth="9.1328125" defaultRowHeight="14.25" x14ac:dyDescent="0.45"/>
  <cols>
    <col min="1" max="1" width="6.265625" style="3" customWidth="1"/>
    <col min="2" max="2" width="18.265625" style="3" bestFit="1" customWidth="1"/>
    <col min="3" max="4" width="15" style="3" bestFit="1" customWidth="1"/>
    <col min="5" max="5" width="14" style="3" bestFit="1" customWidth="1"/>
    <col min="6" max="6" width="17.3984375" style="3" bestFit="1" customWidth="1"/>
    <col min="7" max="7" width="15.1328125" style="3" bestFit="1" customWidth="1"/>
    <col min="8" max="8" width="9.1328125" style="3"/>
    <col min="9" max="9" width="7.3984375" style="3" bestFit="1" customWidth="1"/>
    <col min="10" max="10" width="15" style="3" bestFit="1" customWidth="1"/>
    <col min="11" max="12" width="14" style="3" bestFit="1" customWidth="1"/>
    <col min="13" max="13" width="15" style="3" bestFit="1" customWidth="1"/>
    <col min="14" max="16" width="9.1328125" style="3"/>
    <col min="17" max="19" width="15.86328125" style="3" bestFit="1" customWidth="1"/>
    <col min="20" max="21" width="14.73046875" style="3" customWidth="1"/>
    <col min="22" max="22" width="13.265625" style="3" bestFit="1" customWidth="1"/>
    <col min="23" max="23" width="14.86328125" style="3" bestFit="1" customWidth="1"/>
    <col min="24" max="24" width="15.1328125" style="3" bestFit="1" customWidth="1"/>
    <col min="25" max="25" width="9.1328125" style="3"/>
    <col min="26" max="26" width="22" style="3" customWidth="1"/>
    <col min="27" max="27" width="9.1328125" style="3"/>
    <col min="28" max="29" width="16.265625" style="3" customWidth="1"/>
    <col min="30" max="30" width="16.3984375" style="3" customWidth="1"/>
    <col min="31" max="16384" width="9.1328125" style="3"/>
  </cols>
  <sheetData>
    <row r="1" spans="1:31" ht="62.25" customHeight="1" thickBot="1" x14ac:dyDescent="0.5">
      <c r="A1" s="676">
        <f>+ASSUMPTIONS!B1</f>
        <v>0</v>
      </c>
      <c r="B1" s="677"/>
      <c r="C1" s="677"/>
      <c r="D1" s="677"/>
      <c r="E1" s="677"/>
      <c r="F1" s="677"/>
      <c r="G1" s="677"/>
      <c r="H1" s="677"/>
      <c r="I1" s="677"/>
      <c r="J1" s="677"/>
      <c r="K1" s="677"/>
      <c r="L1" s="677"/>
      <c r="M1" s="677"/>
      <c r="N1" s="677"/>
      <c r="O1" s="677"/>
      <c r="P1" s="677"/>
      <c r="Q1" s="677"/>
      <c r="R1" s="677"/>
      <c r="S1" s="677"/>
      <c r="T1" s="677"/>
      <c r="U1" s="677"/>
      <c r="V1" s="677"/>
      <c r="W1" s="677"/>
      <c r="X1" s="678"/>
    </row>
    <row r="2" spans="1:31" ht="16.149999999999999" thickBot="1" x14ac:dyDescent="0.5">
      <c r="A2" s="2"/>
      <c r="B2" s="2"/>
      <c r="C2" s="10"/>
      <c r="D2" s="10"/>
      <c r="E2" s="10"/>
      <c r="F2" s="10"/>
      <c r="G2" s="10"/>
      <c r="H2" s="10"/>
      <c r="I2" s="13"/>
      <c r="J2" s="10"/>
      <c r="K2" s="10"/>
      <c r="L2" s="10"/>
      <c r="M2" s="10"/>
      <c r="S2" s="145"/>
    </row>
    <row r="3" spans="1:31" ht="32.25" customHeight="1" thickBot="1" x14ac:dyDescent="0.5">
      <c r="A3" s="679" t="s">
        <v>138</v>
      </c>
      <c r="B3" s="680"/>
      <c r="C3" s="681"/>
      <c r="D3" s="682" t="s">
        <v>2</v>
      </c>
      <c r="E3" s="683"/>
      <c r="F3" s="683"/>
      <c r="G3" s="683"/>
      <c r="H3" s="683"/>
      <c r="I3" s="683"/>
      <c r="J3" s="683"/>
      <c r="K3" s="683"/>
      <c r="L3" s="683"/>
      <c r="M3" s="683"/>
      <c r="N3" s="683"/>
      <c r="O3" s="683"/>
      <c r="P3" s="683"/>
      <c r="Q3" s="683"/>
      <c r="R3" s="683"/>
      <c r="S3" s="683"/>
      <c r="T3" s="683"/>
      <c r="U3" s="683"/>
      <c r="V3" s="683"/>
      <c r="W3" s="683"/>
      <c r="X3" s="684"/>
    </row>
    <row r="4" spans="1:31" ht="14.65" thickBot="1" x14ac:dyDescent="0.5">
      <c r="C4" s="11"/>
      <c r="D4" s="11"/>
      <c r="E4" s="11"/>
      <c r="F4" s="11"/>
      <c r="G4" s="11"/>
      <c r="H4" s="11"/>
      <c r="I4" s="12"/>
      <c r="J4" s="11"/>
      <c r="K4" s="11"/>
      <c r="L4" s="11"/>
      <c r="M4" s="11"/>
      <c r="Q4" s="368">
        <f>+'Summary Equip'!AC12</f>
        <v>520.125</v>
      </c>
      <c r="U4" s="57">
        <v>0.05</v>
      </c>
    </row>
    <row r="5" spans="1:31" ht="23.25" customHeight="1" thickBot="1" x14ac:dyDescent="0.5">
      <c r="A5" s="685" t="s">
        <v>9</v>
      </c>
      <c r="B5" s="686"/>
      <c r="C5" s="687"/>
      <c r="D5" s="11"/>
      <c r="E5" s="11"/>
      <c r="F5" s="11"/>
      <c r="G5" s="11"/>
      <c r="H5" s="11"/>
      <c r="I5" s="688" t="s">
        <v>34</v>
      </c>
      <c r="J5" s="689"/>
      <c r="K5" s="689"/>
      <c r="L5" s="689"/>
      <c r="M5" s="690"/>
      <c r="O5" s="688" t="s">
        <v>35</v>
      </c>
      <c r="P5" s="691"/>
      <c r="Q5" s="689"/>
      <c r="R5" s="689"/>
      <c r="S5" s="689"/>
      <c r="T5" s="689"/>
      <c r="U5" s="689"/>
      <c r="V5" s="689"/>
      <c r="W5" s="692"/>
      <c r="X5" s="693"/>
      <c r="AA5" s="145">
        <v>0</v>
      </c>
    </row>
    <row r="6" spans="1:31" ht="28.9" thickBot="1" x14ac:dyDescent="0.5">
      <c r="A6" s="29" t="s">
        <v>0</v>
      </c>
      <c r="B6" s="28" t="s">
        <v>1</v>
      </c>
      <c r="C6" s="50" t="s">
        <v>10</v>
      </c>
      <c r="D6" s="11"/>
      <c r="E6" s="11"/>
      <c r="F6" s="11"/>
      <c r="G6" s="11"/>
      <c r="H6" s="11"/>
      <c r="I6" s="16" t="s">
        <v>15</v>
      </c>
      <c r="J6" s="17" t="s">
        <v>70</v>
      </c>
      <c r="K6" s="17" t="s">
        <v>17</v>
      </c>
      <c r="L6" s="17" t="s">
        <v>18</v>
      </c>
      <c r="M6" s="18" t="s">
        <v>19</v>
      </c>
      <c r="O6" s="16" t="s">
        <v>15</v>
      </c>
      <c r="P6" s="52" t="s">
        <v>39</v>
      </c>
      <c r="Q6" s="17" t="s">
        <v>36</v>
      </c>
      <c r="R6" s="17" t="s">
        <v>37</v>
      </c>
      <c r="S6" s="17" t="s">
        <v>27</v>
      </c>
      <c r="T6" s="17" t="s">
        <v>38</v>
      </c>
      <c r="U6" s="17" t="s">
        <v>7</v>
      </c>
      <c r="V6" s="17" t="s">
        <v>41</v>
      </c>
      <c r="W6" s="18" t="s">
        <v>40</v>
      </c>
      <c r="X6" s="55" t="s">
        <v>42</v>
      </c>
      <c r="Z6" s="5" t="s">
        <v>71</v>
      </c>
      <c r="AA6" s="5" t="s">
        <v>46</v>
      </c>
      <c r="AB6" s="5" t="s">
        <v>47</v>
      </c>
    </row>
    <row r="7" spans="1:31" x14ac:dyDescent="0.45">
      <c r="A7" s="8">
        <v>1</v>
      </c>
      <c r="B7" s="9" t="s">
        <v>11</v>
      </c>
      <c r="C7" s="152">
        <f>+F11*(1+'Summary Equip'!$N$3)</f>
        <v>163902.43902439025</v>
      </c>
      <c r="D7" s="11"/>
      <c r="E7" s="8" t="s">
        <v>61</v>
      </c>
      <c r="F7" s="150">
        <f>+'Summary Equip'!J14</f>
        <v>156097.56097560975</v>
      </c>
      <c r="G7" s="106"/>
      <c r="H7" s="383">
        <v>1</v>
      </c>
      <c r="I7" s="15">
        <v>1</v>
      </c>
      <c r="J7" s="77">
        <f>C7</f>
        <v>163902.43902439025</v>
      </c>
      <c r="K7" s="77">
        <f>J7*$C$8*30.44/365.25</f>
        <v>723.96189713026479</v>
      </c>
      <c r="L7" s="77">
        <f>+L69</f>
        <v>-3115.6190494571129</v>
      </c>
      <c r="M7" s="78">
        <f t="shared" ref="M7:M66" si="0">J7+K7+L7</f>
        <v>161510.78187206341</v>
      </c>
      <c r="O7" s="15">
        <v>1</v>
      </c>
      <c r="P7" s="53">
        <f>Q4</f>
        <v>520.125</v>
      </c>
      <c r="Q7" s="77">
        <f>$F$42+($Q$4*$G$42)</f>
        <v>8753.0158075758263</v>
      </c>
      <c r="R7" s="77">
        <f>+L7</f>
        <v>-3115.6190494571129</v>
      </c>
      <c r="S7" s="77">
        <f>+IF(R7=0,,-S68/C12)</f>
        <v>-1300.8130081300812</v>
      </c>
      <c r="T7" s="77"/>
      <c r="U7" s="77">
        <f>-Q7*U4</f>
        <v>-437.65079037879133</v>
      </c>
      <c r="V7" s="77">
        <f>-(AB7*$C$9/12)</f>
        <v>-319.83739837398377</v>
      </c>
      <c r="W7" s="83">
        <f>SUM(Q7:V7)</f>
        <v>3579.0955612358566</v>
      </c>
      <c r="X7" s="84">
        <f>W7</f>
        <v>3579.0955612358566</v>
      </c>
      <c r="Z7" s="92">
        <f>+$D$27-(($D$27+$D$28)*O7/$B$22)</f>
        <v>153521.95121951221</v>
      </c>
      <c r="AA7" s="5">
        <f>+Z7*$AA$5</f>
        <v>0</v>
      </c>
      <c r="AB7" s="92">
        <f>+Z7+AA7</f>
        <v>153521.95121951221</v>
      </c>
      <c r="AC7" s="132"/>
      <c r="AD7" s="132">
        <f>+S7</f>
        <v>-1300.8130081300812</v>
      </c>
      <c r="AE7" s="3">
        <f>+IF(AD7=0,0,1)</f>
        <v>1</v>
      </c>
    </row>
    <row r="8" spans="1:31" ht="28.5" x14ac:dyDescent="0.45">
      <c r="A8" s="4">
        <f>A7+1</f>
        <v>2</v>
      </c>
      <c r="B8" s="5" t="s">
        <v>3</v>
      </c>
      <c r="C8" s="156">
        <f>+'Summary Equip'!R14</f>
        <v>5.2999999999999999E-2</v>
      </c>
      <c r="D8" s="11"/>
      <c r="E8" s="107" t="s">
        <v>64</v>
      </c>
      <c r="F8" s="311">
        <f>+'Summary Equip'!D14</f>
        <v>0</v>
      </c>
      <c r="G8" s="108"/>
      <c r="H8" s="383">
        <f>+'Summary Equip'!C12</f>
        <v>1</v>
      </c>
      <c r="I8" s="14">
        <f>I7+1</f>
        <v>2</v>
      </c>
      <c r="J8" s="63">
        <f>+IF(M7&lt;0,,M7)</f>
        <v>161510.78187206341</v>
      </c>
      <c r="K8" s="63">
        <f t="shared" ref="K8:K54" si="1">J8*$C$8*30.44/365.25</f>
        <v>713.3978770974328</v>
      </c>
      <c r="L8" s="63">
        <f>IF(M7&lt;0,,L7)</f>
        <v>-3115.6190494571129</v>
      </c>
      <c r="M8" s="65">
        <f t="shared" si="0"/>
        <v>159108.56069970372</v>
      </c>
      <c r="O8" s="14">
        <f>O7+1</f>
        <v>2</v>
      </c>
      <c r="P8" s="54">
        <f>P7+$Q$4</f>
        <v>1040.25</v>
      </c>
      <c r="Q8" s="63">
        <f>$F$42+($Q$4*$G$42)</f>
        <v>8753.0158075758263</v>
      </c>
      <c r="R8" s="77">
        <f t="shared" ref="R8:R66" si="2">+L8</f>
        <v>-3115.6190494571129</v>
      </c>
      <c r="S8" s="63">
        <f>+IF(R8=0,,S7)</f>
        <v>-1300.8130081300812</v>
      </c>
      <c r="T8" s="63"/>
      <c r="U8" s="63">
        <f>U7</f>
        <v>-437.65079037879133</v>
      </c>
      <c r="V8" s="77">
        <f t="shared" ref="V8:V14" si="3">-(AB8*$C$9/12)</f>
        <v>-314.47154471544718</v>
      </c>
      <c r="W8" s="83">
        <f t="shared" ref="W8:W66" si="4">SUM(Q8:V8)</f>
        <v>3584.4614148943933</v>
      </c>
      <c r="X8" s="85">
        <f>X7+W8</f>
        <v>7163.5569761302504</v>
      </c>
      <c r="Z8" s="92">
        <f>+$D$27-(($D$27+$D$28)*O8/$B$22)</f>
        <v>150946.34146341463</v>
      </c>
      <c r="AA8" s="5">
        <f t="shared" ref="AA8:AA66" si="5">+Z8*$AA$5</f>
        <v>0</v>
      </c>
      <c r="AB8" s="92">
        <f t="shared" ref="AB8:AB66" si="6">+Z8+AA8</f>
        <v>150946.34146341463</v>
      </c>
      <c r="AD8" s="133">
        <f t="shared" ref="AD8:AD62" si="7">IF(AD7=0,0,IF(+S8+AD7&lt;-$S$68,0,+S8+AD7))</f>
        <v>-2601.6260162601625</v>
      </c>
      <c r="AE8" s="3">
        <f t="shared" ref="AE8:AE66" si="8">+IF(AD8=0,0,1)</f>
        <v>1</v>
      </c>
    </row>
    <row r="9" spans="1:31" x14ac:dyDescent="0.45">
      <c r="A9" s="4">
        <f t="shared" ref="A9:A14" si="9">A8+1</f>
        <v>3</v>
      </c>
      <c r="B9" s="5" t="s">
        <v>4</v>
      </c>
      <c r="C9" s="157">
        <f>+'Summary Equip'!S14</f>
        <v>2.5000000000000001E-2</v>
      </c>
      <c r="D9" s="11"/>
      <c r="E9" s="338" t="s">
        <v>69</v>
      </c>
      <c r="F9" s="339">
        <f>+'Summary Equip'!F14</f>
        <v>7804.8780487804879</v>
      </c>
      <c r="G9" s="110"/>
      <c r="H9" s="383">
        <f>+'Summary Equip'!E12</f>
        <v>1</v>
      </c>
      <c r="I9" s="14">
        <f t="shared" ref="I9:I66" si="10">I8+1</f>
        <v>3</v>
      </c>
      <c r="J9" s="63">
        <f t="shared" ref="J9:J66" si="11">+IF(M8&lt;0,,M8)</f>
        <v>159108.56069970372</v>
      </c>
      <c r="K9" s="63">
        <f t="shared" si="1"/>
        <v>702.78719547719652</v>
      </c>
      <c r="L9" s="63">
        <f t="shared" ref="L9:L66" si="12">IF(M8&lt;0,,L8)</f>
        <v>-3115.6190494571129</v>
      </c>
      <c r="M9" s="65">
        <f t="shared" si="0"/>
        <v>156695.72884572382</v>
      </c>
      <c r="O9" s="14">
        <f t="shared" ref="O9:O66" si="13">O8+1</f>
        <v>3</v>
      </c>
      <c r="P9" s="54">
        <f t="shared" ref="P9:P66" si="14">P8+$Q$4</f>
        <v>1560.375</v>
      </c>
      <c r="Q9" s="63">
        <f t="shared" ref="Q9:Q66" si="15">$F$42+($Q$4*$G$42)</f>
        <v>8753.0158075758263</v>
      </c>
      <c r="R9" s="77">
        <f t="shared" si="2"/>
        <v>-3115.6190494571129</v>
      </c>
      <c r="S9" s="63">
        <f t="shared" ref="S9:S62" si="16">+S8</f>
        <v>-1300.8130081300812</v>
      </c>
      <c r="T9" s="63"/>
      <c r="U9" s="63">
        <f t="shared" ref="U9:U62" si="17">U8</f>
        <v>-437.65079037879133</v>
      </c>
      <c r="V9" s="77">
        <f t="shared" si="3"/>
        <v>-309.10569105691064</v>
      </c>
      <c r="W9" s="83">
        <f t="shared" si="4"/>
        <v>3589.82726855293</v>
      </c>
      <c r="X9" s="85">
        <f t="shared" ref="X9:X62" si="18">X8+W9</f>
        <v>10753.38424468318</v>
      </c>
      <c r="Z9" s="92">
        <f t="shared" ref="Z9:Z66" si="19">+$D$27-(($D$27+$D$28)*O9/$B$22)</f>
        <v>148370.73170731709</v>
      </c>
      <c r="AA9" s="5">
        <f t="shared" si="5"/>
        <v>0</v>
      </c>
      <c r="AB9" s="92">
        <f t="shared" si="6"/>
        <v>148370.73170731709</v>
      </c>
      <c r="AD9" s="133">
        <f t="shared" si="7"/>
        <v>-3902.4390243902435</v>
      </c>
      <c r="AE9" s="3">
        <f t="shared" si="8"/>
        <v>1</v>
      </c>
    </row>
    <row r="10" spans="1:31" ht="14.65" thickBot="1" x14ac:dyDescent="0.5">
      <c r="A10" s="4">
        <f t="shared" si="9"/>
        <v>4</v>
      </c>
      <c r="B10" s="5" t="s">
        <v>5</v>
      </c>
      <c r="C10" s="158">
        <f>+'Summary Equip'!T14</f>
        <v>0.05</v>
      </c>
      <c r="D10" s="11"/>
      <c r="E10" s="111" t="s">
        <v>52</v>
      </c>
      <c r="F10" s="312">
        <f>SUM(F7:F8)*G10</f>
        <v>0</v>
      </c>
      <c r="G10" s="151">
        <f>+'Summary Equip'!H14</f>
        <v>0</v>
      </c>
      <c r="H10" s="383">
        <f>+'Summary Equip'!G12</f>
        <v>0</v>
      </c>
      <c r="I10" s="14">
        <f t="shared" si="10"/>
        <v>4</v>
      </c>
      <c r="J10" s="63">
        <f t="shared" si="11"/>
        <v>156695.72884572382</v>
      </c>
      <c r="K10" s="63">
        <f t="shared" si="1"/>
        <v>692.12964616395107</v>
      </c>
      <c r="L10" s="63">
        <f t="shared" si="12"/>
        <v>-3115.6190494571129</v>
      </c>
      <c r="M10" s="65">
        <f t="shared" si="0"/>
        <v>154272.23944243067</v>
      </c>
      <c r="O10" s="14">
        <f t="shared" si="13"/>
        <v>4</v>
      </c>
      <c r="P10" s="54">
        <f t="shared" si="14"/>
        <v>2080.5</v>
      </c>
      <c r="Q10" s="63">
        <f t="shared" si="15"/>
        <v>8753.0158075758263</v>
      </c>
      <c r="R10" s="77">
        <f t="shared" si="2"/>
        <v>-3115.6190494571129</v>
      </c>
      <c r="S10" s="63">
        <f t="shared" si="16"/>
        <v>-1300.8130081300812</v>
      </c>
      <c r="T10" s="63"/>
      <c r="U10" s="63">
        <f t="shared" si="17"/>
        <v>-437.65079037879133</v>
      </c>
      <c r="V10" s="77">
        <f t="shared" si="3"/>
        <v>-303.73983739837399</v>
      </c>
      <c r="W10" s="83">
        <f t="shared" si="4"/>
        <v>3595.1931222114663</v>
      </c>
      <c r="X10" s="85">
        <f t="shared" si="18"/>
        <v>14348.577366894646</v>
      </c>
      <c r="Z10" s="92">
        <f t="shared" si="19"/>
        <v>145795.12195121951</v>
      </c>
      <c r="AA10" s="5">
        <f t="shared" si="5"/>
        <v>0</v>
      </c>
      <c r="AB10" s="92">
        <f t="shared" si="6"/>
        <v>145795.12195121951</v>
      </c>
      <c r="AD10" s="133">
        <f t="shared" si="7"/>
        <v>-5203.252032520325</v>
      </c>
      <c r="AE10" s="3">
        <f t="shared" si="8"/>
        <v>1</v>
      </c>
    </row>
    <row r="11" spans="1:31" ht="14.65" thickBot="1" x14ac:dyDescent="0.5">
      <c r="A11" s="4">
        <f t="shared" si="9"/>
        <v>5</v>
      </c>
      <c r="B11" s="5" t="s">
        <v>12</v>
      </c>
      <c r="C11" s="159">
        <f>+'Summary Equip'!U14</f>
        <v>0.01</v>
      </c>
      <c r="D11" s="11"/>
      <c r="E11" s="112" t="s">
        <v>28</v>
      </c>
      <c r="F11" s="313">
        <f>SUMPRODUCT(F7:F10,H7:H10)</f>
        <v>163902.43902439025</v>
      </c>
      <c r="G11" s="113"/>
      <c r="H11" s="11"/>
      <c r="I11" s="14">
        <f t="shared" si="10"/>
        <v>5</v>
      </c>
      <c r="J11" s="63">
        <f t="shared" si="11"/>
        <v>154272.23944243067</v>
      </c>
      <c r="K11" s="63">
        <f t="shared" si="1"/>
        <v>681.42502214171736</v>
      </c>
      <c r="L11" s="63">
        <f t="shared" si="12"/>
        <v>-3115.6190494571129</v>
      </c>
      <c r="M11" s="65">
        <f t="shared" si="0"/>
        <v>151838.04541511528</v>
      </c>
      <c r="O11" s="14">
        <f t="shared" si="13"/>
        <v>5</v>
      </c>
      <c r="P11" s="54">
        <f t="shared" si="14"/>
        <v>2600.625</v>
      </c>
      <c r="Q11" s="63">
        <f t="shared" si="15"/>
        <v>8753.0158075758263</v>
      </c>
      <c r="R11" s="77">
        <f t="shared" si="2"/>
        <v>-3115.6190494571129</v>
      </c>
      <c r="S11" s="63">
        <f t="shared" si="16"/>
        <v>-1300.8130081300812</v>
      </c>
      <c r="T11" s="63"/>
      <c r="U11" s="63">
        <f t="shared" si="17"/>
        <v>-437.65079037879133</v>
      </c>
      <c r="V11" s="77">
        <f t="shared" si="3"/>
        <v>-298.37398373983746</v>
      </c>
      <c r="W11" s="83">
        <f t="shared" si="4"/>
        <v>3600.558975870003</v>
      </c>
      <c r="X11" s="85">
        <f t="shared" si="18"/>
        <v>17949.13634276465</v>
      </c>
      <c r="Z11" s="92">
        <f t="shared" si="19"/>
        <v>143219.51219512196</v>
      </c>
      <c r="AA11" s="5">
        <f t="shared" si="5"/>
        <v>0</v>
      </c>
      <c r="AB11" s="92">
        <f t="shared" si="6"/>
        <v>143219.51219512196</v>
      </c>
      <c r="AD11" s="133">
        <f t="shared" si="7"/>
        <v>-6504.0650406504064</v>
      </c>
      <c r="AE11" s="3">
        <f t="shared" si="8"/>
        <v>1</v>
      </c>
    </row>
    <row r="12" spans="1:31" x14ac:dyDescent="0.45">
      <c r="A12" s="4">
        <f t="shared" si="9"/>
        <v>6</v>
      </c>
      <c r="B12" s="5" t="s">
        <v>13</v>
      </c>
      <c r="C12" s="160">
        <f>+'Summary Equip'!V14</f>
        <v>60</v>
      </c>
      <c r="D12" s="11"/>
      <c r="E12" s="11"/>
      <c r="F12" s="11"/>
      <c r="G12" s="11"/>
      <c r="H12" s="11"/>
      <c r="I12" s="14">
        <f t="shared" si="10"/>
        <v>6</v>
      </c>
      <c r="J12" s="63">
        <f t="shared" si="11"/>
        <v>151838.04541511528</v>
      </c>
      <c r="K12" s="63">
        <f t="shared" si="1"/>
        <v>670.67311548011992</v>
      </c>
      <c r="L12" s="63">
        <f t="shared" si="12"/>
        <v>-3115.6190494571129</v>
      </c>
      <c r="M12" s="65">
        <f t="shared" si="0"/>
        <v>149393.09948113828</v>
      </c>
      <c r="O12" s="14">
        <f t="shared" si="13"/>
        <v>6</v>
      </c>
      <c r="P12" s="54">
        <f t="shared" si="14"/>
        <v>3120.75</v>
      </c>
      <c r="Q12" s="63">
        <f t="shared" si="15"/>
        <v>8753.0158075758263</v>
      </c>
      <c r="R12" s="77">
        <f t="shared" si="2"/>
        <v>-3115.6190494571129</v>
      </c>
      <c r="S12" s="63">
        <f t="shared" si="16"/>
        <v>-1300.8130081300812</v>
      </c>
      <c r="T12" s="63"/>
      <c r="U12" s="63">
        <f t="shared" si="17"/>
        <v>-437.65079037879133</v>
      </c>
      <c r="V12" s="77">
        <f t="shared" si="3"/>
        <v>-293.00813008130081</v>
      </c>
      <c r="W12" s="83">
        <f t="shared" si="4"/>
        <v>3605.9248295285397</v>
      </c>
      <c r="X12" s="85">
        <f t="shared" si="18"/>
        <v>21555.06117229319</v>
      </c>
      <c r="Z12" s="92">
        <f t="shared" si="19"/>
        <v>140643.90243902439</v>
      </c>
      <c r="AA12" s="5">
        <f t="shared" si="5"/>
        <v>0</v>
      </c>
      <c r="AB12" s="92">
        <f t="shared" si="6"/>
        <v>140643.90243902439</v>
      </c>
      <c r="AD12" s="133">
        <f t="shared" si="7"/>
        <v>-7804.8780487804879</v>
      </c>
      <c r="AE12" s="3">
        <f t="shared" si="8"/>
        <v>1</v>
      </c>
    </row>
    <row r="13" spans="1:31" x14ac:dyDescent="0.45">
      <c r="A13" s="4">
        <f t="shared" si="9"/>
        <v>7</v>
      </c>
      <c r="B13" s="5" t="s">
        <v>14</v>
      </c>
      <c r="C13" s="161">
        <f>+'Summary Equip'!W14</f>
        <v>15000</v>
      </c>
      <c r="D13" s="176">
        <f>+C13*C14</f>
        <v>13500</v>
      </c>
      <c r="E13" s="11"/>
      <c r="F13" s="11"/>
      <c r="G13" s="11"/>
      <c r="H13" s="11"/>
      <c r="I13" s="14">
        <f t="shared" si="10"/>
        <v>7</v>
      </c>
      <c r="J13" s="63">
        <f t="shared" si="11"/>
        <v>149393.09948113828</v>
      </c>
      <c r="K13" s="63">
        <f t="shared" si="1"/>
        <v>659.87371733034911</v>
      </c>
      <c r="L13" s="63">
        <f t="shared" si="12"/>
        <v>-3115.6190494571129</v>
      </c>
      <c r="M13" s="65">
        <f t="shared" si="0"/>
        <v>146937.35414901152</v>
      </c>
      <c r="O13" s="14">
        <f t="shared" si="13"/>
        <v>7</v>
      </c>
      <c r="P13" s="54">
        <f t="shared" si="14"/>
        <v>3640.875</v>
      </c>
      <c r="Q13" s="63">
        <f t="shared" si="15"/>
        <v>8753.0158075758263</v>
      </c>
      <c r="R13" s="77">
        <f t="shared" si="2"/>
        <v>-3115.6190494571129</v>
      </c>
      <c r="S13" s="63">
        <f t="shared" si="16"/>
        <v>-1300.8130081300812</v>
      </c>
      <c r="T13" s="63"/>
      <c r="U13" s="63">
        <f t="shared" si="17"/>
        <v>-437.65079037879133</v>
      </c>
      <c r="V13" s="77">
        <f t="shared" si="3"/>
        <v>-287.64227642276427</v>
      </c>
      <c r="W13" s="83">
        <f t="shared" si="4"/>
        <v>3611.2906831870764</v>
      </c>
      <c r="X13" s="85">
        <f t="shared" si="18"/>
        <v>25166.351855480265</v>
      </c>
      <c r="Z13" s="92">
        <f t="shared" si="19"/>
        <v>138068.29268292684</v>
      </c>
      <c r="AA13" s="5">
        <f t="shared" si="5"/>
        <v>0</v>
      </c>
      <c r="AB13" s="92">
        <f t="shared" si="6"/>
        <v>138068.29268292684</v>
      </c>
      <c r="AD13" s="133">
        <f t="shared" si="7"/>
        <v>-9105.6910569105694</v>
      </c>
      <c r="AE13" s="3">
        <f t="shared" si="8"/>
        <v>1</v>
      </c>
    </row>
    <row r="14" spans="1:31" ht="14.65" thickBot="1" x14ac:dyDescent="0.5">
      <c r="A14" s="6">
        <f t="shared" si="9"/>
        <v>8</v>
      </c>
      <c r="B14" s="7"/>
      <c r="C14" s="162">
        <f>+'Summary Equip'!X14</f>
        <v>0.9</v>
      </c>
      <c r="D14" s="337">
        <f>+D13/C12</f>
        <v>225</v>
      </c>
      <c r="E14" s="11"/>
      <c r="F14" s="11"/>
      <c r="G14" s="11"/>
      <c r="H14" s="11"/>
      <c r="I14" s="14">
        <f t="shared" si="10"/>
        <v>8</v>
      </c>
      <c r="J14" s="63">
        <f t="shared" si="11"/>
        <v>146937.35414901152</v>
      </c>
      <c r="K14" s="63">
        <f t="shared" si="1"/>
        <v>649.02661792110405</v>
      </c>
      <c r="L14" s="63">
        <f t="shared" si="12"/>
        <v>-3115.6190494571129</v>
      </c>
      <c r="M14" s="65">
        <f t="shared" si="0"/>
        <v>144470.76171747551</v>
      </c>
      <c r="O14" s="14">
        <f t="shared" si="13"/>
        <v>8</v>
      </c>
      <c r="P14" s="54">
        <f t="shared" si="14"/>
        <v>4161</v>
      </c>
      <c r="Q14" s="63">
        <f t="shared" si="15"/>
        <v>8753.0158075758263</v>
      </c>
      <c r="R14" s="77">
        <f t="shared" si="2"/>
        <v>-3115.6190494571129</v>
      </c>
      <c r="S14" s="63">
        <f t="shared" si="16"/>
        <v>-1300.8130081300812</v>
      </c>
      <c r="T14" s="63"/>
      <c r="U14" s="63">
        <f t="shared" si="17"/>
        <v>-437.65079037879133</v>
      </c>
      <c r="V14" s="77">
        <f t="shared" si="3"/>
        <v>-282.27642276422768</v>
      </c>
      <c r="W14" s="83">
        <f t="shared" si="4"/>
        <v>3616.6565368456127</v>
      </c>
      <c r="X14" s="85">
        <f t="shared" si="18"/>
        <v>28783.008392325879</v>
      </c>
      <c r="Z14" s="92">
        <f t="shared" si="19"/>
        <v>135492.68292682926</v>
      </c>
      <c r="AA14" s="5">
        <f t="shared" si="5"/>
        <v>0</v>
      </c>
      <c r="AB14" s="92">
        <f t="shared" si="6"/>
        <v>135492.68292682926</v>
      </c>
      <c r="AD14" s="133">
        <f t="shared" si="7"/>
        <v>-10406.50406504065</v>
      </c>
      <c r="AE14" s="3">
        <f t="shared" si="8"/>
        <v>1</v>
      </c>
    </row>
    <row r="15" spans="1:31" ht="14.65" thickBot="1" x14ac:dyDescent="0.5">
      <c r="C15" s="11" t="s">
        <v>85</v>
      </c>
      <c r="D15" s="11"/>
      <c r="E15" s="11"/>
      <c r="F15" s="11"/>
      <c r="G15" s="11"/>
      <c r="H15" s="11"/>
      <c r="I15" s="14">
        <f t="shared" si="10"/>
        <v>9</v>
      </c>
      <c r="J15" s="63">
        <f t="shared" si="11"/>
        <v>144470.76171747551</v>
      </c>
      <c r="K15" s="63">
        <f t="shared" si="1"/>
        <v>638.13160655451782</v>
      </c>
      <c r="L15" s="63">
        <f t="shared" si="12"/>
        <v>-3115.6190494571129</v>
      </c>
      <c r="M15" s="65">
        <f t="shared" si="0"/>
        <v>141993.27427457293</v>
      </c>
      <c r="O15" s="14">
        <f t="shared" si="13"/>
        <v>9</v>
      </c>
      <c r="P15" s="54">
        <f t="shared" si="14"/>
        <v>4681.125</v>
      </c>
      <c r="Q15" s="63">
        <f t="shared" si="15"/>
        <v>8753.0158075758263</v>
      </c>
      <c r="R15" s="77">
        <f t="shared" si="2"/>
        <v>-3115.6190494571129</v>
      </c>
      <c r="S15" s="63">
        <f t="shared" si="16"/>
        <v>-1300.8130081300812</v>
      </c>
      <c r="T15" s="63"/>
      <c r="U15" s="63">
        <f t="shared" si="17"/>
        <v>-437.65079037879133</v>
      </c>
      <c r="V15" s="77">
        <f>-(AB15*$C$9/12)</f>
        <v>-276.91056910569108</v>
      </c>
      <c r="W15" s="83">
        <f t="shared" si="4"/>
        <v>3622.0223905041494</v>
      </c>
      <c r="X15" s="85">
        <f t="shared" si="18"/>
        <v>32405.030782830028</v>
      </c>
      <c r="Z15" s="92">
        <f t="shared" si="19"/>
        <v>132917.07317073172</v>
      </c>
      <c r="AA15" s="5">
        <f t="shared" si="5"/>
        <v>0</v>
      </c>
      <c r="AB15" s="92">
        <f t="shared" si="6"/>
        <v>132917.07317073172</v>
      </c>
      <c r="AD15" s="133">
        <f t="shared" si="7"/>
        <v>-11707.317073170731</v>
      </c>
      <c r="AE15" s="3">
        <f t="shared" si="8"/>
        <v>1</v>
      </c>
    </row>
    <row r="16" spans="1:31" ht="16.149999999999999" thickBot="1" x14ac:dyDescent="0.5">
      <c r="A16" s="661" t="s">
        <v>43</v>
      </c>
      <c r="B16" s="662"/>
      <c r="C16" s="662"/>
      <c r="D16" s="662"/>
      <c r="E16" s="663"/>
      <c r="F16" s="1"/>
      <c r="G16" s="1"/>
      <c r="H16" s="117"/>
      <c r="I16" s="14">
        <f t="shared" si="10"/>
        <v>10</v>
      </c>
      <c r="J16" s="63">
        <f t="shared" si="11"/>
        <v>141993.27427457293</v>
      </c>
      <c r="K16" s="63">
        <f t="shared" si="1"/>
        <v>627.1884716020644</v>
      </c>
      <c r="L16" s="63">
        <f t="shared" si="12"/>
        <v>-3115.6190494571129</v>
      </c>
      <c r="M16" s="65">
        <f t="shared" si="0"/>
        <v>139504.8436967179</v>
      </c>
      <c r="O16" s="14">
        <f t="shared" si="13"/>
        <v>10</v>
      </c>
      <c r="P16" s="54">
        <f t="shared" si="14"/>
        <v>5201.25</v>
      </c>
      <c r="Q16" s="63">
        <f t="shared" si="15"/>
        <v>8753.0158075758263</v>
      </c>
      <c r="R16" s="77">
        <f t="shared" si="2"/>
        <v>-3115.6190494571129</v>
      </c>
      <c r="S16" s="63">
        <f t="shared" si="16"/>
        <v>-1300.8130081300812</v>
      </c>
      <c r="T16" s="63"/>
      <c r="U16" s="63">
        <f t="shared" si="17"/>
        <v>-437.65079037879133</v>
      </c>
      <c r="V16" s="77">
        <f t="shared" ref="V16:V66" si="20">-(AB16*$C$9/12)</f>
        <v>-271.54471544715449</v>
      </c>
      <c r="W16" s="83">
        <f t="shared" si="4"/>
        <v>3627.3882441626861</v>
      </c>
      <c r="X16" s="85">
        <f t="shared" si="18"/>
        <v>36032.419026992713</v>
      </c>
      <c r="Z16" s="92">
        <f t="shared" si="19"/>
        <v>130341.46341463414</v>
      </c>
      <c r="AA16" s="5">
        <f t="shared" si="5"/>
        <v>0</v>
      </c>
      <c r="AB16" s="92">
        <f t="shared" si="6"/>
        <v>130341.46341463414</v>
      </c>
      <c r="AD16" s="133">
        <f t="shared" si="7"/>
        <v>-13008.130081300811</v>
      </c>
      <c r="AE16" s="3">
        <f t="shared" si="8"/>
        <v>1</v>
      </c>
    </row>
    <row r="17" spans="1:31" ht="14.65" thickBot="1" x14ac:dyDescent="0.5">
      <c r="A17" s="97" t="s">
        <v>44</v>
      </c>
      <c r="B17" s="98" t="s">
        <v>48</v>
      </c>
      <c r="C17" s="98" t="s">
        <v>45</v>
      </c>
      <c r="D17" s="99" t="s">
        <v>46</v>
      </c>
      <c r="E17" s="55" t="s">
        <v>47</v>
      </c>
      <c r="F17" s="1"/>
      <c r="G17" s="1"/>
      <c r="H17" s="117"/>
      <c r="I17" s="14">
        <f t="shared" si="10"/>
        <v>11</v>
      </c>
      <c r="J17" s="63">
        <f t="shared" si="11"/>
        <v>139504.8436967179</v>
      </c>
      <c r="K17" s="63">
        <f t="shared" si="1"/>
        <v>616.19700050044889</v>
      </c>
      <c r="L17" s="63">
        <f t="shared" si="12"/>
        <v>-3115.6190494571129</v>
      </c>
      <c r="M17" s="65">
        <f t="shared" si="0"/>
        <v>137005.42164776125</v>
      </c>
      <c r="O17" s="14">
        <f t="shared" si="13"/>
        <v>11</v>
      </c>
      <c r="P17" s="54">
        <f t="shared" si="14"/>
        <v>5721.375</v>
      </c>
      <c r="Q17" s="63">
        <f t="shared" si="15"/>
        <v>8753.0158075758263</v>
      </c>
      <c r="R17" s="77">
        <f t="shared" si="2"/>
        <v>-3115.6190494571129</v>
      </c>
      <c r="S17" s="63">
        <f t="shared" si="16"/>
        <v>-1300.8130081300812</v>
      </c>
      <c r="T17" s="63"/>
      <c r="U17" s="63">
        <f t="shared" si="17"/>
        <v>-437.65079037879133</v>
      </c>
      <c r="V17" s="77">
        <f t="shared" si="20"/>
        <v>-266.17886178861789</v>
      </c>
      <c r="W17" s="83">
        <f t="shared" si="4"/>
        <v>3632.7540978212228</v>
      </c>
      <c r="X17" s="85">
        <f t="shared" si="18"/>
        <v>39665.173124813933</v>
      </c>
      <c r="Z17" s="92">
        <f t="shared" si="19"/>
        <v>127765.85365853658</v>
      </c>
      <c r="AA17" s="5">
        <f t="shared" si="5"/>
        <v>0</v>
      </c>
      <c r="AB17" s="92">
        <f t="shared" si="6"/>
        <v>127765.85365853658</v>
      </c>
      <c r="AD17" s="133">
        <f t="shared" si="7"/>
        <v>-14308.943089430892</v>
      </c>
      <c r="AE17" s="3">
        <f t="shared" si="8"/>
        <v>1</v>
      </c>
    </row>
    <row r="18" spans="1:31" x14ac:dyDescent="0.45">
      <c r="A18" s="94">
        <v>1</v>
      </c>
      <c r="B18" s="95">
        <v>12</v>
      </c>
      <c r="C18" s="96">
        <f>D$27-(D$27+D$28)*B18/60</f>
        <v>125190.24390243902</v>
      </c>
      <c r="D18" s="100">
        <v>0.1</v>
      </c>
      <c r="E18" s="103">
        <f t="shared" ref="E18:E23" si="21">C18/(100%-D18)</f>
        <v>139100.27100271001</v>
      </c>
      <c r="F18" s="11"/>
      <c r="G18" s="11"/>
      <c r="H18" s="11"/>
      <c r="I18" s="14">
        <f t="shared" si="10"/>
        <v>12</v>
      </c>
      <c r="J18" s="63">
        <f t="shared" si="11"/>
        <v>137005.42164776125</v>
      </c>
      <c r="K18" s="63">
        <f t="shared" si="1"/>
        <v>605.15697974747752</v>
      </c>
      <c r="L18" s="63">
        <f t="shared" si="12"/>
        <v>-3115.6190494571129</v>
      </c>
      <c r="M18" s="65">
        <f t="shared" si="0"/>
        <v>134494.95957805161</v>
      </c>
      <c r="O18" s="14">
        <f t="shared" si="13"/>
        <v>12</v>
      </c>
      <c r="P18" s="54">
        <f t="shared" si="14"/>
        <v>6241.5</v>
      </c>
      <c r="Q18" s="63">
        <f t="shared" si="15"/>
        <v>8753.0158075758263</v>
      </c>
      <c r="R18" s="77">
        <f t="shared" si="2"/>
        <v>-3115.6190494571129</v>
      </c>
      <c r="S18" s="63">
        <f t="shared" si="16"/>
        <v>-1300.8130081300812</v>
      </c>
      <c r="T18" s="63"/>
      <c r="U18" s="63">
        <f t="shared" si="17"/>
        <v>-437.65079037879133</v>
      </c>
      <c r="V18" s="77">
        <f t="shared" si="20"/>
        <v>-260.8130081300813</v>
      </c>
      <c r="W18" s="83">
        <f t="shared" si="4"/>
        <v>3638.119951479759</v>
      </c>
      <c r="X18" s="85">
        <f t="shared" si="18"/>
        <v>43303.293076293689</v>
      </c>
      <c r="Z18" s="92">
        <f t="shared" si="19"/>
        <v>125190.24390243902</v>
      </c>
      <c r="AA18" s="5">
        <f t="shared" si="5"/>
        <v>0</v>
      </c>
      <c r="AB18" s="92">
        <f t="shared" si="6"/>
        <v>125190.24390243902</v>
      </c>
      <c r="AD18" s="133">
        <f t="shared" si="7"/>
        <v>-15609.756097560972</v>
      </c>
      <c r="AE18" s="3">
        <f t="shared" si="8"/>
        <v>1</v>
      </c>
    </row>
    <row r="19" spans="1:31" x14ac:dyDescent="0.45">
      <c r="A19" s="4">
        <f>A18+1</f>
        <v>2</v>
      </c>
      <c r="B19" s="5">
        <f>B18+12</f>
        <v>24</v>
      </c>
      <c r="C19" s="92">
        <f>D$27-(D$27+D$28)*B19/60</f>
        <v>94282.926829268283</v>
      </c>
      <c r="D19" s="101">
        <f>D18</f>
        <v>0.1</v>
      </c>
      <c r="E19" s="104">
        <f t="shared" si="21"/>
        <v>104758.80758807587</v>
      </c>
      <c r="F19" s="11"/>
      <c r="G19" s="11"/>
      <c r="H19" s="11"/>
      <c r="I19" s="14">
        <f t="shared" si="10"/>
        <v>13</v>
      </c>
      <c r="J19" s="63">
        <f t="shared" si="11"/>
        <v>134494.95957805161</v>
      </c>
      <c r="K19" s="63">
        <f t="shared" si="1"/>
        <v>594.06819489791167</v>
      </c>
      <c r="L19" s="63">
        <f t="shared" si="12"/>
        <v>-3115.6190494571129</v>
      </c>
      <c r="M19" s="65">
        <f t="shared" si="0"/>
        <v>131973.40872349241</v>
      </c>
      <c r="O19" s="14">
        <f t="shared" si="13"/>
        <v>13</v>
      </c>
      <c r="P19" s="54">
        <f t="shared" si="14"/>
        <v>6761.625</v>
      </c>
      <c r="Q19" s="63">
        <f t="shared" si="15"/>
        <v>8753.0158075758263</v>
      </c>
      <c r="R19" s="77">
        <f t="shared" si="2"/>
        <v>-3115.6190494571129</v>
      </c>
      <c r="S19" s="63">
        <f t="shared" si="16"/>
        <v>-1300.8130081300812</v>
      </c>
      <c r="T19" s="63"/>
      <c r="U19" s="63">
        <f t="shared" si="17"/>
        <v>-437.65079037879133</v>
      </c>
      <c r="V19" s="77">
        <f t="shared" si="20"/>
        <v>-255.44715447154476</v>
      </c>
      <c r="W19" s="83">
        <f t="shared" si="4"/>
        <v>3643.4858051382957</v>
      </c>
      <c r="X19" s="85">
        <f t="shared" si="18"/>
        <v>46946.778881431987</v>
      </c>
      <c r="Z19" s="92">
        <f t="shared" si="19"/>
        <v>122614.63414634147</v>
      </c>
      <c r="AA19" s="5">
        <f t="shared" si="5"/>
        <v>0</v>
      </c>
      <c r="AB19" s="92">
        <f t="shared" si="6"/>
        <v>122614.63414634147</v>
      </c>
      <c r="AD19" s="133">
        <f t="shared" si="7"/>
        <v>-16910.569105691055</v>
      </c>
      <c r="AE19" s="3">
        <f t="shared" si="8"/>
        <v>1</v>
      </c>
    </row>
    <row r="20" spans="1:31" x14ac:dyDescent="0.45">
      <c r="A20" s="4">
        <f>A19+1</f>
        <v>3</v>
      </c>
      <c r="B20" s="5">
        <f>B19+12</f>
        <v>36</v>
      </c>
      <c r="C20" s="92">
        <f>D$27-(D$27+D$28)*B20/60</f>
        <v>63375.609756097561</v>
      </c>
      <c r="D20" s="101">
        <f>D19</f>
        <v>0.1</v>
      </c>
      <c r="E20" s="104">
        <f t="shared" si="21"/>
        <v>70417.344173441728</v>
      </c>
      <c r="F20" s="11"/>
      <c r="G20" s="11"/>
      <c r="H20" s="11"/>
      <c r="I20" s="14">
        <f t="shared" si="10"/>
        <v>14</v>
      </c>
      <c r="J20" s="63">
        <f t="shared" si="11"/>
        <v>131973.40872349241</v>
      </c>
      <c r="K20" s="63">
        <f t="shared" si="1"/>
        <v>582.93043055930116</v>
      </c>
      <c r="L20" s="63">
        <f t="shared" si="12"/>
        <v>-3115.6190494571129</v>
      </c>
      <c r="M20" s="65">
        <f t="shared" si="0"/>
        <v>129440.7201045946</v>
      </c>
      <c r="O20" s="14">
        <f t="shared" si="13"/>
        <v>14</v>
      </c>
      <c r="P20" s="54">
        <f t="shared" si="14"/>
        <v>7281.75</v>
      </c>
      <c r="Q20" s="63">
        <f t="shared" si="15"/>
        <v>8753.0158075758263</v>
      </c>
      <c r="R20" s="77">
        <f t="shared" si="2"/>
        <v>-3115.6190494571129</v>
      </c>
      <c r="S20" s="63">
        <f t="shared" si="16"/>
        <v>-1300.8130081300812</v>
      </c>
      <c r="T20" s="63"/>
      <c r="U20" s="63">
        <f t="shared" si="17"/>
        <v>-437.65079037879133</v>
      </c>
      <c r="V20" s="77">
        <f t="shared" si="20"/>
        <v>-250.08130081300814</v>
      </c>
      <c r="W20" s="83">
        <f t="shared" si="4"/>
        <v>3648.8516587968325</v>
      </c>
      <c r="X20" s="85">
        <f t="shared" si="18"/>
        <v>50595.63054022882</v>
      </c>
      <c r="Z20" s="92">
        <f t="shared" si="19"/>
        <v>120039.0243902439</v>
      </c>
      <c r="AA20" s="5">
        <f t="shared" si="5"/>
        <v>0</v>
      </c>
      <c r="AB20" s="92">
        <f t="shared" si="6"/>
        <v>120039.0243902439</v>
      </c>
      <c r="AD20" s="133">
        <f t="shared" si="7"/>
        <v>-18211.382113821135</v>
      </c>
      <c r="AE20" s="3">
        <f t="shared" si="8"/>
        <v>1</v>
      </c>
    </row>
    <row r="21" spans="1:31" x14ac:dyDescent="0.45">
      <c r="A21" s="4">
        <f>A20+1</f>
        <v>4</v>
      </c>
      <c r="B21" s="5">
        <f>B20+12</f>
        <v>48</v>
      </c>
      <c r="C21" s="92">
        <f>D$27-(D$27+D$28)*B21/60</f>
        <v>32468.292682926825</v>
      </c>
      <c r="D21" s="101">
        <f>D20</f>
        <v>0.1</v>
      </c>
      <c r="E21" s="104">
        <f t="shared" si="21"/>
        <v>36075.88075880758</v>
      </c>
      <c r="F21" s="11"/>
      <c r="G21" s="11"/>
      <c r="H21" s="11"/>
      <c r="I21" s="14">
        <f t="shared" si="10"/>
        <v>15</v>
      </c>
      <c r="J21" s="63">
        <f t="shared" si="11"/>
        <v>129440.7201045946</v>
      </c>
      <c r="K21" s="63">
        <f t="shared" si="1"/>
        <v>571.74347038780172</v>
      </c>
      <c r="L21" s="63">
        <f t="shared" si="12"/>
        <v>-3115.6190494571129</v>
      </c>
      <c r="M21" s="65">
        <f t="shared" si="0"/>
        <v>126896.84452552529</v>
      </c>
      <c r="O21" s="14">
        <f t="shared" si="13"/>
        <v>15</v>
      </c>
      <c r="P21" s="54">
        <f t="shared" si="14"/>
        <v>7801.875</v>
      </c>
      <c r="Q21" s="63">
        <f t="shared" si="15"/>
        <v>8753.0158075758263</v>
      </c>
      <c r="R21" s="77">
        <f t="shared" si="2"/>
        <v>-3115.6190494571129</v>
      </c>
      <c r="S21" s="63">
        <f t="shared" si="16"/>
        <v>-1300.8130081300812</v>
      </c>
      <c r="T21" s="63"/>
      <c r="U21" s="63">
        <f t="shared" si="17"/>
        <v>-437.65079037879133</v>
      </c>
      <c r="V21" s="77">
        <f t="shared" si="20"/>
        <v>-244.71544715447158</v>
      </c>
      <c r="W21" s="83">
        <f t="shared" si="4"/>
        <v>3654.2175124553687</v>
      </c>
      <c r="X21" s="85">
        <f t="shared" si="18"/>
        <v>54249.848052684189</v>
      </c>
      <c r="Z21" s="92">
        <f t="shared" si="19"/>
        <v>117463.41463414635</v>
      </c>
      <c r="AA21" s="5">
        <f t="shared" si="5"/>
        <v>0</v>
      </c>
      <c r="AB21" s="92">
        <f t="shared" si="6"/>
        <v>117463.41463414635</v>
      </c>
      <c r="AD21" s="133">
        <f t="shared" si="7"/>
        <v>-19512.195121951216</v>
      </c>
      <c r="AE21" s="3">
        <f t="shared" si="8"/>
        <v>1</v>
      </c>
    </row>
    <row r="22" spans="1:31" x14ac:dyDescent="0.45">
      <c r="A22" s="4">
        <f>A21+1</f>
        <v>5</v>
      </c>
      <c r="B22" s="5">
        <f>B21+12</f>
        <v>60</v>
      </c>
      <c r="C22" s="92">
        <f>D$27-(D$27+D$28)*B22/60</f>
        <v>1560.9756097561039</v>
      </c>
      <c r="D22" s="101">
        <f>D21</f>
        <v>0.1</v>
      </c>
      <c r="E22" s="104">
        <f t="shared" si="21"/>
        <v>1734.4173441734488</v>
      </c>
      <c r="F22" s="11"/>
      <c r="G22" s="11"/>
      <c r="H22" s="11"/>
      <c r="I22" s="14">
        <f t="shared" si="10"/>
        <v>16</v>
      </c>
      <c r="J22" s="63">
        <f t="shared" si="11"/>
        <v>126896.84452552529</v>
      </c>
      <c r="K22" s="63">
        <f t="shared" si="1"/>
        <v>560.50709708397119</v>
      </c>
      <c r="L22" s="63">
        <f t="shared" si="12"/>
        <v>-3115.6190494571129</v>
      </c>
      <c r="M22" s="65">
        <f t="shared" si="0"/>
        <v>124341.73257315214</v>
      </c>
      <c r="O22" s="14">
        <f t="shared" si="13"/>
        <v>16</v>
      </c>
      <c r="P22" s="54">
        <f t="shared" si="14"/>
        <v>8322</v>
      </c>
      <c r="Q22" s="63">
        <f t="shared" si="15"/>
        <v>8753.0158075758263</v>
      </c>
      <c r="R22" s="77">
        <f t="shared" si="2"/>
        <v>-3115.6190494571129</v>
      </c>
      <c r="S22" s="63">
        <f t="shared" si="16"/>
        <v>-1300.8130081300812</v>
      </c>
      <c r="T22" s="63"/>
      <c r="U22" s="63">
        <f t="shared" si="17"/>
        <v>-437.65079037879133</v>
      </c>
      <c r="V22" s="77">
        <f t="shared" si="20"/>
        <v>-239.34959349593495</v>
      </c>
      <c r="W22" s="83">
        <f t="shared" si="4"/>
        <v>3659.5833661139054</v>
      </c>
      <c r="X22" s="85">
        <f t="shared" si="18"/>
        <v>57909.431418798093</v>
      </c>
      <c r="Z22" s="92">
        <f t="shared" si="19"/>
        <v>114887.80487804877</v>
      </c>
      <c r="AA22" s="5">
        <f t="shared" si="5"/>
        <v>0</v>
      </c>
      <c r="AB22" s="92">
        <f t="shared" si="6"/>
        <v>114887.80487804877</v>
      </c>
      <c r="AD22" s="133">
        <f t="shared" si="7"/>
        <v>-20813.008130081296</v>
      </c>
      <c r="AE22" s="3">
        <f t="shared" si="8"/>
        <v>1</v>
      </c>
    </row>
    <row r="23" spans="1:31" ht="14.65" thickBot="1" x14ac:dyDescent="0.5">
      <c r="A23" s="6">
        <f>A22+1</f>
        <v>6</v>
      </c>
      <c r="B23" s="7">
        <f>B22+12</f>
        <v>72</v>
      </c>
      <c r="C23" s="93">
        <v>1</v>
      </c>
      <c r="D23" s="102">
        <f>D22</f>
        <v>0.1</v>
      </c>
      <c r="E23" s="105">
        <f t="shared" si="21"/>
        <v>1.1111111111111112</v>
      </c>
      <c r="H23" s="11"/>
      <c r="I23" s="14">
        <f t="shared" si="10"/>
        <v>17</v>
      </c>
      <c r="J23" s="63">
        <f t="shared" si="11"/>
        <v>124341.73257315214</v>
      </c>
      <c r="K23" s="63">
        <f t="shared" si="1"/>
        <v>549.22109238854978</v>
      </c>
      <c r="L23" s="63">
        <f t="shared" si="12"/>
        <v>-3115.6190494571129</v>
      </c>
      <c r="M23" s="65">
        <f t="shared" si="0"/>
        <v>121775.33461608356</v>
      </c>
      <c r="O23" s="14">
        <f t="shared" si="13"/>
        <v>17</v>
      </c>
      <c r="P23" s="54">
        <f t="shared" si="14"/>
        <v>8842.125</v>
      </c>
      <c r="Q23" s="63">
        <f t="shared" si="15"/>
        <v>8753.0158075758263</v>
      </c>
      <c r="R23" s="77">
        <f t="shared" si="2"/>
        <v>-3115.6190494571129</v>
      </c>
      <c r="S23" s="63">
        <f t="shared" si="16"/>
        <v>-1300.8130081300812</v>
      </c>
      <c r="T23" s="63"/>
      <c r="U23" s="63">
        <f t="shared" si="17"/>
        <v>-437.65079037879133</v>
      </c>
      <c r="V23" s="77">
        <f t="shared" si="20"/>
        <v>-233.98373983739839</v>
      </c>
      <c r="W23" s="83">
        <f t="shared" si="4"/>
        <v>3664.9492197724421</v>
      </c>
      <c r="X23" s="85">
        <f t="shared" si="18"/>
        <v>61574.380638570532</v>
      </c>
      <c r="Z23" s="92">
        <f t="shared" si="19"/>
        <v>112312.19512195123</v>
      </c>
      <c r="AA23" s="5">
        <f t="shared" si="5"/>
        <v>0</v>
      </c>
      <c r="AB23" s="92">
        <f t="shared" si="6"/>
        <v>112312.19512195123</v>
      </c>
      <c r="AD23" s="133">
        <f t="shared" si="7"/>
        <v>-22113.821138211377</v>
      </c>
      <c r="AE23" s="3">
        <f t="shared" si="8"/>
        <v>1</v>
      </c>
    </row>
    <row r="24" spans="1:31" ht="14.65" thickBot="1" x14ac:dyDescent="0.5">
      <c r="H24" s="11"/>
      <c r="I24" s="14">
        <f>I23+1</f>
        <v>18</v>
      </c>
      <c r="J24" s="63">
        <f t="shared" si="11"/>
        <v>121775.33461608356</v>
      </c>
      <c r="K24" s="63">
        <f t="shared" si="1"/>
        <v>537.88523707822026</v>
      </c>
      <c r="L24" s="63">
        <f t="shared" si="12"/>
        <v>-3115.6190494571129</v>
      </c>
      <c r="M24" s="65">
        <f t="shared" si="0"/>
        <v>119197.60080370467</v>
      </c>
      <c r="O24" s="14">
        <f>O23+1</f>
        <v>18</v>
      </c>
      <c r="P24" s="54">
        <f t="shared" si="14"/>
        <v>9362.25</v>
      </c>
      <c r="Q24" s="63">
        <f t="shared" si="15"/>
        <v>8753.0158075758263</v>
      </c>
      <c r="R24" s="77">
        <f t="shared" si="2"/>
        <v>-3115.6190494571129</v>
      </c>
      <c r="S24" s="63">
        <f t="shared" si="16"/>
        <v>-1300.8130081300812</v>
      </c>
      <c r="T24" s="63"/>
      <c r="U24" s="63">
        <f t="shared" si="17"/>
        <v>-437.65079037879133</v>
      </c>
      <c r="V24" s="77">
        <f t="shared" si="20"/>
        <v>-228.6178861788618</v>
      </c>
      <c r="W24" s="83">
        <f t="shared" si="4"/>
        <v>3670.3150734309788</v>
      </c>
      <c r="X24" s="85">
        <f t="shared" si="18"/>
        <v>65244.695712001514</v>
      </c>
      <c r="Z24" s="92">
        <f t="shared" si="19"/>
        <v>109736.58536585365</v>
      </c>
      <c r="AA24" s="5">
        <f t="shared" si="5"/>
        <v>0</v>
      </c>
      <c r="AB24" s="92">
        <f t="shared" si="6"/>
        <v>109736.58536585365</v>
      </c>
      <c r="AD24" s="133">
        <f t="shared" si="7"/>
        <v>-23414.634146341457</v>
      </c>
      <c r="AE24" s="3">
        <f t="shared" si="8"/>
        <v>1</v>
      </c>
    </row>
    <row r="25" spans="1:31" ht="32.25" customHeight="1" thickBot="1" x14ac:dyDescent="0.5">
      <c r="A25" s="664" t="s">
        <v>21</v>
      </c>
      <c r="B25" s="665"/>
      <c r="C25" s="665"/>
      <c r="D25" s="665"/>
      <c r="E25" s="665"/>
      <c r="F25" s="665"/>
      <c r="G25" s="666"/>
      <c r="H25" s="11"/>
      <c r="I25" s="14">
        <f t="shared" si="10"/>
        <v>19</v>
      </c>
      <c r="J25" s="63">
        <f t="shared" si="11"/>
        <v>119197.60080370467</v>
      </c>
      <c r="K25" s="63">
        <f t="shared" si="1"/>
        <v>526.49931096134924</v>
      </c>
      <c r="L25" s="63">
        <f t="shared" si="12"/>
        <v>-3115.6190494571129</v>
      </c>
      <c r="M25" s="65">
        <f t="shared" si="0"/>
        <v>116608.48106520891</v>
      </c>
      <c r="O25" s="14">
        <f t="shared" si="13"/>
        <v>19</v>
      </c>
      <c r="P25" s="54">
        <f t="shared" si="14"/>
        <v>9882.375</v>
      </c>
      <c r="Q25" s="63">
        <f t="shared" si="15"/>
        <v>8753.0158075758263</v>
      </c>
      <c r="R25" s="77">
        <f t="shared" si="2"/>
        <v>-3115.6190494571129</v>
      </c>
      <c r="S25" s="63">
        <f t="shared" si="16"/>
        <v>-1300.8130081300812</v>
      </c>
      <c r="T25" s="63"/>
      <c r="U25" s="63">
        <f t="shared" si="17"/>
        <v>-437.65079037879133</v>
      </c>
      <c r="V25" s="77">
        <f t="shared" si="20"/>
        <v>-223.25203252032523</v>
      </c>
      <c r="W25" s="83">
        <f t="shared" si="4"/>
        <v>3675.6809270895151</v>
      </c>
      <c r="X25" s="85">
        <f t="shared" si="18"/>
        <v>68920.376639091031</v>
      </c>
      <c r="Z25" s="92">
        <f t="shared" si="19"/>
        <v>107160.9756097561</v>
      </c>
      <c r="AA25" s="5">
        <f t="shared" si="5"/>
        <v>0</v>
      </c>
      <c r="AB25" s="92">
        <f t="shared" si="6"/>
        <v>107160.9756097561</v>
      </c>
      <c r="AD25" s="133">
        <f t="shared" si="7"/>
        <v>-24715.447154471538</v>
      </c>
      <c r="AE25" s="3">
        <f t="shared" si="8"/>
        <v>1</v>
      </c>
    </row>
    <row r="26" spans="1:31" ht="28.9" thickBot="1" x14ac:dyDescent="0.5">
      <c r="A26" s="26" t="s">
        <v>0</v>
      </c>
      <c r="B26" s="27" t="s">
        <v>1</v>
      </c>
      <c r="C26" s="43" t="s">
        <v>22</v>
      </c>
      <c r="D26" s="43" t="s">
        <v>10</v>
      </c>
      <c r="E26" s="43" t="s">
        <v>23</v>
      </c>
      <c r="F26" s="43" t="s">
        <v>24</v>
      </c>
      <c r="G26" s="44" t="s">
        <v>25</v>
      </c>
      <c r="H26" s="11"/>
      <c r="I26" s="14">
        <f t="shared" si="10"/>
        <v>20</v>
      </c>
      <c r="J26" s="63">
        <f t="shared" si="11"/>
        <v>116608.48106520891</v>
      </c>
      <c r="K26" s="63">
        <f t="shared" si="1"/>
        <v>515.06309287371073</v>
      </c>
      <c r="L26" s="63">
        <f t="shared" si="12"/>
        <v>-3115.6190494571129</v>
      </c>
      <c r="M26" s="65">
        <f t="shared" si="0"/>
        <v>114007.9251086255</v>
      </c>
      <c r="O26" s="14">
        <f t="shared" si="13"/>
        <v>20</v>
      </c>
      <c r="P26" s="54">
        <f t="shared" si="14"/>
        <v>10402.5</v>
      </c>
      <c r="Q26" s="63">
        <f t="shared" si="15"/>
        <v>8753.0158075758263</v>
      </c>
      <c r="R26" s="77">
        <f t="shared" si="2"/>
        <v>-3115.6190494571129</v>
      </c>
      <c r="S26" s="63">
        <f t="shared" si="16"/>
        <v>-1300.8130081300812</v>
      </c>
      <c r="T26" s="63"/>
      <c r="U26" s="63">
        <f t="shared" si="17"/>
        <v>-437.65079037879133</v>
      </c>
      <c r="V26" s="77">
        <f t="shared" si="20"/>
        <v>-217.88617886178864</v>
      </c>
      <c r="W26" s="83">
        <f t="shared" si="4"/>
        <v>3681.0467807480518</v>
      </c>
      <c r="X26" s="85">
        <f t="shared" si="18"/>
        <v>72601.423419839077</v>
      </c>
      <c r="Z26" s="92">
        <f t="shared" si="19"/>
        <v>104585.36585365854</v>
      </c>
      <c r="AA26" s="5">
        <f t="shared" si="5"/>
        <v>0</v>
      </c>
      <c r="AB26" s="92">
        <f t="shared" si="6"/>
        <v>104585.36585365854</v>
      </c>
      <c r="AD26" s="133">
        <f t="shared" si="7"/>
        <v>-26016.260162601619</v>
      </c>
      <c r="AE26" s="3">
        <f t="shared" si="8"/>
        <v>1</v>
      </c>
    </row>
    <row r="27" spans="1:31" x14ac:dyDescent="0.45">
      <c r="A27" s="8">
        <v>1</v>
      </c>
      <c r="B27" s="9" t="s">
        <v>16</v>
      </c>
      <c r="C27" s="48">
        <v>1</v>
      </c>
      <c r="D27" s="153">
        <f>+F7</f>
        <v>156097.56097560975</v>
      </c>
      <c r="E27" s="342">
        <f>+'Summary Equip'!AE14</f>
        <v>0.8</v>
      </c>
      <c r="F27" s="62">
        <f>E27*D27</f>
        <v>124878.04878048781</v>
      </c>
      <c r="G27" s="60">
        <f>D27-F27</f>
        <v>31219.512195121948</v>
      </c>
      <c r="H27" s="11"/>
      <c r="I27" s="14">
        <f t="shared" si="10"/>
        <v>21</v>
      </c>
      <c r="J27" s="63">
        <f t="shared" si="11"/>
        <v>114007.9251086255</v>
      </c>
      <c r="K27" s="63">
        <f t="shared" si="1"/>
        <v>503.5763606741894</v>
      </c>
      <c r="L27" s="63">
        <f t="shared" si="12"/>
        <v>-3115.6190494571129</v>
      </c>
      <c r="M27" s="65">
        <f t="shared" si="0"/>
        <v>111395.88241984259</v>
      </c>
      <c r="O27" s="14">
        <f t="shared" si="13"/>
        <v>21</v>
      </c>
      <c r="P27" s="54">
        <f t="shared" si="14"/>
        <v>10922.625</v>
      </c>
      <c r="Q27" s="63">
        <f t="shared" si="15"/>
        <v>8753.0158075758263</v>
      </c>
      <c r="R27" s="77">
        <f t="shared" si="2"/>
        <v>-3115.6190494571129</v>
      </c>
      <c r="S27" s="63">
        <f t="shared" si="16"/>
        <v>-1300.8130081300812</v>
      </c>
      <c r="T27" s="63"/>
      <c r="U27" s="63">
        <f t="shared" si="17"/>
        <v>-437.65079037879133</v>
      </c>
      <c r="V27" s="77">
        <f t="shared" si="20"/>
        <v>-212.52032520325204</v>
      </c>
      <c r="W27" s="83">
        <f t="shared" si="4"/>
        <v>3686.4126344065885</v>
      </c>
      <c r="X27" s="85">
        <f t="shared" si="18"/>
        <v>76287.836054245665</v>
      </c>
      <c r="Z27" s="92">
        <f t="shared" si="19"/>
        <v>102009.75609756098</v>
      </c>
      <c r="AA27" s="5">
        <f t="shared" si="5"/>
        <v>0</v>
      </c>
      <c r="AB27" s="92">
        <f t="shared" si="6"/>
        <v>102009.75609756098</v>
      </c>
      <c r="AD27" s="133">
        <f t="shared" si="7"/>
        <v>-27317.073170731699</v>
      </c>
      <c r="AE27" s="3">
        <f t="shared" si="8"/>
        <v>1</v>
      </c>
    </row>
    <row r="28" spans="1:31" x14ac:dyDescent="0.45">
      <c r="A28" s="4">
        <f>A27+1</f>
        <v>2</v>
      </c>
      <c r="B28" s="5" t="s">
        <v>12</v>
      </c>
      <c r="C28" s="19">
        <f>C11</f>
        <v>0.01</v>
      </c>
      <c r="D28" s="300">
        <f>-C28*D27</f>
        <v>-1560.9756097560976</v>
      </c>
      <c r="E28" s="23">
        <f>E27</f>
        <v>0.8</v>
      </c>
      <c r="F28" s="63">
        <f t="shared" ref="F28:F33" si="22">E28*D28</f>
        <v>-1248.7804878048782</v>
      </c>
      <c r="G28" s="65">
        <f>D28-F28</f>
        <v>-312.19512195121933</v>
      </c>
      <c r="H28" s="11"/>
      <c r="I28" s="14">
        <f t="shared" si="10"/>
        <v>22</v>
      </c>
      <c r="J28" s="63">
        <f t="shared" si="11"/>
        <v>111395.88241984259</v>
      </c>
      <c r="K28" s="63">
        <f t="shared" si="1"/>
        <v>492.03889124046668</v>
      </c>
      <c r="L28" s="63">
        <f t="shared" si="12"/>
        <v>-3115.6190494571129</v>
      </c>
      <c r="M28" s="65">
        <f t="shared" si="0"/>
        <v>108772.30226162594</v>
      </c>
      <c r="O28" s="14">
        <f t="shared" si="13"/>
        <v>22</v>
      </c>
      <c r="P28" s="54">
        <f t="shared" si="14"/>
        <v>11442.75</v>
      </c>
      <c r="Q28" s="63">
        <f t="shared" si="15"/>
        <v>8753.0158075758263</v>
      </c>
      <c r="R28" s="77">
        <f t="shared" si="2"/>
        <v>-3115.6190494571129</v>
      </c>
      <c r="S28" s="63">
        <f t="shared" si="16"/>
        <v>-1300.8130081300812</v>
      </c>
      <c r="T28" s="63"/>
      <c r="U28" s="63">
        <f t="shared" si="17"/>
        <v>-437.65079037879133</v>
      </c>
      <c r="V28" s="77">
        <f t="shared" si="20"/>
        <v>-207.15447154471545</v>
      </c>
      <c r="W28" s="83">
        <f t="shared" si="4"/>
        <v>3691.7784880651252</v>
      </c>
      <c r="X28" s="85">
        <f t="shared" si="18"/>
        <v>79979.614542310796</v>
      </c>
      <c r="Z28" s="92">
        <f t="shared" si="19"/>
        <v>99434.146341463405</v>
      </c>
      <c r="AA28" s="5">
        <f t="shared" si="5"/>
        <v>0</v>
      </c>
      <c r="AB28" s="92">
        <f t="shared" si="6"/>
        <v>99434.146341463405</v>
      </c>
      <c r="AD28" s="133">
        <f t="shared" si="7"/>
        <v>-28617.88617886178</v>
      </c>
      <c r="AE28" s="3">
        <f t="shared" si="8"/>
        <v>1</v>
      </c>
    </row>
    <row r="29" spans="1:31" x14ac:dyDescent="0.45">
      <c r="A29" s="4">
        <f t="shared" ref="A29:A34" si="23">A28+1</f>
        <v>3</v>
      </c>
      <c r="B29" s="5" t="s">
        <v>17</v>
      </c>
      <c r="C29" s="24">
        <f>C8</f>
        <v>5.2999999999999999E-2</v>
      </c>
      <c r="D29" s="63">
        <f>K67</f>
        <v>21985.184099371538</v>
      </c>
      <c r="E29" s="23">
        <v>1</v>
      </c>
      <c r="F29" s="63">
        <f t="shared" si="22"/>
        <v>21985.184099371538</v>
      </c>
      <c r="G29" s="65">
        <f>D29-F29</f>
        <v>0</v>
      </c>
      <c r="H29" s="11"/>
      <c r="I29" s="14">
        <f t="shared" si="10"/>
        <v>23</v>
      </c>
      <c r="J29" s="63">
        <f t="shared" si="11"/>
        <v>108772.30226162594</v>
      </c>
      <c r="K29" s="63">
        <f t="shared" si="1"/>
        <v>480.45046046468548</v>
      </c>
      <c r="L29" s="63">
        <f t="shared" si="12"/>
        <v>-3115.6190494571129</v>
      </c>
      <c r="M29" s="65">
        <f t="shared" si="0"/>
        <v>106137.1336726335</v>
      </c>
      <c r="O29" s="14">
        <f t="shared" si="13"/>
        <v>23</v>
      </c>
      <c r="P29" s="54">
        <f t="shared" si="14"/>
        <v>11962.875</v>
      </c>
      <c r="Q29" s="63">
        <f t="shared" si="15"/>
        <v>8753.0158075758263</v>
      </c>
      <c r="R29" s="77">
        <f t="shared" si="2"/>
        <v>-3115.6190494571129</v>
      </c>
      <c r="S29" s="63">
        <f t="shared" si="16"/>
        <v>-1300.8130081300812</v>
      </c>
      <c r="T29" s="63"/>
      <c r="U29" s="63">
        <f t="shared" si="17"/>
        <v>-437.65079037879133</v>
      </c>
      <c r="V29" s="77">
        <f t="shared" si="20"/>
        <v>-201.78861788617886</v>
      </c>
      <c r="W29" s="83">
        <f t="shared" si="4"/>
        <v>3697.1443417236615</v>
      </c>
      <c r="X29" s="85">
        <f t="shared" si="18"/>
        <v>83676.758884034454</v>
      </c>
      <c r="Z29" s="92">
        <f t="shared" si="19"/>
        <v>96858.536585365859</v>
      </c>
      <c r="AA29" s="5">
        <f t="shared" si="5"/>
        <v>0</v>
      </c>
      <c r="AB29" s="92">
        <f t="shared" si="6"/>
        <v>96858.536585365859</v>
      </c>
      <c r="AD29" s="133">
        <f t="shared" si="7"/>
        <v>-29918.69918699186</v>
      </c>
      <c r="AE29" s="3">
        <f t="shared" si="8"/>
        <v>1</v>
      </c>
    </row>
    <row r="30" spans="1:31" x14ac:dyDescent="0.45">
      <c r="A30" s="4">
        <f t="shared" si="23"/>
        <v>4</v>
      </c>
      <c r="B30" s="5" t="s">
        <v>6</v>
      </c>
      <c r="C30" s="23">
        <f>C9</f>
        <v>2.5000000000000001E-2</v>
      </c>
      <c r="D30" s="63">
        <f>-V67</f>
        <v>9299.5121951219535</v>
      </c>
      <c r="E30" s="23">
        <v>1</v>
      </c>
      <c r="F30" s="63">
        <f t="shared" si="22"/>
        <v>9299.5121951219535</v>
      </c>
      <c r="G30" s="65">
        <f>D30-F30</f>
        <v>0</v>
      </c>
      <c r="H30" s="11"/>
      <c r="I30" s="14">
        <f t="shared" si="10"/>
        <v>24</v>
      </c>
      <c r="J30" s="63">
        <f t="shared" si="11"/>
        <v>106137.1336726335</v>
      </c>
      <c r="K30" s="63">
        <f t="shared" si="1"/>
        <v>468.81084324909807</v>
      </c>
      <c r="L30" s="63">
        <f t="shared" si="12"/>
        <v>-3115.6190494571129</v>
      </c>
      <c r="M30" s="65">
        <f t="shared" si="0"/>
        <v>103490.32546642548</v>
      </c>
      <c r="O30" s="14">
        <f t="shared" si="13"/>
        <v>24</v>
      </c>
      <c r="P30" s="54">
        <f t="shared" si="14"/>
        <v>12483</v>
      </c>
      <c r="Q30" s="63">
        <f t="shared" si="15"/>
        <v>8753.0158075758263</v>
      </c>
      <c r="R30" s="77">
        <f t="shared" si="2"/>
        <v>-3115.6190494571129</v>
      </c>
      <c r="S30" s="63">
        <f t="shared" si="16"/>
        <v>-1300.8130081300812</v>
      </c>
      <c r="T30" s="63"/>
      <c r="U30" s="63">
        <f t="shared" si="17"/>
        <v>-437.65079037879133</v>
      </c>
      <c r="V30" s="77">
        <f t="shared" si="20"/>
        <v>-196.42276422764226</v>
      </c>
      <c r="W30" s="83">
        <f t="shared" si="4"/>
        <v>3702.5101953821982</v>
      </c>
      <c r="X30" s="85">
        <f t="shared" si="18"/>
        <v>87379.269079416656</v>
      </c>
      <c r="Z30" s="92">
        <f t="shared" si="19"/>
        <v>94282.926829268283</v>
      </c>
      <c r="AA30" s="5">
        <f t="shared" si="5"/>
        <v>0</v>
      </c>
      <c r="AB30" s="92">
        <f t="shared" si="6"/>
        <v>94282.926829268283</v>
      </c>
      <c r="AD30" s="133">
        <f t="shared" si="7"/>
        <v>-31219.512195121941</v>
      </c>
      <c r="AE30" s="3">
        <f t="shared" si="8"/>
        <v>1</v>
      </c>
    </row>
    <row r="31" spans="1:31" x14ac:dyDescent="0.45">
      <c r="A31" s="4">
        <f t="shared" si="23"/>
        <v>5</v>
      </c>
      <c r="B31" s="5" t="s">
        <v>27</v>
      </c>
      <c r="C31" s="334">
        <f>+'Summary Equip'!AH14</f>
        <v>0.5</v>
      </c>
      <c r="D31" s="63">
        <f>D27*C31</f>
        <v>78048.780487804877</v>
      </c>
      <c r="E31" s="334">
        <f>+ASSUMPTIONS!B43</f>
        <v>0.1</v>
      </c>
      <c r="F31" s="63">
        <f t="shared" si="22"/>
        <v>7804.8780487804879</v>
      </c>
      <c r="G31" s="65">
        <f>D31</f>
        <v>78048.780487804877</v>
      </c>
      <c r="H31" s="11"/>
      <c r="I31" s="14">
        <f t="shared" si="10"/>
        <v>25</v>
      </c>
      <c r="J31" s="63">
        <f t="shared" si="11"/>
        <v>103490.32546642548</v>
      </c>
      <c r="K31" s="63">
        <f t="shared" si="1"/>
        <v>457.1198135016935</v>
      </c>
      <c r="L31" s="63">
        <f t="shared" si="12"/>
        <v>-3115.6190494571129</v>
      </c>
      <c r="M31" s="65">
        <f t="shared" si="0"/>
        <v>100831.82623047006</v>
      </c>
      <c r="O31" s="14">
        <f t="shared" si="13"/>
        <v>25</v>
      </c>
      <c r="P31" s="54">
        <f t="shared" si="14"/>
        <v>13003.125</v>
      </c>
      <c r="Q31" s="63">
        <f t="shared" si="15"/>
        <v>8753.0158075758263</v>
      </c>
      <c r="R31" s="77">
        <f t="shared" si="2"/>
        <v>-3115.6190494571129</v>
      </c>
      <c r="S31" s="63">
        <f t="shared" si="16"/>
        <v>-1300.8130081300812</v>
      </c>
      <c r="T31" s="63"/>
      <c r="U31" s="63">
        <f t="shared" si="17"/>
        <v>-437.65079037879133</v>
      </c>
      <c r="V31" s="77">
        <f t="shared" si="20"/>
        <v>-191.05691056910572</v>
      </c>
      <c r="W31" s="83">
        <f t="shared" si="4"/>
        <v>3707.8760490407349</v>
      </c>
      <c r="X31" s="85">
        <f t="shared" si="18"/>
        <v>91087.145128457385</v>
      </c>
      <c r="Z31" s="92">
        <f t="shared" si="19"/>
        <v>91707.317073170736</v>
      </c>
      <c r="AA31" s="5">
        <f t="shared" si="5"/>
        <v>0</v>
      </c>
      <c r="AB31" s="92">
        <f t="shared" si="6"/>
        <v>91707.317073170736</v>
      </c>
      <c r="AD31" s="133">
        <f t="shared" si="7"/>
        <v>-32520.325203252021</v>
      </c>
      <c r="AE31" s="3">
        <f t="shared" si="8"/>
        <v>1</v>
      </c>
    </row>
    <row r="32" spans="1:31" x14ac:dyDescent="0.45">
      <c r="A32" s="4">
        <f t="shared" si="23"/>
        <v>6</v>
      </c>
      <c r="B32" s="5" t="s">
        <v>26</v>
      </c>
      <c r="C32" s="335">
        <f>+'Summary Equip'!AI14</f>
        <v>0.15</v>
      </c>
      <c r="D32" s="63">
        <f>D27*C32</f>
        <v>23414.634146341461</v>
      </c>
      <c r="E32" s="334">
        <f>+ASSUMPTIONS!B44</f>
        <v>0.05</v>
      </c>
      <c r="F32" s="63">
        <f t="shared" si="22"/>
        <v>1170.7317073170732</v>
      </c>
      <c r="G32" s="65">
        <f>D32</f>
        <v>23414.634146341461</v>
      </c>
      <c r="H32" s="11"/>
      <c r="I32" s="14">
        <f t="shared" si="10"/>
        <v>26</v>
      </c>
      <c r="J32" s="63">
        <f t="shared" si="11"/>
        <v>100831.82623047006</v>
      </c>
      <c r="K32" s="63">
        <f t="shared" si="1"/>
        <v>445.37714413180549</v>
      </c>
      <c r="L32" s="63">
        <f t="shared" si="12"/>
        <v>-3115.6190494571129</v>
      </c>
      <c r="M32" s="65">
        <f t="shared" si="0"/>
        <v>98161.584325144766</v>
      </c>
      <c r="O32" s="14">
        <f t="shared" si="13"/>
        <v>26</v>
      </c>
      <c r="P32" s="54">
        <f t="shared" si="14"/>
        <v>13523.25</v>
      </c>
      <c r="Q32" s="63">
        <f t="shared" si="15"/>
        <v>8753.0158075758263</v>
      </c>
      <c r="R32" s="77">
        <f t="shared" si="2"/>
        <v>-3115.6190494571129</v>
      </c>
      <c r="S32" s="63">
        <f t="shared" si="16"/>
        <v>-1300.8130081300812</v>
      </c>
      <c r="T32" s="63"/>
      <c r="U32" s="63">
        <f t="shared" si="17"/>
        <v>-437.65079037879133</v>
      </c>
      <c r="V32" s="77">
        <f t="shared" si="20"/>
        <v>-185.69105691056913</v>
      </c>
      <c r="W32" s="83">
        <f t="shared" si="4"/>
        <v>3713.2419026992716</v>
      </c>
      <c r="X32" s="85">
        <f t="shared" si="18"/>
        <v>94800.387031156657</v>
      </c>
      <c r="Z32" s="92">
        <f t="shared" si="19"/>
        <v>89131.707317073175</v>
      </c>
      <c r="AA32" s="5">
        <f t="shared" si="5"/>
        <v>0</v>
      </c>
      <c r="AB32" s="92">
        <f t="shared" si="6"/>
        <v>89131.707317073175</v>
      </c>
      <c r="AD32" s="133">
        <f t="shared" si="7"/>
        <v>-33821.138211382102</v>
      </c>
      <c r="AE32" s="3">
        <f t="shared" si="8"/>
        <v>1</v>
      </c>
    </row>
    <row r="33" spans="1:31" ht="14.65" thickBot="1" x14ac:dyDescent="0.5">
      <c r="A33" s="6">
        <f t="shared" si="23"/>
        <v>7</v>
      </c>
      <c r="B33" s="7" t="s">
        <v>32</v>
      </c>
      <c r="C33" s="336">
        <f>+'Summary Equip'!AJ14</f>
        <v>0.03</v>
      </c>
      <c r="D33" s="64">
        <f>D27*C33</f>
        <v>4682.9268292682927</v>
      </c>
      <c r="E33" s="334">
        <f>+ASSUMPTIONS!B45</f>
        <v>0</v>
      </c>
      <c r="F33" s="64">
        <f t="shared" si="22"/>
        <v>0</v>
      </c>
      <c r="G33" s="66">
        <f>D33</f>
        <v>4682.9268292682927</v>
      </c>
      <c r="H33" s="11"/>
      <c r="I33" s="14">
        <f t="shared" si="10"/>
        <v>27</v>
      </c>
      <c r="J33" s="63">
        <f t="shared" si="11"/>
        <v>98161.584325144766</v>
      </c>
      <c r="K33" s="63">
        <f t="shared" si="1"/>
        <v>433.58260704570171</v>
      </c>
      <c r="L33" s="63">
        <f t="shared" si="12"/>
        <v>-3115.6190494571129</v>
      </c>
      <c r="M33" s="65">
        <f t="shared" si="0"/>
        <v>95479.547882733343</v>
      </c>
      <c r="O33" s="14">
        <f t="shared" si="13"/>
        <v>27</v>
      </c>
      <c r="P33" s="54">
        <f t="shared" si="14"/>
        <v>14043.375</v>
      </c>
      <c r="Q33" s="63">
        <f t="shared" si="15"/>
        <v>8753.0158075758263</v>
      </c>
      <c r="R33" s="77">
        <f t="shared" si="2"/>
        <v>-3115.6190494571129</v>
      </c>
      <c r="S33" s="63">
        <f t="shared" si="16"/>
        <v>-1300.8130081300812</v>
      </c>
      <c r="T33" s="63"/>
      <c r="U33" s="63">
        <f t="shared" si="17"/>
        <v>-437.65079037879133</v>
      </c>
      <c r="V33" s="77">
        <f t="shared" si="20"/>
        <v>-180.32520325203254</v>
      </c>
      <c r="W33" s="83">
        <f t="shared" si="4"/>
        <v>3718.6077563578078</v>
      </c>
      <c r="X33" s="85">
        <f t="shared" si="18"/>
        <v>98518.994787514472</v>
      </c>
      <c r="Z33" s="92">
        <f t="shared" si="19"/>
        <v>86556.097560975613</v>
      </c>
      <c r="AA33" s="5">
        <f t="shared" si="5"/>
        <v>0</v>
      </c>
      <c r="AB33" s="92">
        <f t="shared" si="6"/>
        <v>86556.097560975613</v>
      </c>
      <c r="AD33" s="133">
        <f t="shared" si="7"/>
        <v>-35121.951219512186</v>
      </c>
      <c r="AE33" s="3">
        <f t="shared" si="8"/>
        <v>1</v>
      </c>
    </row>
    <row r="34" spans="1:31" ht="14.65" thickBot="1" x14ac:dyDescent="0.5">
      <c r="A34" s="33">
        <f t="shared" si="23"/>
        <v>8</v>
      </c>
      <c r="B34" s="30" t="s">
        <v>8</v>
      </c>
      <c r="C34" s="45"/>
      <c r="D34" s="46"/>
      <c r="E34" s="47"/>
      <c r="F34" s="67">
        <f>SUM(F27:F33)</f>
        <v>163889.574343274</v>
      </c>
      <c r="G34" s="68">
        <f>SUM(G27:G33)</f>
        <v>137053.65853658537</v>
      </c>
      <c r="H34" s="11"/>
      <c r="I34" s="14">
        <f t="shared" si="10"/>
        <v>28</v>
      </c>
      <c r="J34" s="63">
        <f t="shared" si="11"/>
        <v>95479.547882733343</v>
      </c>
      <c r="K34" s="63">
        <f t="shared" si="1"/>
        <v>421.73597314215289</v>
      </c>
      <c r="L34" s="63">
        <f t="shared" si="12"/>
        <v>-3115.6190494571129</v>
      </c>
      <c r="M34" s="65">
        <f t="shared" si="0"/>
        <v>92785.664806418383</v>
      </c>
      <c r="O34" s="14">
        <f t="shared" si="13"/>
        <v>28</v>
      </c>
      <c r="P34" s="54">
        <f t="shared" si="14"/>
        <v>14563.5</v>
      </c>
      <c r="Q34" s="63">
        <f t="shared" si="15"/>
        <v>8753.0158075758263</v>
      </c>
      <c r="R34" s="77">
        <f t="shared" si="2"/>
        <v>-3115.6190494571129</v>
      </c>
      <c r="S34" s="63">
        <f t="shared" si="16"/>
        <v>-1300.8130081300812</v>
      </c>
      <c r="T34" s="63"/>
      <c r="U34" s="63">
        <f t="shared" si="17"/>
        <v>-437.65079037879133</v>
      </c>
      <c r="V34" s="77">
        <f t="shared" si="20"/>
        <v>-174.95934959349594</v>
      </c>
      <c r="W34" s="83">
        <f t="shared" si="4"/>
        <v>3723.9736100163445</v>
      </c>
      <c r="X34" s="85">
        <f t="shared" si="18"/>
        <v>102242.96839753081</v>
      </c>
      <c r="Z34" s="92">
        <f t="shared" si="19"/>
        <v>83980.487804878052</v>
      </c>
      <c r="AA34" s="5">
        <f t="shared" si="5"/>
        <v>0</v>
      </c>
      <c r="AB34" s="92">
        <f t="shared" si="6"/>
        <v>83980.487804878052</v>
      </c>
      <c r="AD34" s="133">
        <f t="shared" si="7"/>
        <v>-36422.76422764227</v>
      </c>
      <c r="AE34" s="3">
        <f t="shared" si="8"/>
        <v>1</v>
      </c>
    </row>
    <row r="35" spans="1:31" ht="14.65" thickBot="1" x14ac:dyDescent="0.5">
      <c r="A35" s="31">
        <f>A34+1</f>
        <v>9</v>
      </c>
      <c r="B35" s="32" t="s">
        <v>7</v>
      </c>
      <c r="C35" s="42">
        <f>+C10</f>
        <v>0.05</v>
      </c>
      <c r="D35" s="22"/>
      <c r="E35" s="34"/>
      <c r="F35" s="69">
        <f>F36-F34</f>
        <v>8625.7670706986391</v>
      </c>
      <c r="G35" s="70">
        <f>G36-G34</f>
        <v>7213.3504492939683</v>
      </c>
      <c r="H35" s="11"/>
      <c r="I35" s="14">
        <f t="shared" si="10"/>
        <v>29</v>
      </c>
      <c r="J35" s="63">
        <f t="shared" si="11"/>
        <v>92785.664806418383</v>
      </c>
      <c r="K35" s="63">
        <f t="shared" si="1"/>
        <v>409.83701230798334</v>
      </c>
      <c r="L35" s="63">
        <f t="shared" si="12"/>
        <v>-3115.6190494571129</v>
      </c>
      <c r="M35" s="65">
        <f t="shared" si="0"/>
        <v>90079.882769269258</v>
      </c>
      <c r="O35" s="14">
        <f t="shared" si="13"/>
        <v>29</v>
      </c>
      <c r="P35" s="54">
        <f t="shared" si="14"/>
        <v>15083.625</v>
      </c>
      <c r="Q35" s="63">
        <f t="shared" si="15"/>
        <v>8753.0158075758263</v>
      </c>
      <c r="R35" s="77">
        <f t="shared" si="2"/>
        <v>-3115.6190494571129</v>
      </c>
      <c r="S35" s="63">
        <f t="shared" si="16"/>
        <v>-1300.8130081300812</v>
      </c>
      <c r="T35" s="63"/>
      <c r="U35" s="63">
        <f t="shared" si="17"/>
        <v>-437.65079037879133</v>
      </c>
      <c r="V35" s="77">
        <f t="shared" si="20"/>
        <v>-169.59349593495935</v>
      </c>
      <c r="W35" s="83">
        <f t="shared" si="4"/>
        <v>3729.3394636748812</v>
      </c>
      <c r="X35" s="85">
        <f t="shared" si="18"/>
        <v>105972.3078612057</v>
      </c>
      <c r="Z35" s="92">
        <f t="shared" si="19"/>
        <v>81404.878048780491</v>
      </c>
      <c r="AA35" s="5">
        <f t="shared" si="5"/>
        <v>0</v>
      </c>
      <c r="AB35" s="92">
        <f t="shared" si="6"/>
        <v>81404.878048780491</v>
      </c>
      <c r="AD35" s="133">
        <f t="shared" si="7"/>
        <v>-37723.577235772354</v>
      </c>
      <c r="AE35" s="3">
        <f t="shared" si="8"/>
        <v>1</v>
      </c>
    </row>
    <row r="36" spans="1:31" ht="14.65" thickBot="1" x14ac:dyDescent="0.5">
      <c r="A36" s="37">
        <f>A35+1</f>
        <v>10</v>
      </c>
      <c r="B36" s="38" t="s">
        <v>28</v>
      </c>
      <c r="C36" s="39"/>
      <c r="D36" s="40"/>
      <c r="E36" s="41"/>
      <c r="F36" s="71">
        <f>F34/(100%-C35)</f>
        <v>172515.34141397264</v>
      </c>
      <c r="G36" s="72">
        <f>G34/(100%-C35)</f>
        <v>144267.00898587934</v>
      </c>
      <c r="H36" s="11"/>
      <c r="I36" s="14">
        <f t="shared" si="10"/>
        <v>30</v>
      </c>
      <c r="J36" s="63">
        <f t="shared" si="11"/>
        <v>90079.882769269258</v>
      </c>
      <c r="K36" s="63">
        <f t="shared" si="1"/>
        <v>397.88549341360016</v>
      </c>
      <c r="L36" s="63">
        <f t="shared" si="12"/>
        <v>-3115.6190494571129</v>
      </c>
      <c r="M36" s="65">
        <f t="shared" si="0"/>
        <v>87362.149213225755</v>
      </c>
      <c r="O36" s="14">
        <f t="shared" si="13"/>
        <v>30</v>
      </c>
      <c r="P36" s="54">
        <f t="shared" si="14"/>
        <v>15603.75</v>
      </c>
      <c r="Q36" s="63">
        <f t="shared" si="15"/>
        <v>8753.0158075758263</v>
      </c>
      <c r="R36" s="77">
        <f t="shared" si="2"/>
        <v>-3115.6190494571129</v>
      </c>
      <c r="S36" s="63">
        <f t="shared" si="16"/>
        <v>-1300.8130081300812</v>
      </c>
      <c r="T36" s="63">
        <f>-T68*0.5</f>
        <v>-11707.317073170731</v>
      </c>
      <c r="U36" s="63">
        <f t="shared" si="17"/>
        <v>-437.65079037879133</v>
      </c>
      <c r="V36" s="77">
        <f t="shared" si="20"/>
        <v>-164.22764227642278</v>
      </c>
      <c r="W36" s="83">
        <f t="shared" si="4"/>
        <v>-7972.6117558373126</v>
      </c>
      <c r="X36" s="85">
        <f t="shared" si="18"/>
        <v>97999.696105368392</v>
      </c>
      <c r="Z36" s="92">
        <f t="shared" si="19"/>
        <v>78829.268292682929</v>
      </c>
      <c r="AA36" s="5">
        <f t="shared" si="5"/>
        <v>0</v>
      </c>
      <c r="AB36" s="92">
        <f t="shared" si="6"/>
        <v>78829.268292682929</v>
      </c>
      <c r="AD36" s="133">
        <f t="shared" si="7"/>
        <v>-39024.390243902439</v>
      </c>
      <c r="AE36" s="3">
        <f t="shared" si="8"/>
        <v>1</v>
      </c>
    </row>
    <row r="37" spans="1:31" x14ac:dyDescent="0.45">
      <c r="C37" s="11"/>
      <c r="D37" s="11"/>
      <c r="E37" s="11"/>
      <c r="F37" s="11"/>
      <c r="G37" s="11"/>
      <c r="H37" s="11"/>
      <c r="I37" s="14">
        <f t="shared" si="10"/>
        <v>31</v>
      </c>
      <c r="J37" s="63">
        <f t="shared" si="11"/>
        <v>87362.149213225755</v>
      </c>
      <c r="K37" s="63">
        <f t="shared" si="1"/>
        <v>385.88118430850483</v>
      </c>
      <c r="L37" s="63">
        <f t="shared" si="12"/>
        <v>-3115.6190494571129</v>
      </c>
      <c r="M37" s="65">
        <f t="shared" si="0"/>
        <v>84632.411348077148</v>
      </c>
      <c r="O37" s="14">
        <f t="shared" si="13"/>
        <v>31</v>
      </c>
      <c r="P37" s="54">
        <f t="shared" si="14"/>
        <v>16123.875</v>
      </c>
      <c r="Q37" s="63">
        <f t="shared" si="15"/>
        <v>8753.0158075758263</v>
      </c>
      <c r="R37" s="77">
        <f t="shared" si="2"/>
        <v>-3115.6190494571129</v>
      </c>
      <c r="S37" s="63">
        <f t="shared" si="16"/>
        <v>-1300.8130081300812</v>
      </c>
      <c r="T37" s="63"/>
      <c r="U37" s="63">
        <f t="shared" si="17"/>
        <v>-437.65079037879133</v>
      </c>
      <c r="V37" s="77">
        <f t="shared" si="20"/>
        <v>-158.86178861788619</v>
      </c>
      <c r="W37" s="83">
        <f t="shared" si="4"/>
        <v>3740.0711709919542</v>
      </c>
      <c r="X37" s="85">
        <f t="shared" si="18"/>
        <v>101739.76727636035</v>
      </c>
      <c r="Z37" s="92">
        <f t="shared" si="19"/>
        <v>76253.658536585368</v>
      </c>
      <c r="AA37" s="5">
        <f t="shared" si="5"/>
        <v>0</v>
      </c>
      <c r="AB37" s="92">
        <f t="shared" si="6"/>
        <v>76253.658536585368</v>
      </c>
      <c r="AD37" s="133">
        <f t="shared" si="7"/>
        <v>-40325.203252032523</v>
      </c>
      <c r="AE37" s="3">
        <f t="shared" si="8"/>
        <v>1</v>
      </c>
    </row>
    <row r="38" spans="1:31" x14ac:dyDescent="0.45">
      <c r="C38" s="11"/>
      <c r="D38" s="11"/>
      <c r="E38" s="11"/>
      <c r="F38" s="11"/>
      <c r="G38" s="11"/>
      <c r="H38" s="11"/>
      <c r="I38" s="14">
        <f t="shared" si="10"/>
        <v>32</v>
      </c>
      <c r="J38" s="63">
        <f t="shared" si="11"/>
        <v>84632.411348077148</v>
      </c>
      <c r="K38" s="63">
        <f t="shared" si="1"/>
        <v>373.82385181678256</v>
      </c>
      <c r="L38" s="63">
        <f t="shared" si="12"/>
        <v>-3115.6190494571129</v>
      </c>
      <c r="M38" s="65">
        <f t="shared" si="0"/>
        <v>81890.616150436806</v>
      </c>
      <c r="O38" s="14">
        <f t="shared" si="13"/>
        <v>32</v>
      </c>
      <c r="P38" s="54">
        <f t="shared" si="14"/>
        <v>16644</v>
      </c>
      <c r="Q38" s="63">
        <f t="shared" si="15"/>
        <v>8753.0158075758263</v>
      </c>
      <c r="R38" s="77">
        <f t="shared" si="2"/>
        <v>-3115.6190494571129</v>
      </c>
      <c r="S38" s="63">
        <f t="shared" si="16"/>
        <v>-1300.8130081300812</v>
      </c>
      <c r="T38" s="63"/>
      <c r="U38" s="63">
        <f t="shared" si="17"/>
        <v>-437.65079037879133</v>
      </c>
      <c r="V38" s="77">
        <f t="shared" si="20"/>
        <v>-153.4959349593496</v>
      </c>
      <c r="W38" s="83">
        <f t="shared" si="4"/>
        <v>3745.4370246504909</v>
      </c>
      <c r="X38" s="85">
        <f t="shared" si="18"/>
        <v>105485.20430101083</v>
      </c>
      <c r="Z38" s="92">
        <f t="shared" si="19"/>
        <v>73678.048780487807</v>
      </c>
      <c r="AA38" s="5">
        <f t="shared" si="5"/>
        <v>0</v>
      </c>
      <c r="AB38" s="92">
        <f t="shared" si="6"/>
        <v>73678.048780487807</v>
      </c>
      <c r="AD38" s="133">
        <f t="shared" si="7"/>
        <v>-41626.016260162607</v>
      </c>
      <c r="AE38" s="3">
        <f t="shared" si="8"/>
        <v>1</v>
      </c>
    </row>
    <row r="39" spans="1:31" x14ac:dyDescent="0.45">
      <c r="C39" s="11"/>
      <c r="D39" s="11"/>
      <c r="E39" s="11"/>
      <c r="F39" s="11"/>
      <c r="G39" s="11"/>
      <c r="H39" s="11"/>
      <c r="I39" s="14">
        <f t="shared" si="10"/>
        <v>33</v>
      </c>
      <c r="J39" s="63">
        <f t="shared" si="11"/>
        <v>81890.616150436806</v>
      </c>
      <c r="K39" s="63">
        <f t="shared" si="1"/>
        <v>361.71326173257415</v>
      </c>
      <c r="L39" s="63">
        <f t="shared" si="12"/>
        <v>-3115.6190494571129</v>
      </c>
      <c r="M39" s="65">
        <f t="shared" si="0"/>
        <v>79136.710362712271</v>
      </c>
      <c r="O39" s="14">
        <f t="shared" si="13"/>
        <v>33</v>
      </c>
      <c r="P39" s="54">
        <f t="shared" si="14"/>
        <v>17164.125</v>
      </c>
      <c r="Q39" s="63">
        <f t="shared" si="15"/>
        <v>8753.0158075758263</v>
      </c>
      <c r="R39" s="77">
        <f t="shared" si="2"/>
        <v>-3115.6190494571129</v>
      </c>
      <c r="S39" s="63">
        <f t="shared" si="16"/>
        <v>-1300.8130081300812</v>
      </c>
      <c r="T39" s="63"/>
      <c r="U39" s="63">
        <f t="shared" si="17"/>
        <v>-437.65079037879133</v>
      </c>
      <c r="V39" s="77">
        <f t="shared" si="20"/>
        <v>-148.13008130081303</v>
      </c>
      <c r="W39" s="83">
        <f t="shared" si="4"/>
        <v>3750.8028783090276</v>
      </c>
      <c r="X39" s="85">
        <f t="shared" si="18"/>
        <v>109236.00717931986</v>
      </c>
      <c r="Z39" s="92">
        <f t="shared" si="19"/>
        <v>71102.43902439026</v>
      </c>
      <c r="AA39" s="5">
        <f t="shared" si="5"/>
        <v>0</v>
      </c>
      <c r="AB39" s="92">
        <f t="shared" si="6"/>
        <v>71102.43902439026</v>
      </c>
      <c r="AD39" s="133">
        <f t="shared" si="7"/>
        <v>-42926.829268292691</v>
      </c>
      <c r="AE39" s="3">
        <f t="shared" si="8"/>
        <v>1</v>
      </c>
    </row>
    <row r="40" spans="1:31" ht="14.65" thickBot="1" x14ac:dyDescent="0.5">
      <c r="C40" s="11"/>
      <c r="D40" s="11"/>
      <c r="E40" s="11"/>
      <c r="F40" s="11"/>
      <c r="G40" s="11"/>
      <c r="H40" s="11"/>
      <c r="I40" s="14">
        <f t="shared" si="10"/>
        <v>34</v>
      </c>
      <c r="J40" s="63">
        <f t="shared" si="11"/>
        <v>79136.710362712271</v>
      </c>
      <c r="K40" s="63">
        <f t="shared" si="1"/>
        <v>349.54917881552626</v>
      </c>
      <c r="L40" s="63">
        <f t="shared" si="12"/>
        <v>-3115.6190494571129</v>
      </c>
      <c r="M40" s="65">
        <f t="shared" si="0"/>
        <v>76370.64049207067</v>
      </c>
      <c r="O40" s="14">
        <f t="shared" si="13"/>
        <v>34</v>
      </c>
      <c r="P40" s="54">
        <f t="shared" si="14"/>
        <v>17684.25</v>
      </c>
      <c r="Q40" s="63">
        <f t="shared" si="15"/>
        <v>8753.0158075758263</v>
      </c>
      <c r="R40" s="77">
        <f t="shared" si="2"/>
        <v>-3115.6190494571129</v>
      </c>
      <c r="S40" s="63">
        <f t="shared" si="16"/>
        <v>-1300.8130081300812</v>
      </c>
      <c r="T40" s="63"/>
      <c r="U40" s="63">
        <f t="shared" si="17"/>
        <v>-437.65079037879133</v>
      </c>
      <c r="V40" s="77">
        <f t="shared" si="20"/>
        <v>-142.76422764227644</v>
      </c>
      <c r="W40" s="83">
        <f t="shared" si="4"/>
        <v>3756.1687319675639</v>
      </c>
      <c r="X40" s="85">
        <f t="shared" si="18"/>
        <v>112992.17591128743</v>
      </c>
      <c r="Z40" s="92">
        <f t="shared" si="19"/>
        <v>68526.829268292684</v>
      </c>
      <c r="AA40" s="5">
        <f t="shared" si="5"/>
        <v>0</v>
      </c>
      <c r="AB40" s="92">
        <f t="shared" si="6"/>
        <v>68526.829268292684</v>
      </c>
      <c r="AD40" s="133">
        <f t="shared" si="7"/>
        <v>-44227.642276422775</v>
      </c>
      <c r="AE40" s="3">
        <f t="shared" si="8"/>
        <v>1</v>
      </c>
    </row>
    <row r="41" spans="1:31" ht="32.25" customHeight="1" thickBot="1" x14ac:dyDescent="0.5">
      <c r="A41" s="667" t="s">
        <v>29</v>
      </c>
      <c r="B41" s="668"/>
      <c r="C41" s="668"/>
      <c r="D41" s="668"/>
      <c r="E41" s="668"/>
      <c r="F41" s="668"/>
      <c r="G41" s="669"/>
      <c r="H41" s="11"/>
      <c r="I41" s="14">
        <f t="shared" si="10"/>
        <v>35</v>
      </c>
      <c r="J41" s="63">
        <f t="shared" si="11"/>
        <v>76370.64049207067</v>
      </c>
      <c r="K41" s="63">
        <f t="shared" si="1"/>
        <v>337.33136678622168</v>
      </c>
      <c r="L41" s="63">
        <f t="shared" si="12"/>
        <v>-3115.6190494571129</v>
      </c>
      <c r="M41" s="65">
        <f t="shared" si="0"/>
        <v>73592.352809399774</v>
      </c>
      <c r="O41" s="14">
        <f t="shared" si="13"/>
        <v>35</v>
      </c>
      <c r="P41" s="54">
        <f t="shared" si="14"/>
        <v>18204.375</v>
      </c>
      <c r="Q41" s="63">
        <f t="shared" si="15"/>
        <v>8753.0158075758263</v>
      </c>
      <c r="R41" s="77">
        <f t="shared" si="2"/>
        <v>-3115.6190494571129</v>
      </c>
      <c r="S41" s="63">
        <f t="shared" si="16"/>
        <v>-1300.8130081300812</v>
      </c>
      <c r="T41" s="63"/>
      <c r="U41" s="63">
        <f t="shared" si="17"/>
        <v>-437.65079037879133</v>
      </c>
      <c r="V41" s="77">
        <f t="shared" si="20"/>
        <v>-137.39837398373984</v>
      </c>
      <c r="W41" s="83">
        <f t="shared" si="4"/>
        <v>3761.5345856261006</v>
      </c>
      <c r="X41" s="85">
        <f t="shared" si="18"/>
        <v>116753.71049691353</v>
      </c>
      <c r="Z41" s="92">
        <f t="shared" si="19"/>
        <v>65951.219512195123</v>
      </c>
      <c r="AA41" s="5">
        <f t="shared" si="5"/>
        <v>0</v>
      </c>
      <c r="AB41" s="92">
        <f t="shared" si="6"/>
        <v>65951.219512195123</v>
      </c>
      <c r="AD41" s="133">
        <f t="shared" si="7"/>
        <v>-45528.45528455286</v>
      </c>
      <c r="AE41" s="3">
        <f t="shared" si="8"/>
        <v>1</v>
      </c>
    </row>
    <row r="42" spans="1:31" ht="19.5" customHeight="1" x14ac:dyDescent="0.45">
      <c r="A42" s="35">
        <v>1</v>
      </c>
      <c r="B42" s="670" t="s">
        <v>30</v>
      </c>
      <c r="C42" s="671"/>
      <c r="D42" s="671"/>
      <c r="E42" s="672"/>
      <c r="F42" s="73">
        <f>F36/C12/C14</f>
        <v>3194.7285447031973</v>
      </c>
      <c r="G42" s="74">
        <f>G36/C13/C14</f>
        <v>10.686445110065135</v>
      </c>
      <c r="H42" s="11"/>
      <c r="I42" s="20">
        <f t="shared" si="10"/>
        <v>36</v>
      </c>
      <c r="J42" s="63">
        <f t="shared" si="11"/>
        <v>73592.352809399774</v>
      </c>
      <c r="K42" s="79">
        <f t="shared" si="1"/>
        <v>325.0595883215903</v>
      </c>
      <c r="L42" s="63">
        <f t="shared" si="12"/>
        <v>-3115.6190494571129</v>
      </c>
      <c r="M42" s="80">
        <f t="shared" si="0"/>
        <v>70801.79334826424</v>
      </c>
      <c r="O42" s="20">
        <f t="shared" si="13"/>
        <v>36</v>
      </c>
      <c r="P42" s="54">
        <f t="shared" si="14"/>
        <v>18724.5</v>
      </c>
      <c r="Q42" s="63">
        <f t="shared" si="15"/>
        <v>8753.0158075758263</v>
      </c>
      <c r="R42" s="77">
        <f t="shared" si="2"/>
        <v>-3115.6190494571129</v>
      </c>
      <c r="S42" s="63">
        <f t="shared" si="16"/>
        <v>-1300.8130081300812</v>
      </c>
      <c r="T42" s="63"/>
      <c r="U42" s="63">
        <f t="shared" si="17"/>
        <v>-437.65079037879133</v>
      </c>
      <c r="V42" s="77">
        <f t="shared" si="20"/>
        <v>-132.03252032520325</v>
      </c>
      <c r="W42" s="83">
        <f t="shared" si="4"/>
        <v>3766.9004392846373</v>
      </c>
      <c r="X42" s="85">
        <f t="shared" si="18"/>
        <v>120520.61093619817</v>
      </c>
      <c r="Z42" s="92">
        <f t="shared" si="19"/>
        <v>63375.609756097561</v>
      </c>
      <c r="AA42" s="5">
        <f t="shared" si="5"/>
        <v>0</v>
      </c>
      <c r="AB42" s="92">
        <f t="shared" si="6"/>
        <v>63375.609756097561</v>
      </c>
      <c r="AD42" s="133">
        <f t="shared" si="7"/>
        <v>-46829.268292682944</v>
      </c>
      <c r="AE42" s="3">
        <f t="shared" si="8"/>
        <v>1</v>
      </c>
    </row>
    <row r="43" spans="1:31" ht="19.5" customHeight="1" thickBot="1" x14ac:dyDescent="0.5">
      <c r="A43" s="36">
        <f>A42+1</f>
        <v>2</v>
      </c>
      <c r="B43" s="673" t="s">
        <v>31</v>
      </c>
      <c r="C43" s="674"/>
      <c r="D43" s="674"/>
      <c r="E43" s="675"/>
      <c r="F43" s="75"/>
      <c r="G43" s="76">
        <f>+(F42*C12+D13*G42)/D13</f>
        <v>24.88523864207934</v>
      </c>
      <c r="H43" s="11"/>
      <c r="I43" s="20">
        <f t="shared" si="10"/>
        <v>37</v>
      </c>
      <c r="J43" s="63">
        <f t="shared" si="11"/>
        <v>70801.79334826424</v>
      </c>
      <c r="K43" s="79">
        <f t="shared" si="1"/>
        <v>312.73360505029888</v>
      </c>
      <c r="L43" s="63">
        <f t="shared" si="12"/>
        <v>-3115.6190494571129</v>
      </c>
      <c r="M43" s="80">
        <f t="shared" si="0"/>
        <v>67998.907903857413</v>
      </c>
      <c r="O43" s="20">
        <f t="shared" si="13"/>
        <v>37</v>
      </c>
      <c r="P43" s="54">
        <f t="shared" si="14"/>
        <v>19244.625</v>
      </c>
      <c r="Q43" s="63">
        <f t="shared" si="15"/>
        <v>8753.0158075758263</v>
      </c>
      <c r="R43" s="77">
        <f t="shared" si="2"/>
        <v>-3115.6190494571129</v>
      </c>
      <c r="S43" s="63">
        <f t="shared" si="16"/>
        <v>-1300.8130081300812</v>
      </c>
      <c r="T43" s="63"/>
      <c r="U43" s="63">
        <f t="shared" si="17"/>
        <v>-437.65079037879133</v>
      </c>
      <c r="V43" s="77">
        <f t="shared" si="20"/>
        <v>-126.66666666666667</v>
      </c>
      <c r="W43" s="83">
        <f t="shared" si="4"/>
        <v>3772.266292943174</v>
      </c>
      <c r="X43" s="85">
        <f t="shared" si="18"/>
        <v>124292.87722914133</v>
      </c>
      <c r="Z43" s="92">
        <f t="shared" si="19"/>
        <v>60800</v>
      </c>
      <c r="AA43" s="5">
        <f t="shared" si="5"/>
        <v>0</v>
      </c>
      <c r="AB43" s="92">
        <f t="shared" si="6"/>
        <v>60800</v>
      </c>
      <c r="AD43" s="133">
        <f t="shared" si="7"/>
        <v>-48130.081300813028</v>
      </c>
      <c r="AE43" s="3">
        <f t="shared" si="8"/>
        <v>1</v>
      </c>
    </row>
    <row r="44" spans="1:31" x14ac:dyDescent="0.45">
      <c r="I44" s="20">
        <f t="shared" si="10"/>
        <v>38</v>
      </c>
      <c r="J44" s="63">
        <f t="shared" si="11"/>
        <v>67998.907903857413</v>
      </c>
      <c r="K44" s="79">
        <f t="shared" si="1"/>
        <v>300.35317754812115</v>
      </c>
      <c r="L44" s="63">
        <f t="shared" si="12"/>
        <v>-3115.6190494571129</v>
      </c>
      <c r="M44" s="80">
        <f t="shared" si="0"/>
        <v>65183.642031948424</v>
      </c>
      <c r="O44" s="20">
        <f t="shared" si="13"/>
        <v>38</v>
      </c>
      <c r="P44" s="54">
        <f t="shared" si="14"/>
        <v>19764.75</v>
      </c>
      <c r="Q44" s="63">
        <f t="shared" si="15"/>
        <v>8753.0158075758263</v>
      </c>
      <c r="R44" s="77">
        <f t="shared" si="2"/>
        <v>-3115.6190494571129</v>
      </c>
      <c r="S44" s="63">
        <f t="shared" si="16"/>
        <v>-1300.8130081300812</v>
      </c>
      <c r="T44" s="63"/>
      <c r="U44" s="63">
        <f t="shared" si="17"/>
        <v>-437.65079037879133</v>
      </c>
      <c r="V44" s="77">
        <f t="shared" si="20"/>
        <v>-121.30081300813011</v>
      </c>
      <c r="W44" s="83">
        <f t="shared" si="4"/>
        <v>3777.6321466017102</v>
      </c>
      <c r="X44" s="85">
        <f t="shared" si="18"/>
        <v>128070.50937574304</v>
      </c>
      <c r="Z44" s="92">
        <f t="shared" si="19"/>
        <v>58224.390243902453</v>
      </c>
      <c r="AA44" s="5">
        <f t="shared" si="5"/>
        <v>0</v>
      </c>
      <c r="AB44" s="92">
        <f t="shared" si="6"/>
        <v>58224.390243902453</v>
      </c>
      <c r="AD44" s="133">
        <f t="shared" si="7"/>
        <v>-49430.894308943112</v>
      </c>
      <c r="AE44" s="3">
        <f t="shared" si="8"/>
        <v>1</v>
      </c>
    </row>
    <row r="45" spans="1:31" x14ac:dyDescent="0.45">
      <c r="I45" s="20">
        <f t="shared" si="10"/>
        <v>39</v>
      </c>
      <c r="J45" s="63">
        <f t="shared" si="11"/>
        <v>65183.642031948424</v>
      </c>
      <c r="K45" s="79">
        <f t="shared" si="1"/>
        <v>287.91806533328685</v>
      </c>
      <c r="L45" s="63">
        <f t="shared" si="12"/>
        <v>-3115.6190494571129</v>
      </c>
      <c r="M45" s="80">
        <f t="shared" si="0"/>
        <v>62355.941047824599</v>
      </c>
      <c r="O45" s="20">
        <f t="shared" si="13"/>
        <v>39</v>
      </c>
      <c r="P45" s="54">
        <f t="shared" si="14"/>
        <v>20284.875</v>
      </c>
      <c r="Q45" s="63">
        <f t="shared" si="15"/>
        <v>8753.0158075758263</v>
      </c>
      <c r="R45" s="77">
        <f t="shared" si="2"/>
        <v>-3115.6190494571129</v>
      </c>
      <c r="S45" s="63">
        <f t="shared" si="16"/>
        <v>-1300.8130081300812</v>
      </c>
      <c r="T45" s="63"/>
      <c r="U45" s="63">
        <f t="shared" si="17"/>
        <v>-437.65079037879133</v>
      </c>
      <c r="V45" s="77">
        <f t="shared" si="20"/>
        <v>-115.9349593495935</v>
      </c>
      <c r="W45" s="83">
        <f t="shared" si="4"/>
        <v>3782.998000260247</v>
      </c>
      <c r="X45" s="85">
        <f t="shared" si="18"/>
        <v>131853.50737600328</v>
      </c>
      <c r="Z45" s="92">
        <f t="shared" si="19"/>
        <v>55648.780487804877</v>
      </c>
      <c r="AA45" s="5">
        <f t="shared" si="5"/>
        <v>0</v>
      </c>
      <c r="AB45" s="92">
        <f t="shared" si="6"/>
        <v>55648.780487804877</v>
      </c>
      <c r="AD45" s="133">
        <f t="shared" si="7"/>
        <v>-50731.707317073196</v>
      </c>
      <c r="AE45" s="3">
        <f t="shared" si="8"/>
        <v>1</v>
      </c>
    </row>
    <row r="46" spans="1:31" x14ac:dyDescent="0.45">
      <c r="I46" s="20">
        <f t="shared" si="10"/>
        <v>40</v>
      </c>
      <c r="J46" s="63">
        <f t="shared" si="11"/>
        <v>62355.941047824599</v>
      </c>
      <c r="K46" s="79">
        <f t="shared" si="1"/>
        <v>275.42802686181079</v>
      </c>
      <c r="L46" s="63">
        <f t="shared" si="12"/>
        <v>-3115.6190494571129</v>
      </c>
      <c r="M46" s="80">
        <f t="shared" si="0"/>
        <v>59515.750025229296</v>
      </c>
      <c r="O46" s="20">
        <f t="shared" si="13"/>
        <v>40</v>
      </c>
      <c r="P46" s="54">
        <f t="shared" si="14"/>
        <v>20805</v>
      </c>
      <c r="Q46" s="63">
        <f t="shared" si="15"/>
        <v>8753.0158075758263</v>
      </c>
      <c r="R46" s="77">
        <f t="shared" si="2"/>
        <v>-3115.6190494571129</v>
      </c>
      <c r="S46" s="63">
        <f t="shared" si="16"/>
        <v>-1300.8130081300812</v>
      </c>
      <c r="T46" s="63"/>
      <c r="U46" s="63">
        <f t="shared" si="17"/>
        <v>-437.65079037879133</v>
      </c>
      <c r="V46" s="77">
        <f t="shared" si="20"/>
        <v>-110.56910569105695</v>
      </c>
      <c r="W46" s="83">
        <f t="shared" si="4"/>
        <v>3788.3638539187837</v>
      </c>
      <c r="X46" s="85">
        <f t="shared" si="18"/>
        <v>135641.87122992208</v>
      </c>
      <c r="Z46" s="92">
        <f t="shared" si="19"/>
        <v>53073.170731707331</v>
      </c>
      <c r="AA46" s="5">
        <f t="shared" si="5"/>
        <v>0</v>
      </c>
      <c r="AB46" s="92">
        <f t="shared" si="6"/>
        <v>53073.170731707331</v>
      </c>
      <c r="AD46" s="133">
        <f t="shared" si="7"/>
        <v>-52032.520325203281</v>
      </c>
      <c r="AE46" s="3">
        <f t="shared" si="8"/>
        <v>1</v>
      </c>
    </row>
    <row r="47" spans="1:31" x14ac:dyDescent="0.45">
      <c r="I47" s="20">
        <f t="shared" si="10"/>
        <v>41</v>
      </c>
      <c r="J47" s="63">
        <f t="shared" si="11"/>
        <v>59515.750025229296</v>
      </c>
      <c r="K47" s="79">
        <f t="shared" si="1"/>
        <v>262.88281952280062</v>
      </c>
      <c r="L47" s="63">
        <f t="shared" si="12"/>
        <v>-3115.6190494571129</v>
      </c>
      <c r="M47" s="80">
        <f t="shared" si="0"/>
        <v>56663.013795294981</v>
      </c>
      <c r="O47" s="20">
        <f t="shared" si="13"/>
        <v>41</v>
      </c>
      <c r="P47" s="54">
        <f t="shared" si="14"/>
        <v>21325.125</v>
      </c>
      <c r="Q47" s="63">
        <f t="shared" si="15"/>
        <v>8753.0158075758263</v>
      </c>
      <c r="R47" s="77">
        <f t="shared" si="2"/>
        <v>-3115.6190494571129</v>
      </c>
      <c r="S47" s="63">
        <f t="shared" si="16"/>
        <v>-1300.8130081300812</v>
      </c>
      <c r="T47" s="63"/>
      <c r="U47" s="63">
        <f t="shared" si="17"/>
        <v>-437.65079037879133</v>
      </c>
      <c r="V47" s="77">
        <f t="shared" si="20"/>
        <v>-105.20325203252033</v>
      </c>
      <c r="W47" s="83">
        <f t="shared" si="4"/>
        <v>3793.7297075773204</v>
      </c>
      <c r="X47" s="85">
        <f t="shared" si="18"/>
        <v>139435.6009374994</v>
      </c>
      <c r="Z47" s="92">
        <f t="shared" si="19"/>
        <v>50497.560975609755</v>
      </c>
      <c r="AA47" s="5">
        <f t="shared" si="5"/>
        <v>0</v>
      </c>
      <c r="AB47" s="92">
        <f t="shared" si="6"/>
        <v>50497.560975609755</v>
      </c>
      <c r="AD47" s="133">
        <f t="shared" si="7"/>
        <v>-53333.333333333365</v>
      </c>
      <c r="AE47" s="3">
        <f t="shared" si="8"/>
        <v>1</v>
      </c>
    </row>
    <row r="48" spans="1:31" x14ac:dyDescent="0.45">
      <c r="I48" s="20">
        <f t="shared" si="10"/>
        <v>42</v>
      </c>
      <c r="J48" s="63">
        <f t="shared" si="11"/>
        <v>56663.013795294981</v>
      </c>
      <c r="K48" s="79">
        <f t="shared" si="1"/>
        <v>250.28219963374485</v>
      </c>
      <c r="L48" s="63">
        <f t="shared" si="12"/>
        <v>-3115.6190494571129</v>
      </c>
      <c r="M48" s="80">
        <f t="shared" si="0"/>
        <v>53797.676945471612</v>
      </c>
      <c r="O48" s="20">
        <f t="shared" si="13"/>
        <v>42</v>
      </c>
      <c r="P48" s="54">
        <f t="shared" si="14"/>
        <v>21845.25</v>
      </c>
      <c r="Q48" s="63">
        <f t="shared" si="15"/>
        <v>8753.0158075758263</v>
      </c>
      <c r="R48" s="77">
        <f t="shared" si="2"/>
        <v>-3115.6190494571129</v>
      </c>
      <c r="S48" s="63">
        <f t="shared" si="16"/>
        <v>-1300.8130081300812</v>
      </c>
      <c r="T48" s="63"/>
      <c r="U48" s="63">
        <f t="shared" si="17"/>
        <v>-437.65079037879133</v>
      </c>
      <c r="V48" s="77">
        <f t="shared" si="20"/>
        <v>-99.837398373983731</v>
      </c>
      <c r="W48" s="83">
        <f t="shared" si="4"/>
        <v>3799.0955612358566</v>
      </c>
      <c r="X48" s="85">
        <f t="shared" si="18"/>
        <v>143234.69649873525</v>
      </c>
      <c r="Z48" s="92">
        <f t="shared" si="19"/>
        <v>47921.951219512193</v>
      </c>
      <c r="AA48" s="5">
        <f t="shared" si="5"/>
        <v>0</v>
      </c>
      <c r="AB48" s="92">
        <f t="shared" si="6"/>
        <v>47921.951219512193</v>
      </c>
      <c r="AD48" s="133">
        <f t="shared" si="7"/>
        <v>-54634.146341463449</v>
      </c>
      <c r="AE48" s="3">
        <f t="shared" si="8"/>
        <v>1</v>
      </c>
    </row>
    <row r="49" spans="9:31" x14ac:dyDescent="0.45">
      <c r="I49" s="20">
        <f t="shared" si="10"/>
        <v>43</v>
      </c>
      <c r="J49" s="63">
        <f t="shared" si="11"/>
        <v>53797.676945471612</v>
      </c>
      <c r="K49" s="79">
        <f t="shared" si="1"/>
        <v>237.62592243577896</v>
      </c>
      <c r="L49" s="63">
        <f t="shared" si="12"/>
        <v>-3115.6190494571129</v>
      </c>
      <c r="M49" s="80">
        <f t="shared" si="0"/>
        <v>50919.683818450278</v>
      </c>
      <c r="O49" s="20">
        <f t="shared" si="13"/>
        <v>43</v>
      </c>
      <c r="P49" s="54">
        <f t="shared" si="14"/>
        <v>22365.375</v>
      </c>
      <c r="Q49" s="63">
        <f t="shared" si="15"/>
        <v>8753.0158075758263</v>
      </c>
      <c r="R49" s="77">
        <f t="shared" si="2"/>
        <v>-3115.6190494571129</v>
      </c>
      <c r="S49" s="63">
        <f t="shared" si="16"/>
        <v>-1300.8130081300812</v>
      </c>
      <c r="T49" s="63"/>
      <c r="U49" s="63">
        <f t="shared" si="17"/>
        <v>-437.65079037879133</v>
      </c>
      <c r="V49" s="77">
        <f t="shared" si="20"/>
        <v>-94.47154471544718</v>
      </c>
      <c r="W49" s="83">
        <f t="shared" si="4"/>
        <v>3804.4614148943933</v>
      </c>
      <c r="X49" s="85">
        <f t="shared" si="18"/>
        <v>147039.15791362964</v>
      </c>
      <c r="Z49" s="92">
        <f t="shared" si="19"/>
        <v>45346.341463414647</v>
      </c>
      <c r="AA49" s="5">
        <f t="shared" si="5"/>
        <v>0</v>
      </c>
      <c r="AB49" s="92">
        <f t="shared" si="6"/>
        <v>45346.341463414647</v>
      </c>
      <c r="AD49" s="133">
        <f t="shared" si="7"/>
        <v>-55934.959349593533</v>
      </c>
      <c r="AE49" s="3">
        <f t="shared" si="8"/>
        <v>1</v>
      </c>
    </row>
    <row r="50" spans="9:31" x14ac:dyDescent="0.45">
      <c r="I50" s="20">
        <f t="shared" si="10"/>
        <v>44</v>
      </c>
      <c r="J50" s="63">
        <f t="shared" si="11"/>
        <v>50919.683818450278</v>
      </c>
      <c r="K50" s="79">
        <f t="shared" si="1"/>
        <v>224.91374208893143</v>
      </c>
      <c r="L50" s="63">
        <f t="shared" si="12"/>
        <v>-3115.6190494571129</v>
      </c>
      <c r="M50" s="80">
        <f t="shared" si="0"/>
        <v>48028.978511082096</v>
      </c>
      <c r="O50" s="20">
        <f t="shared" si="13"/>
        <v>44</v>
      </c>
      <c r="P50" s="54">
        <f t="shared" si="14"/>
        <v>22885.5</v>
      </c>
      <c r="Q50" s="63">
        <f t="shared" si="15"/>
        <v>8753.0158075758263</v>
      </c>
      <c r="R50" s="77">
        <f t="shared" si="2"/>
        <v>-3115.6190494571129</v>
      </c>
      <c r="S50" s="63">
        <f t="shared" si="16"/>
        <v>-1300.8130081300812</v>
      </c>
      <c r="T50" s="63"/>
      <c r="U50" s="63">
        <f t="shared" si="17"/>
        <v>-437.65079037879133</v>
      </c>
      <c r="V50" s="77">
        <f t="shared" si="20"/>
        <v>-89.105691056910572</v>
      </c>
      <c r="W50" s="83">
        <f t="shared" si="4"/>
        <v>3809.82726855293</v>
      </c>
      <c r="X50" s="85">
        <f t="shared" si="18"/>
        <v>150848.98518218257</v>
      </c>
      <c r="Z50" s="92">
        <f t="shared" si="19"/>
        <v>42770.731707317071</v>
      </c>
      <c r="AA50" s="5">
        <f t="shared" si="5"/>
        <v>0</v>
      </c>
      <c r="AB50" s="92">
        <f t="shared" si="6"/>
        <v>42770.731707317071</v>
      </c>
      <c r="AD50" s="133">
        <f t="shared" si="7"/>
        <v>-57235.772357723617</v>
      </c>
      <c r="AE50" s="3">
        <f t="shared" si="8"/>
        <v>1</v>
      </c>
    </row>
    <row r="51" spans="9:31" x14ac:dyDescent="0.45">
      <c r="I51" s="20">
        <f t="shared" si="10"/>
        <v>45</v>
      </c>
      <c r="J51" s="63">
        <f t="shared" si="11"/>
        <v>48028.978511082096</v>
      </c>
      <c r="K51" s="79">
        <f t="shared" si="1"/>
        <v>212.1454116673483</v>
      </c>
      <c r="L51" s="63">
        <f t="shared" si="12"/>
        <v>-3115.6190494571129</v>
      </c>
      <c r="M51" s="80">
        <f t="shared" si="0"/>
        <v>45125.504873292331</v>
      </c>
      <c r="O51" s="20">
        <f t="shared" si="13"/>
        <v>45</v>
      </c>
      <c r="P51" s="54">
        <f t="shared" si="14"/>
        <v>23405.625</v>
      </c>
      <c r="Q51" s="63">
        <f t="shared" si="15"/>
        <v>8753.0158075758263</v>
      </c>
      <c r="R51" s="77">
        <f t="shared" si="2"/>
        <v>-3115.6190494571129</v>
      </c>
      <c r="S51" s="63">
        <f t="shared" si="16"/>
        <v>-1300.8130081300812</v>
      </c>
      <c r="T51" s="63"/>
      <c r="U51" s="63">
        <f t="shared" si="17"/>
        <v>-437.65079037879133</v>
      </c>
      <c r="V51" s="77">
        <f t="shared" si="20"/>
        <v>-83.739837398374007</v>
      </c>
      <c r="W51" s="83">
        <f t="shared" si="4"/>
        <v>3815.1931222114663</v>
      </c>
      <c r="X51" s="85">
        <f t="shared" si="18"/>
        <v>154664.17830439404</v>
      </c>
      <c r="Z51" s="92">
        <f t="shared" si="19"/>
        <v>40195.121951219524</v>
      </c>
      <c r="AA51" s="5">
        <f t="shared" si="5"/>
        <v>0</v>
      </c>
      <c r="AB51" s="92">
        <f t="shared" si="6"/>
        <v>40195.121951219524</v>
      </c>
      <c r="AD51" s="133">
        <f t="shared" si="7"/>
        <v>-58536.585365853702</v>
      </c>
      <c r="AE51" s="3">
        <f t="shared" si="8"/>
        <v>1</v>
      </c>
    </row>
    <row r="52" spans="9:31" x14ac:dyDescent="0.45">
      <c r="I52" s="20">
        <f t="shared" si="10"/>
        <v>46</v>
      </c>
      <c r="J52" s="63">
        <f t="shared" si="11"/>
        <v>45125.504873292331</v>
      </c>
      <c r="K52" s="79">
        <f t="shared" si="1"/>
        <v>199.32068315449686</v>
      </c>
      <c r="L52" s="63">
        <f t="shared" si="12"/>
        <v>-3115.6190494571129</v>
      </c>
      <c r="M52" s="80">
        <f t="shared" si="0"/>
        <v>42209.206506989714</v>
      </c>
      <c r="O52" s="20">
        <f t="shared" si="13"/>
        <v>46</v>
      </c>
      <c r="P52" s="54">
        <f t="shared" si="14"/>
        <v>23925.75</v>
      </c>
      <c r="Q52" s="63">
        <f t="shared" si="15"/>
        <v>8753.0158075758263</v>
      </c>
      <c r="R52" s="77">
        <f t="shared" si="2"/>
        <v>-3115.6190494571129</v>
      </c>
      <c r="S52" s="63">
        <f t="shared" si="16"/>
        <v>-1300.8130081300812</v>
      </c>
      <c r="T52" s="63"/>
      <c r="U52" s="63">
        <f t="shared" si="17"/>
        <v>-437.65079037879133</v>
      </c>
      <c r="V52" s="77">
        <f t="shared" si="20"/>
        <v>-78.373983739837399</v>
      </c>
      <c r="W52" s="83">
        <f t="shared" si="4"/>
        <v>3820.558975870003</v>
      </c>
      <c r="X52" s="85">
        <f t="shared" si="18"/>
        <v>158484.73728026403</v>
      </c>
      <c r="Z52" s="92">
        <f t="shared" si="19"/>
        <v>37619.512195121948</v>
      </c>
      <c r="AA52" s="5">
        <f t="shared" si="5"/>
        <v>0</v>
      </c>
      <c r="AB52" s="92">
        <f t="shared" si="6"/>
        <v>37619.512195121948</v>
      </c>
      <c r="AD52" s="133">
        <f t="shared" si="7"/>
        <v>-59837.398373983786</v>
      </c>
      <c r="AE52" s="3">
        <f t="shared" si="8"/>
        <v>1</v>
      </c>
    </row>
    <row r="53" spans="9:31" x14ac:dyDescent="0.45">
      <c r="I53" s="20">
        <f t="shared" si="10"/>
        <v>47</v>
      </c>
      <c r="J53" s="63">
        <f t="shared" si="11"/>
        <v>42209.206506989714</v>
      </c>
      <c r="K53" s="79">
        <f t="shared" si="1"/>
        <v>186.43930743834815</v>
      </c>
      <c r="L53" s="63">
        <f t="shared" si="12"/>
        <v>-3115.6190494571129</v>
      </c>
      <c r="M53" s="80">
        <f t="shared" si="0"/>
        <v>39280.026764970949</v>
      </c>
      <c r="O53" s="20">
        <f t="shared" si="13"/>
        <v>47</v>
      </c>
      <c r="P53" s="54">
        <f t="shared" si="14"/>
        <v>24445.875</v>
      </c>
      <c r="Q53" s="63">
        <f t="shared" si="15"/>
        <v>8753.0158075758263</v>
      </c>
      <c r="R53" s="77">
        <f t="shared" si="2"/>
        <v>-3115.6190494571129</v>
      </c>
      <c r="S53" s="63">
        <f t="shared" si="16"/>
        <v>-1300.8130081300812</v>
      </c>
      <c r="T53" s="63"/>
      <c r="U53" s="63">
        <f t="shared" si="17"/>
        <v>-437.65079037879133</v>
      </c>
      <c r="V53" s="77">
        <f t="shared" si="20"/>
        <v>-73.008130081300848</v>
      </c>
      <c r="W53" s="83">
        <f t="shared" si="4"/>
        <v>3825.9248295285397</v>
      </c>
      <c r="X53" s="85">
        <f t="shared" si="18"/>
        <v>162310.66210979258</v>
      </c>
      <c r="Z53" s="92">
        <f t="shared" si="19"/>
        <v>35043.902439024401</v>
      </c>
      <c r="AA53" s="5">
        <f t="shared" si="5"/>
        <v>0</v>
      </c>
      <c r="AB53" s="92">
        <f t="shared" si="6"/>
        <v>35043.902439024401</v>
      </c>
      <c r="AD53" s="133">
        <f t="shared" si="7"/>
        <v>-61138.21138211387</v>
      </c>
      <c r="AE53" s="3">
        <f t="shared" si="8"/>
        <v>1</v>
      </c>
    </row>
    <row r="54" spans="9:31" x14ac:dyDescent="0.45">
      <c r="I54" s="20">
        <f t="shared" si="10"/>
        <v>48</v>
      </c>
      <c r="J54" s="63">
        <f t="shared" si="11"/>
        <v>39280.026764970949</v>
      </c>
      <c r="K54" s="79">
        <f t="shared" si="1"/>
        <v>173.5010343065378</v>
      </c>
      <c r="L54" s="63">
        <f t="shared" si="12"/>
        <v>-3115.6190494571129</v>
      </c>
      <c r="M54" s="80">
        <f t="shared" si="0"/>
        <v>36337.908749820373</v>
      </c>
      <c r="O54" s="20">
        <f t="shared" si="13"/>
        <v>48</v>
      </c>
      <c r="P54" s="54">
        <f t="shared" si="14"/>
        <v>24966</v>
      </c>
      <c r="Q54" s="63">
        <f t="shared" si="15"/>
        <v>8753.0158075758263</v>
      </c>
      <c r="R54" s="77">
        <f t="shared" si="2"/>
        <v>-3115.6190494571129</v>
      </c>
      <c r="S54" s="63">
        <f t="shared" si="16"/>
        <v>-1300.8130081300812</v>
      </c>
      <c r="T54" s="63">
        <f t="shared" ref="T54:T59" si="24">-T68*0.5</f>
        <v>-11707.317073170731</v>
      </c>
      <c r="U54" s="63">
        <f t="shared" si="17"/>
        <v>-437.65079037879133</v>
      </c>
      <c r="V54" s="77">
        <f t="shared" si="20"/>
        <v>-67.642276422764226</v>
      </c>
      <c r="W54" s="83">
        <f t="shared" si="4"/>
        <v>-7876.0263899836546</v>
      </c>
      <c r="X54" s="85">
        <f t="shared" si="18"/>
        <v>154434.63571980892</v>
      </c>
      <c r="Z54" s="92">
        <f t="shared" si="19"/>
        <v>32468.292682926825</v>
      </c>
      <c r="AA54" s="5">
        <f t="shared" si="5"/>
        <v>0</v>
      </c>
      <c r="AB54" s="92">
        <f t="shared" si="6"/>
        <v>32468.292682926825</v>
      </c>
      <c r="AD54" s="133">
        <f t="shared" si="7"/>
        <v>-62439.024390243954</v>
      </c>
      <c r="AE54" s="3">
        <f t="shared" si="8"/>
        <v>1</v>
      </c>
    </row>
    <row r="55" spans="9:31" x14ac:dyDescent="0.45">
      <c r="I55" s="20">
        <f t="shared" si="10"/>
        <v>49</v>
      </c>
      <c r="J55" s="63">
        <f t="shared" si="11"/>
        <v>36337.908749820373</v>
      </c>
      <c r="K55" s="79">
        <f>J55*$C$8*30.44/365.25</f>
        <v>160.50561244150637</v>
      </c>
      <c r="L55" s="63">
        <f t="shared" si="12"/>
        <v>-3115.6190494571129</v>
      </c>
      <c r="M55" s="80">
        <f t="shared" si="0"/>
        <v>33382.795312804767</v>
      </c>
      <c r="O55" s="20">
        <f t="shared" si="13"/>
        <v>49</v>
      </c>
      <c r="P55" s="54">
        <f t="shared" si="14"/>
        <v>25486.125</v>
      </c>
      <c r="Q55" s="63">
        <f t="shared" si="15"/>
        <v>8753.0158075758263</v>
      </c>
      <c r="R55" s="77">
        <f t="shared" si="2"/>
        <v>-3115.6190494571129</v>
      </c>
      <c r="S55" s="63">
        <f t="shared" si="16"/>
        <v>-1300.8130081300812</v>
      </c>
      <c r="T55" s="63">
        <f t="shared" si="24"/>
        <v>0</v>
      </c>
      <c r="U55" s="63">
        <f t="shared" si="17"/>
        <v>-437.65079037879133</v>
      </c>
      <c r="V55" s="77">
        <f t="shared" si="20"/>
        <v>-62.276422764227668</v>
      </c>
      <c r="W55" s="83">
        <f t="shared" si="4"/>
        <v>3836.6565368456127</v>
      </c>
      <c r="X55" s="85">
        <f t="shared" si="18"/>
        <v>158271.29225665453</v>
      </c>
      <c r="Z55" s="92">
        <f t="shared" si="19"/>
        <v>29892.682926829279</v>
      </c>
      <c r="AA55" s="5">
        <f t="shared" si="5"/>
        <v>0</v>
      </c>
      <c r="AB55" s="92">
        <f t="shared" si="6"/>
        <v>29892.682926829279</v>
      </c>
      <c r="AD55" s="133">
        <f t="shared" si="7"/>
        <v>-63739.837398374038</v>
      </c>
      <c r="AE55" s="3">
        <f t="shared" si="8"/>
        <v>1</v>
      </c>
    </row>
    <row r="56" spans="9:31" x14ac:dyDescent="0.45">
      <c r="I56" s="20">
        <f t="shared" si="10"/>
        <v>50</v>
      </c>
      <c r="J56" s="63">
        <f t="shared" si="11"/>
        <v>33382.795312804767</v>
      </c>
      <c r="K56" s="79">
        <f>J56*$C$8*30.44/365.25</f>
        <v>147.45278941561722</v>
      </c>
      <c r="L56" s="63">
        <f t="shared" si="12"/>
        <v>-3115.6190494571129</v>
      </c>
      <c r="M56" s="80">
        <f t="shared" si="0"/>
        <v>30414.629052763274</v>
      </c>
      <c r="O56" s="20">
        <f t="shared" si="13"/>
        <v>50</v>
      </c>
      <c r="P56" s="54">
        <f t="shared" si="14"/>
        <v>26006.25</v>
      </c>
      <c r="Q56" s="63">
        <f t="shared" si="15"/>
        <v>8753.0158075758263</v>
      </c>
      <c r="R56" s="77">
        <f t="shared" si="2"/>
        <v>-3115.6190494571129</v>
      </c>
      <c r="S56" s="63">
        <f t="shared" si="16"/>
        <v>-1300.8130081300812</v>
      </c>
      <c r="T56" s="63">
        <f t="shared" si="24"/>
        <v>0</v>
      </c>
      <c r="U56" s="63">
        <f t="shared" si="17"/>
        <v>-437.65079037879133</v>
      </c>
      <c r="V56" s="77">
        <f t="shared" si="20"/>
        <v>-56.910569105691081</v>
      </c>
      <c r="W56" s="83">
        <f t="shared" si="4"/>
        <v>3842.0223905041494</v>
      </c>
      <c r="X56" s="85">
        <f t="shared" si="18"/>
        <v>162113.31464715867</v>
      </c>
      <c r="Z56" s="92">
        <f t="shared" si="19"/>
        <v>27317.073170731717</v>
      </c>
      <c r="AA56" s="5">
        <f t="shared" si="5"/>
        <v>0</v>
      </c>
      <c r="AB56" s="92">
        <f t="shared" si="6"/>
        <v>27317.073170731717</v>
      </c>
      <c r="AD56" s="133">
        <f t="shared" si="7"/>
        <v>-65040.650406504123</v>
      </c>
      <c r="AE56" s="3">
        <f t="shared" si="8"/>
        <v>1</v>
      </c>
    </row>
    <row r="57" spans="9:31" x14ac:dyDescent="0.45">
      <c r="I57" s="20">
        <f t="shared" si="10"/>
        <v>51</v>
      </c>
      <c r="J57" s="63">
        <f t="shared" si="11"/>
        <v>30414.629052763274</v>
      </c>
      <c r="K57" s="79">
        <f t="shared" ref="K57:K66" si="25">J57*$C$8*30.44/365.25</f>
        <v>134.34231168625337</v>
      </c>
      <c r="L57" s="63">
        <f t="shared" si="12"/>
        <v>-3115.6190494571129</v>
      </c>
      <c r="M57" s="80">
        <f t="shared" si="0"/>
        <v>27433.352314992415</v>
      </c>
      <c r="O57" s="20">
        <f t="shared" si="13"/>
        <v>51</v>
      </c>
      <c r="P57" s="54">
        <f t="shared" si="14"/>
        <v>26526.375</v>
      </c>
      <c r="Q57" s="63">
        <f t="shared" si="15"/>
        <v>8753.0158075758263</v>
      </c>
      <c r="R57" s="77">
        <f t="shared" si="2"/>
        <v>-3115.6190494571129</v>
      </c>
      <c r="S57" s="63">
        <f t="shared" si="16"/>
        <v>-1300.8130081300812</v>
      </c>
      <c r="T57" s="63">
        <f t="shared" si="24"/>
        <v>0</v>
      </c>
      <c r="U57" s="63">
        <f t="shared" si="17"/>
        <v>-437.65079037879133</v>
      </c>
      <c r="V57" s="77">
        <f t="shared" si="20"/>
        <v>-51.544715447154466</v>
      </c>
      <c r="W57" s="83">
        <f t="shared" si="4"/>
        <v>3847.3882441626861</v>
      </c>
      <c r="X57" s="85">
        <f t="shared" si="18"/>
        <v>165960.70289132136</v>
      </c>
      <c r="Z57" s="92">
        <f t="shared" si="19"/>
        <v>24741.463414634141</v>
      </c>
      <c r="AA57" s="5">
        <f t="shared" si="5"/>
        <v>0</v>
      </c>
      <c r="AB57" s="92">
        <f t="shared" si="6"/>
        <v>24741.463414634141</v>
      </c>
      <c r="AD57" s="133">
        <f t="shared" si="7"/>
        <v>-66341.4634146342</v>
      </c>
      <c r="AE57" s="3">
        <f t="shared" si="8"/>
        <v>1</v>
      </c>
    </row>
    <row r="58" spans="9:31" x14ac:dyDescent="0.45">
      <c r="I58" s="20">
        <f t="shared" si="10"/>
        <v>52</v>
      </c>
      <c r="J58" s="63">
        <f t="shared" si="11"/>
        <v>27433.352314992415</v>
      </c>
      <c r="K58" s="79">
        <f t="shared" si="25"/>
        <v>121.17392459089271</v>
      </c>
      <c r="L58" s="63">
        <f t="shared" si="12"/>
        <v>-3115.6190494571129</v>
      </c>
      <c r="M58" s="80">
        <f t="shared" si="0"/>
        <v>24438.907190126196</v>
      </c>
      <c r="O58" s="20">
        <f t="shared" si="13"/>
        <v>52</v>
      </c>
      <c r="P58" s="54">
        <f t="shared" si="14"/>
        <v>27046.5</v>
      </c>
      <c r="Q58" s="63">
        <f t="shared" si="15"/>
        <v>8753.0158075758263</v>
      </c>
      <c r="R58" s="77">
        <f t="shared" si="2"/>
        <v>-3115.6190494571129</v>
      </c>
      <c r="S58" s="63">
        <f t="shared" si="16"/>
        <v>-1300.8130081300812</v>
      </c>
      <c r="T58" s="63">
        <f t="shared" si="24"/>
        <v>0</v>
      </c>
      <c r="U58" s="63">
        <f t="shared" si="17"/>
        <v>-437.65079037879133</v>
      </c>
      <c r="V58" s="77">
        <f t="shared" si="20"/>
        <v>-46.178861788617901</v>
      </c>
      <c r="W58" s="83">
        <f t="shared" si="4"/>
        <v>3852.7540978212228</v>
      </c>
      <c r="X58" s="85">
        <f t="shared" si="18"/>
        <v>169813.45698914258</v>
      </c>
      <c r="Z58" s="92">
        <f t="shared" si="19"/>
        <v>22165.853658536595</v>
      </c>
      <c r="AA58" s="5">
        <f t="shared" si="5"/>
        <v>0</v>
      </c>
      <c r="AB58" s="92">
        <f t="shared" si="6"/>
        <v>22165.853658536595</v>
      </c>
      <c r="AD58" s="133">
        <f t="shared" si="7"/>
        <v>-67642.276422764277</v>
      </c>
      <c r="AE58" s="3">
        <f t="shared" si="8"/>
        <v>1</v>
      </c>
    </row>
    <row r="59" spans="9:31" x14ac:dyDescent="0.45">
      <c r="I59" s="20">
        <f t="shared" si="10"/>
        <v>53</v>
      </c>
      <c r="J59" s="63">
        <f t="shared" si="11"/>
        <v>24438.907190126196</v>
      </c>
      <c r="K59" s="79">
        <f t="shared" si="25"/>
        <v>107.94737234216124</v>
      </c>
      <c r="L59" s="63">
        <f t="shared" si="12"/>
        <v>-3115.6190494571129</v>
      </c>
      <c r="M59" s="80">
        <f t="shared" si="0"/>
        <v>21431.235513011245</v>
      </c>
      <c r="O59" s="20">
        <f t="shared" si="13"/>
        <v>53</v>
      </c>
      <c r="P59" s="54">
        <f t="shared" si="14"/>
        <v>27566.625</v>
      </c>
      <c r="Q59" s="63">
        <f t="shared" si="15"/>
        <v>8753.0158075758263</v>
      </c>
      <c r="R59" s="77">
        <f t="shared" si="2"/>
        <v>-3115.6190494571129</v>
      </c>
      <c r="S59" s="63">
        <f t="shared" si="16"/>
        <v>-1300.8130081300812</v>
      </c>
      <c r="T59" s="63">
        <f t="shared" si="24"/>
        <v>0</v>
      </c>
      <c r="U59" s="63">
        <f t="shared" si="17"/>
        <v>-437.65079037879133</v>
      </c>
      <c r="V59" s="77">
        <f t="shared" si="20"/>
        <v>-40.813008130081293</v>
      </c>
      <c r="W59" s="83">
        <f t="shared" si="4"/>
        <v>3858.119951479759</v>
      </c>
      <c r="X59" s="85">
        <f t="shared" si="18"/>
        <v>173671.57694062233</v>
      </c>
      <c r="Z59" s="92">
        <f t="shared" si="19"/>
        <v>19590.243902439019</v>
      </c>
      <c r="AA59" s="5">
        <f t="shared" si="5"/>
        <v>0</v>
      </c>
      <c r="AB59" s="92">
        <f t="shared" si="6"/>
        <v>19590.243902439019</v>
      </c>
      <c r="AD59" s="133">
        <f t="shared" si="7"/>
        <v>-68943.089430894353</v>
      </c>
      <c r="AE59" s="3">
        <f t="shared" si="8"/>
        <v>1</v>
      </c>
    </row>
    <row r="60" spans="9:31" x14ac:dyDescent="0.45">
      <c r="I60" s="20">
        <f t="shared" si="10"/>
        <v>54</v>
      </c>
      <c r="J60" s="63">
        <f t="shared" si="11"/>
        <v>21431.235513011245</v>
      </c>
      <c r="K60" s="79">
        <f t="shared" si="25"/>
        <v>94.662398022864622</v>
      </c>
      <c r="L60" s="63">
        <f t="shared" si="12"/>
        <v>-3115.6190494571129</v>
      </c>
      <c r="M60" s="80">
        <f t="shared" si="0"/>
        <v>18410.278861576997</v>
      </c>
      <c r="O60" s="20">
        <f t="shared" si="13"/>
        <v>54</v>
      </c>
      <c r="P60" s="54">
        <f t="shared" si="14"/>
        <v>28086.75</v>
      </c>
      <c r="Q60" s="63">
        <f t="shared" si="15"/>
        <v>8753.0158075758263</v>
      </c>
      <c r="R60" s="77">
        <f t="shared" si="2"/>
        <v>-3115.6190494571129</v>
      </c>
      <c r="S60" s="63">
        <f t="shared" si="16"/>
        <v>-1300.8130081300812</v>
      </c>
      <c r="T60" s="63"/>
      <c r="U60" s="63">
        <f t="shared" si="17"/>
        <v>-437.65079037879133</v>
      </c>
      <c r="V60" s="77">
        <f t="shared" si="20"/>
        <v>-35.447154471544735</v>
      </c>
      <c r="W60" s="83">
        <f t="shared" si="4"/>
        <v>3863.4858051382957</v>
      </c>
      <c r="X60" s="85">
        <f t="shared" si="18"/>
        <v>177535.06274576063</v>
      </c>
      <c r="Z60" s="92">
        <f t="shared" si="19"/>
        <v>17014.634146341472</v>
      </c>
      <c r="AA60" s="5">
        <f t="shared" si="5"/>
        <v>0</v>
      </c>
      <c r="AB60" s="92">
        <f t="shared" si="6"/>
        <v>17014.634146341472</v>
      </c>
      <c r="AD60" s="133">
        <f t="shared" si="7"/>
        <v>-70243.90243902443</v>
      </c>
      <c r="AE60" s="3">
        <f t="shared" si="8"/>
        <v>1</v>
      </c>
    </row>
    <row r="61" spans="9:31" x14ac:dyDescent="0.45">
      <c r="I61" s="20">
        <f t="shared" si="10"/>
        <v>55</v>
      </c>
      <c r="J61" s="63">
        <f t="shared" si="11"/>
        <v>18410.278861576997</v>
      </c>
      <c r="K61" s="79">
        <f t="shared" si="25"/>
        <v>81.318743580997676</v>
      </c>
      <c r="L61" s="63">
        <f t="shared" si="12"/>
        <v>-3115.6190494571129</v>
      </c>
      <c r="M61" s="80">
        <f t="shared" si="0"/>
        <v>15375.97855570088</v>
      </c>
      <c r="O61" s="20">
        <f t="shared" si="13"/>
        <v>55</v>
      </c>
      <c r="P61" s="54">
        <f t="shared" si="14"/>
        <v>28606.875</v>
      </c>
      <c r="Q61" s="63">
        <f t="shared" si="15"/>
        <v>8753.0158075758263</v>
      </c>
      <c r="R61" s="77">
        <f t="shared" si="2"/>
        <v>-3115.6190494571129</v>
      </c>
      <c r="S61" s="63">
        <f t="shared" si="16"/>
        <v>-1300.8130081300812</v>
      </c>
      <c r="T61" s="63">
        <f>-T75*0.5</f>
        <v>0</v>
      </c>
      <c r="U61" s="63">
        <f t="shared" si="17"/>
        <v>-437.65079037879133</v>
      </c>
      <c r="V61" s="77">
        <f t="shared" si="20"/>
        <v>-30.081300813008117</v>
      </c>
      <c r="W61" s="83">
        <f t="shared" si="4"/>
        <v>3868.8516587968325</v>
      </c>
      <c r="X61" s="85">
        <f t="shared" si="18"/>
        <v>181403.91440455746</v>
      </c>
      <c r="Z61" s="92">
        <f t="shared" si="19"/>
        <v>14439.024390243896</v>
      </c>
      <c r="AA61" s="5">
        <f t="shared" si="5"/>
        <v>0</v>
      </c>
      <c r="AB61" s="92">
        <f t="shared" si="6"/>
        <v>14439.024390243896</v>
      </c>
      <c r="AD61" s="133">
        <f t="shared" si="7"/>
        <v>-71544.715447154507</v>
      </c>
      <c r="AE61" s="3">
        <f t="shared" si="8"/>
        <v>1</v>
      </c>
    </row>
    <row r="62" spans="9:31" x14ac:dyDescent="0.45">
      <c r="I62" s="20">
        <f t="shared" si="10"/>
        <v>56</v>
      </c>
      <c r="J62" s="63">
        <f t="shared" si="11"/>
        <v>15375.97855570088</v>
      </c>
      <c r="K62" s="79">
        <f t="shared" si="25"/>
        <v>67.916149824731946</v>
      </c>
      <c r="L62" s="63">
        <f t="shared" si="12"/>
        <v>-3115.6190494571129</v>
      </c>
      <c r="M62" s="80">
        <f t="shared" si="0"/>
        <v>12328.275656068499</v>
      </c>
      <c r="O62" s="20">
        <f t="shared" si="13"/>
        <v>56</v>
      </c>
      <c r="P62" s="54">
        <f t="shared" si="14"/>
        <v>29127</v>
      </c>
      <c r="Q62" s="63">
        <f t="shared" si="15"/>
        <v>8753.0158075758263</v>
      </c>
      <c r="R62" s="77">
        <f t="shared" si="2"/>
        <v>-3115.6190494571129</v>
      </c>
      <c r="S62" s="63">
        <f t="shared" si="16"/>
        <v>-1300.8130081300812</v>
      </c>
      <c r="T62" s="63">
        <f>-T76*0.5</f>
        <v>0</v>
      </c>
      <c r="U62" s="63">
        <f t="shared" si="17"/>
        <v>-437.65079037879133</v>
      </c>
      <c r="V62" s="77">
        <f t="shared" si="20"/>
        <v>-24.715447154471562</v>
      </c>
      <c r="W62" s="83">
        <f t="shared" si="4"/>
        <v>3874.2175124553692</v>
      </c>
      <c r="X62" s="85">
        <f t="shared" si="18"/>
        <v>185278.13191701283</v>
      </c>
      <c r="Z62" s="92">
        <f t="shared" si="19"/>
        <v>11863.414634146349</v>
      </c>
      <c r="AA62" s="5">
        <f t="shared" si="5"/>
        <v>0</v>
      </c>
      <c r="AB62" s="92">
        <f t="shared" si="6"/>
        <v>11863.414634146349</v>
      </c>
      <c r="AD62" s="133">
        <f t="shared" si="7"/>
        <v>-72845.528455284584</v>
      </c>
      <c r="AE62" s="3">
        <f t="shared" si="8"/>
        <v>1</v>
      </c>
    </row>
    <row r="63" spans="9:31" x14ac:dyDescent="0.45">
      <c r="I63" s="20">
        <f t="shared" si="10"/>
        <v>57</v>
      </c>
      <c r="J63" s="63">
        <f t="shared" si="11"/>
        <v>12328.275656068499</v>
      </c>
      <c r="K63" s="79">
        <f t="shared" si="25"/>
        <v>54.454356417381057</v>
      </c>
      <c r="L63" s="63">
        <f t="shared" si="12"/>
        <v>-3115.6190494571129</v>
      </c>
      <c r="M63" s="80">
        <f t="shared" si="0"/>
        <v>9267.1109630287683</v>
      </c>
      <c r="O63" s="20">
        <f t="shared" si="13"/>
        <v>57</v>
      </c>
      <c r="P63" s="54">
        <f t="shared" si="14"/>
        <v>29647.125</v>
      </c>
      <c r="Q63" s="63">
        <f t="shared" si="15"/>
        <v>8753.0158075758263</v>
      </c>
      <c r="R63" s="77">
        <f t="shared" si="2"/>
        <v>-3115.6190494571129</v>
      </c>
      <c r="S63" s="63">
        <f>+S61</f>
        <v>-1300.8130081300812</v>
      </c>
      <c r="T63" s="63">
        <f>-T76*0.5</f>
        <v>0</v>
      </c>
      <c r="U63" s="63">
        <f>U61</f>
        <v>-437.65079037879133</v>
      </c>
      <c r="V63" s="77">
        <f t="shared" si="20"/>
        <v>-19.349593495935007</v>
      </c>
      <c r="W63" s="83">
        <f t="shared" si="4"/>
        <v>3879.5833661139054</v>
      </c>
      <c r="X63" s="85">
        <f>X61+W63</f>
        <v>185283.49777067138</v>
      </c>
      <c r="Z63" s="92">
        <f t="shared" si="19"/>
        <v>9287.8048780488025</v>
      </c>
      <c r="AA63" s="5">
        <f t="shared" si="5"/>
        <v>0</v>
      </c>
      <c r="AB63" s="92">
        <f t="shared" si="6"/>
        <v>9287.8048780488025</v>
      </c>
      <c r="AD63" s="133">
        <f>IF(AD61=0,0,IF(+S63+AD61&lt;-$S$68,0,+S63+AD61))</f>
        <v>-72845.528455284584</v>
      </c>
      <c r="AE63" s="3">
        <f t="shared" si="8"/>
        <v>1</v>
      </c>
    </row>
    <row r="64" spans="9:31" x14ac:dyDescent="0.45">
      <c r="I64" s="20">
        <f t="shared" si="10"/>
        <v>58</v>
      </c>
      <c r="J64" s="63">
        <f t="shared" si="11"/>
        <v>9267.1109630287683</v>
      </c>
      <c r="K64" s="79">
        <f t="shared" si="25"/>
        <v>40.933101872343798</v>
      </c>
      <c r="L64" s="63">
        <f t="shared" si="12"/>
        <v>-3115.6190494571129</v>
      </c>
      <c r="M64" s="80">
        <f t="shared" si="0"/>
        <v>6192.4250154439997</v>
      </c>
      <c r="O64" s="20">
        <f t="shared" si="13"/>
        <v>58</v>
      </c>
      <c r="P64" s="54">
        <f t="shared" si="14"/>
        <v>30167.25</v>
      </c>
      <c r="Q64" s="63">
        <f t="shared" si="15"/>
        <v>8753.0158075758263</v>
      </c>
      <c r="R64" s="77">
        <f t="shared" si="2"/>
        <v>-3115.6190494571129</v>
      </c>
      <c r="S64" s="63">
        <f>+S61</f>
        <v>-1300.8130081300812</v>
      </c>
      <c r="T64" s="63">
        <f>-T76*0.5</f>
        <v>0</v>
      </c>
      <c r="U64" s="63">
        <f>U61</f>
        <v>-437.65079037879133</v>
      </c>
      <c r="V64" s="77">
        <f t="shared" si="20"/>
        <v>-13.983739837398389</v>
      </c>
      <c r="W64" s="83">
        <f t="shared" si="4"/>
        <v>3884.9492197724421</v>
      </c>
      <c r="X64" s="85">
        <f>X61+W64</f>
        <v>185288.86362432991</v>
      </c>
      <c r="Z64" s="92">
        <f t="shared" si="19"/>
        <v>6712.1951219512266</v>
      </c>
      <c r="AA64" s="5">
        <f t="shared" si="5"/>
        <v>0</v>
      </c>
      <c r="AB64" s="92">
        <f t="shared" si="6"/>
        <v>6712.1951219512266</v>
      </c>
      <c r="AD64" s="133">
        <f>IF(AD61=0,0,IF(+S64+AD61&lt;-$S$68,0,+S64+AD61))</f>
        <v>-72845.528455284584</v>
      </c>
      <c r="AE64" s="3">
        <f t="shared" si="8"/>
        <v>1</v>
      </c>
    </row>
    <row r="65" spans="1:31" x14ac:dyDescent="0.45">
      <c r="I65" s="20">
        <f t="shared" si="10"/>
        <v>59</v>
      </c>
      <c r="J65" s="63">
        <f t="shared" si="11"/>
        <v>6192.4250154439997</v>
      </c>
      <c r="K65" s="79">
        <f t="shared" si="25"/>
        <v>27.352123548024949</v>
      </c>
      <c r="L65" s="63">
        <f t="shared" si="12"/>
        <v>-3115.6190494571129</v>
      </c>
      <c r="M65" s="80">
        <f t="shared" si="0"/>
        <v>3104.1580895349116</v>
      </c>
      <c r="O65" s="20">
        <f t="shared" si="13"/>
        <v>59</v>
      </c>
      <c r="P65" s="54">
        <f t="shared" si="14"/>
        <v>30687.375</v>
      </c>
      <c r="Q65" s="63">
        <f t="shared" si="15"/>
        <v>8753.0158075758263</v>
      </c>
      <c r="R65" s="77">
        <f t="shared" si="2"/>
        <v>-3115.6190494571129</v>
      </c>
      <c r="S65" s="63">
        <f>+S62</f>
        <v>-1300.8130081300812</v>
      </c>
      <c r="T65" s="63">
        <f>-T77*0.5</f>
        <v>0</v>
      </c>
      <c r="U65" s="63">
        <f>U62</f>
        <v>-437.65079037879133</v>
      </c>
      <c r="V65" s="77">
        <f t="shared" si="20"/>
        <v>-8.6178861788618324</v>
      </c>
      <c r="W65" s="83">
        <f t="shared" si="4"/>
        <v>3890.3150734309788</v>
      </c>
      <c r="X65" s="85">
        <f>X62+W65</f>
        <v>189168.4469904438</v>
      </c>
      <c r="Z65" s="92">
        <f t="shared" si="19"/>
        <v>4136.5853658536798</v>
      </c>
      <c r="AA65" s="5">
        <f t="shared" si="5"/>
        <v>0</v>
      </c>
      <c r="AB65" s="92">
        <f t="shared" si="6"/>
        <v>4136.5853658536798</v>
      </c>
      <c r="AD65" s="133">
        <f>IF(AD62=0,0,IF(+S65+AD62&lt;-$S$68,0,+S65+AD62))</f>
        <v>-74146.341463414661</v>
      </c>
      <c r="AE65" s="3">
        <f t="shared" si="8"/>
        <v>1</v>
      </c>
    </row>
    <row r="66" spans="1:31" ht="14.65" thickBot="1" x14ac:dyDescent="0.5">
      <c r="I66" s="20">
        <f t="shared" si="10"/>
        <v>60</v>
      </c>
      <c r="J66" s="63">
        <f t="shared" si="11"/>
        <v>3104.1580895349116</v>
      </c>
      <c r="K66" s="79">
        <f t="shared" si="25"/>
        <v>13.711157642733646</v>
      </c>
      <c r="L66" s="63">
        <f t="shared" si="12"/>
        <v>-3115.6190494571129</v>
      </c>
      <c r="M66" s="80">
        <f t="shared" si="0"/>
        <v>2.2501977205324692</v>
      </c>
      <c r="O66" s="20">
        <f t="shared" si="13"/>
        <v>60</v>
      </c>
      <c r="P66" s="54">
        <f t="shared" si="14"/>
        <v>31207.5</v>
      </c>
      <c r="Q66" s="63">
        <f t="shared" si="15"/>
        <v>8753.0158075758263</v>
      </c>
      <c r="R66" s="77">
        <f t="shared" si="2"/>
        <v>-3115.6190494571129</v>
      </c>
      <c r="S66" s="63">
        <f>+S62</f>
        <v>-1300.8130081300812</v>
      </c>
      <c r="T66" s="63">
        <f>-T77*0.5</f>
        <v>0</v>
      </c>
      <c r="U66" s="63">
        <f>U62</f>
        <v>-437.65079037879133</v>
      </c>
      <c r="V66" s="77">
        <f t="shared" si="20"/>
        <v>-3.2520325203252169</v>
      </c>
      <c r="W66" s="83">
        <f t="shared" si="4"/>
        <v>3895.6809270895151</v>
      </c>
      <c r="X66" s="85">
        <f>X62+W66</f>
        <v>189173.81284410233</v>
      </c>
      <c r="Z66" s="92">
        <f t="shared" si="19"/>
        <v>1560.9756097561039</v>
      </c>
      <c r="AA66" s="5">
        <f t="shared" si="5"/>
        <v>0</v>
      </c>
      <c r="AB66" s="92">
        <f t="shared" si="6"/>
        <v>1560.9756097561039</v>
      </c>
      <c r="AD66" s="133">
        <f>IF(AD62=0,0,IF(+S66+AD62&lt;-$S$68,0,+S66+AD62))</f>
        <v>-74146.341463414661</v>
      </c>
      <c r="AE66" s="3">
        <f t="shared" si="8"/>
        <v>1</v>
      </c>
    </row>
    <row r="67" spans="1:31" ht="14.65" thickBot="1" x14ac:dyDescent="0.5">
      <c r="I67" s="21" t="s">
        <v>20</v>
      </c>
      <c r="J67" s="69">
        <f>C7*C11</f>
        <v>1639.0243902439024</v>
      </c>
      <c r="K67" s="69">
        <f>SUM(K7:K54)</f>
        <v>21985.184099371538</v>
      </c>
      <c r="L67" s="81"/>
      <c r="M67" s="82"/>
      <c r="O67" s="58"/>
      <c r="P67" s="59"/>
      <c r="Q67" s="69">
        <f t="shared" ref="Q67:V67" si="26">SUM(Q7:Q54)</f>
        <v>420144.75876363995</v>
      </c>
      <c r="R67" s="69">
        <f t="shared" si="26"/>
        <v>-149549.71437394124</v>
      </c>
      <c r="S67" s="87">
        <f t="shared" si="26"/>
        <v>-62439.024390243954</v>
      </c>
      <c r="T67" s="87">
        <f t="shared" si="26"/>
        <v>-23414.634146341461</v>
      </c>
      <c r="U67" s="69">
        <f t="shared" si="26"/>
        <v>-21007.23793818197</v>
      </c>
      <c r="V67" s="69">
        <f t="shared" si="26"/>
        <v>-9299.5121951219535</v>
      </c>
      <c r="W67" s="88"/>
      <c r="X67" s="82"/>
    </row>
    <row r="68" spans="1:31" x14ac:dyDescent="0.45">
      <c r="Q68" s="89">
        <f>+SUM(Q67:V67)</f>
        <v>154434.63571980936</v>
      </c>
      <c r="R68" s="89"/>
      <c r="S68" s="90">
        <f>D31</f>
        <v>78048.780487804877</v>
      </c>
      <c r="T68" s="60">
        <f>D32</f>
        <v>23414.634146341461</v>
      </c>
      <c r="U68" s="89"/>
      <c r="V68" s="89"/>
      <c r="W68" s="89"/>
      <c r="X68" s="89"/>
    </row>
    <row r="69" spans="1:31" ht="14.65" thickBot="1" x14ac:dyDescent="0.5">
      <c r="L69" s="129">
        <f>+PMT(C8/12,C12,(C7),,)</f>
        <v>-3115.6190494571129</v>
      </c>
      <c r="Q69" s="89"/>
      <c r="R69" s="89"/>
      <c r="S69" s="91">
        <f>S67+S68</f>
        <v>15609.756097560923</v>
      </c>
      <c r="T69" s="66">
        <f>T67+T68</f>
        <v>0</v>
      </c>
      <c r="U69" s="89"/>
      <c r="V69" s="89"/>
      <c r="W69" s="89"/>
      <c r="X69" s="89"/>
    </row>
    <row r="70" spans="1:31" s="131" customFormat="1" ht="14.65" thickBot="1" x14ac:dyDescent="0.5"/>
    <row r="71" spans="1:31" s="177" customFormat="1" ht="31.15" thickBot="1" x14ac:dyDescent="0.5">
      <c r="A71" s="695" t="str">
        <f>+A3</f>
        <v>CAT 14t Compactor</v>
      </c>
      <c r="B71" s="696"/>
      <c r="C71" s="697"/>
      <c r="D71" s="698" t="s">
        <v>2</v>
      </c>
      <c r="E71" s="699"/>
      <c r="F71" s="699"/>
      <c r="G71" s="699"/>
      <c r="H71" s="700"/>
      <c r="I71" s="700"/>
      <c r="J71" s="700"/>
      <c r="K71" s="700"/>
      <c r="L71" s="700"/>
      <c r="M71" s="700"/>
      <c r="N71" s="700"/>
      <c r="O71" s="700"/>
      <c r="P71" s="700"/>
      <c r="Q71" s="700"/>
      <c r="R71" s="700"/>
      <c r="S71" s="700"/>
      <c r="T71" s="700"/>
      <c r="U71" s="700"/>
      <c r="V71" s="700"/>
      <c r="W71" s="700"/>
      <c r="X71" s="701"/>
    </row>
    <row r="72" spans="1:31" s="177" customFormat="1" ht="28.9" thickBot="1" x14ac:dyDescent="0.5">
      <c r="C72" s="178"/>
      <c r="D72" s="178"/>
      <c r="E72" s="179" t="s">
        <v>77</v>
      </c>
      <c r="F72" s="179" t="s">
        <v>78</v>
      </c>
      <c r="G72" s="179" t="s">
        <v>79</v>
      </c>
      <c r="H72" s="178"/>
      <c r="I72" s="180"/>
      <c r="J72" s="178"/>
      <c r="K72" s="178"/>
      <c r="L72" s="178"/>
      <c r="M72" s="178"/>
      <c r="Q72" s="181">
        <f>+C81/C80*C82</f>
        <v>291.66666666666669</v>
      </c>
      <c r="U72" s="182">
        <v>0.05</v>
      </c>
    </row>
    <row r="73" spans="1:31" s="177" customFormat="1" ht="23.65" thickBot="1" x14ac:dyDescent="0.5">
      <c r="A73" s="708" t="s">
        <v>9</v>
      </c>
      <c r="B73" s="709"/>
      <c r="C73" s="710"/>
      <c r="D73" s="178"/>
      <c r="E73" s="183">
        <f>+'Summary Equip'!AL27</f>
        <v>0</v>
      </c>
      <c r="F73" s="183">
        <f>+'Summary Equip'!AM27</f>
        <v>0</v>
      </c>
      <c r="G73" s="183">
        <f>+'Summary Equip'!AN27</f>
        <v>0</v>
      </c>
      <c r="H73" s="178"/>
      <c r="I73" s="711" t="s">
        <v>34</v>
      </c>
      <c r="J73" s="712"/>
      <c r="K73" s="712"/>
      <c r="L73" s="712"/>
      <c r="M73" s="713"/>
      <c r="O73" s="711" t="s">
        <v>35</v>
      </c>
      <c r="P73" s="714"/>
      <c r="Q73" s="712"/>
      <c r="R73" s="712"/>
      <c r="S73" s="712"/>
      <c r="T73" s="712"/>
      <c r="U73" s="712"/>
      <c r="V73" s="712"/>
      <c r="W73" s="715"/>
      <c r="X73" s="716"/>
      <c r="AA73" s="184">
        <v>0</v>
      </c>
    </row>
    <row r="74" spans="1:31" s="177" customFormat="1" ht="28.9" thickBot="1" x14ac:dyDescent="0.5">
      <c r="A74" s="185" t="s">
        <v>0</v>
      </c>
      <c r="B74" s="186" t="s">
        <v>1</v>
      </c>
      <c r="C74" s="187" t="s">
        <v>10</v>
      </c>
      <c r="D74" s="178"/>
      <c r="E74" s="178"/>
      <c r="F74" s="178"/>
      <c r="G74" s="178"/>
      <c r="H74" s="178"/>
      <c r="I74" s="188" t="s">
        <v>15</v>
      </c>
      <c r="J74" s="189" t="s">
        <v>16</v>
      </c>
      <c r="K74" s="189" t="s">
        <v>17</v>
      </c>
      <c r="L74" s="189" t="s">
        <v>18</v>
      </c>
      <c r="M74" s="190" t="s">
        <v>19</v>
      </c>
      <c r="O74" s="188" t="s">
        <v>15</v>
      </c>
      <c r="P74" s="191" t="s">
        <v>39</v>
      </c>
      <c r="Q74" s="189" t="s">
        <v>36</v>
      </c>
      <c r="R74" s="189" t="s">
        <v>37</v>
      </c>
      <c r="S74" s="189" t="s">
        <v>27</v>
      </c>
      <c r="T74" s="189" t="s">
        <v>38</v>
      </c>
      <c r="U74" s="189" t="s">
        <v>7</v>
      </c>
      <c r="V74" s="189" t="s">
        <v>41</v>
      </c>
      <c r="W74" s="190" t="s">
        <v>40</v>
      </c>
      <c r="X74" s="192" t="s">
        <v>42</v>
      </c>
      <c r="Z74" s="193" t="s">
        <v>71</v>
      </c>
      <c r="AA74" s="193" t="s">
        <v>46</v>
      </c>
      <c r="AB74" s="193" t="s">
        <v>47</v>
      </c>
    </row>
    <row r="75" spans="1:31" s="177" customFormat="1" x14ac:dyDescent="0.45">
      <c r="A75" s="194">
        <v>1</v>
      </c>
      <c r="B75" s="195" t="s">
        <v>11</v>
      </c>
      <c r="C75" s="196">
        <f>+F79*(1+'Summary Equip'!$N$3)</f>
        <v>7804.8780487804879</v>
      </c>
      <c r="D75" s="197"/>
      <c r="E75" s="194" t="s">
        <v>61</v>
      </c>
      <c r="F75" s="198">
        <f>+IF(G73=1,'Summary Equip'!Q29,'Summary Equip'!J27)</f>
        <v>0</v>
      </c>
      <c r="G75" s="199"/>
      <c r="H75" s="178"/>
      <c r="I75" s="200">
        <v>1</v>
      </c>
      <c r="J75" s="201">
        <f>C75</f>
        <v>7804.8780487804879</v>
      </c>
      <c r="K75" s="201">
        <f>J75*$C$8*30.44/365.25</f>
        <v>34.474376053822141</v>
      </c>
      <c r="L75" s="201">
        <f>L125</f>
        <v>-234.97191138893348</v>
      </c>
      <c r="M75" s="202">
        <f t="shared" ref="M75:M122" si="27">J75+K75+L75</f>
        <v>7604.3805134453769</v>
      </c>
      <c r="O75" s="200">
        <v>1</v>
      </c>
      <c r="P75" s="203">
        <f>Q72</f>
        <v>291.66666666666669</v>
      </c>
      <c r="Q75" s="201">
        <f t="shared" ref="Q75:Q110" si="28">$F$110+($Q$4*$G$42)</f>
        <v>6135.4425317076821</v>
      </c>
      <c r="R75" s="201">
        <f>+L75</f>
        <v>-234.97191138893348</v>
      </c>
      <c r="S75" s="201">
        <f>-S124/C80</f>
        <v>0</v>
      </c>
      <c r="T75" s="201"/>
      <c r="U75" s="201">
        <f>-Q75*U72</f>
        <v>-306.77212658538411</v>
      </c>
      <c r="V75" s="201">
        <f>-(AB75*$C$9/12)</f>
        <v>-319.83739837398377</v>
      </c>
      <c r="W75" s="204">
        <f>SUM(Q75:V75)</f>
        <v>5273.8610953593807</v>
      </c>
      <c r="X75" s="205">
        <f>W75</f>
        <v>5273.8610953593807</v>
      </c>
      <c r="Z75" s="206">
        <f>+$D$27-(($D$27+$D$28)*O75/$B$22)</f>
        <v>153521.95121951221</v>
      </c>
      <c r="AA75" s="193">
        <f>+Z75*$AA$5</f>
        <v>0</v>
      </c>
      <c r="AB75" s="206">
        <f>+Z75+AA75</f>
        <v>153521.95121951221</v>
      </c>
    </row>
    <row r="76" spans="1:31" s="177" customFormat="1" ht="28.5" x14ac:dyDescent="0.45">
      <c r="A76" s="207">
        <f>A75+1</f>
        <v>2</v>
      </c>
      <c r="B76" s="193" t="s">
        <v>3</v>
      </c>
      <c r="C76" s="208">
        <f>+C8</f>
        <v>5.2999999999999999E-2</v>
      </c>
      <c r="D76" s="178"/>
      <c r="E76" s="209" t="s">
        <v>64</v>
      </c>
      <c r="F76" s="210">
        <f>+'Summary Equip'!D27*(1-'CAT 14t comp'!E73)</f>
        <v>0</v>
      </c>
      <c r="G76" s="211"/>
      <c r="H76" s="178"/>
      <c r="I76" s="212">
        <f>I75+1</f>
        <v>2</v>
      </c>
      <c r="J76" s="213">
        <f>M75</f>
        <v>7604.3805134453769</v>
      </c>
      <c r="K76" s="213">
        <f t="shared" ref="K76:K110" si="29">J76*$C$8*30.44/365.25</f>
        <v>33.588772539224351</v>
      </c>
      <c r="L76" s="213">
        <f>L75</f>
        <v>-234.97191138893348</v>
      </c>
      <c r="M76" s="214">
        <f t="shared" si="27"/>
        <v>7402.9973745956677</v>
      </c>
      <c r="O76" s="212">
        <f>O75+1</f>
        <v>2</v>
      </c>
      <c r="P76" s="215">
        <f>P75+$Q$4</f>
        <v>811.79166666666674</v>
      </c>
      <c r="Q76" s="201">
        <f t="shared" si="28"/>
        <v>6135.4425317076821</v>
      </c>
      <c r="R76" s="201">
        <f t="shared" ref="R76:R122" si="30">+L76</f>
        <v>-234.97191138893348</v>
      </c>
      <c r="S76" s="213">
        <f>+S75</f>
        <v>0</v>
      </c>
      <c r="T76" s="213"/>
      <c r="U76" s="213">
        <f>U75</f>
        <v>-306.77212658538411</v>
      </c>
      <c r="V76" s="201">
        <f t="shared" ref="V76:V82" si="31">-(AB76*$C$9/12)</f>
        <v>-314.47154471544718</v>
      </c>
      <c r="W76" s="204">
        <f t="shared" ref="W76:W122" si="32">SUM(Q76:V76)</f>
        <v>5279.2269490179169</v>
      </c>
      <c r="X76" s="216">
        <f>X75+W76</f>
        <v>10553.088044377299</v>
      </c>
      <c r="Z76" s="206">
        <f>+$D$27-(($D$27+$D$28)*O76/$B$22)</f>
        <v>150946.34146341463</v>
      </c>
      <c r="AA76" s="193">
        <f t="shared" ref="AA76:AA122" si="33">+Z76*$AA$5</f>
        <v>0</v>
      </c>
      <c r="AB76" s="206">
        <f t="shared" ref="AB76:AB122" si="34">+Z76+AA76</f>
        <v>150946.34146341463</v>
      </c>
    </row>
    <row r="77" spans="1:31" s="177" customFormat="1" x14ac:dyDescent="0.45">
      <c r="A77" s="207">
        <f t="shared" ref="A77:A82" si="35">A76+1</f>
        <v>3</v>
      </c>
      <c r="B77" s="193" t="s">
        <v>4</v>
      </c>
      <c r="C77" s="208">
        <f>+C9</f>
        <v>2.5000000000000001E-2</v>
      </c>
      <c r="D77" s="178"/>
      <c r="E77" s="109" t="s">
        <v>69</v>
      </c>
      <c r="F77" s="149">
        <f>+F9</f>
        <v>7804.8780487804879</v>
      </c>
      <c r="G77" s="110"/>
      <c r="H77" s="178"/>
      <c r="I77" s="212">
        <f t="shared" ref="I77:I122" si="36">I76+1</f>
        <v>3</v>
      </c>
      <c r="J77" s="213">
        <f t="shared" ref="J77:J91" si="37">M76</f>
        <v>7402.9973745956677</v>
      </c>
      <c r="K77" s="213">
        <f t="shared" si="29"/>
        <v>32.699257287837597</v>
      </c>
      <c r="L77" s="213">
        <f t="shared" ref="L77:L109" si="38">L76</f>
        <v>-234.97191138893348</v>
      </c>
      <c r="M77" s="214">
        <f t="shared" si="27"/>
        <v>7200.7247204945725</v>
      </c>
      <c r="O77" s="212">
        <f t="shared" ref="O77:O122" si="39">O76+1</f>
        <v>3</v>
      </c>
      <c r="P77" s="215">
        <f t="shared" ref="P77:P122" si="40">P76+$Q$4</f>
        <v>1331.9166666666667</v>
      </c>
      <c r="Q77" s="201">
        <f t="shared" si="28"/>
        <v>6135.4425317076821</v>
      </c>
      <c r="R77" s="201">
        <f t="shared" si="30"/>
        <v>-234.97191138893348</v>
      </c>
      <c r="S77" s="213">
        <f t="shared" ref="S77:S122" si="41">+S76</f>
        <v>0</v>
      </c>
      <c r="T77" s="213"/>
      <c r="U77" s="213">
        <f t="shared" ref="U77:U122" si="42">U76</f>
        <v>-306.77212658538411</v>
      </c>
      <c r="V77" s="201">
        <f t="shared" si="31"/>
        <v>-309.10569105691064</v>
      </c>
      <c r="W77" s="204">
        <f t="shared" si="32"/>
        <v>5284.5928026764541</v>
      </c>
      <c r="X77" s="216">
        <f t="shared" ref="X77:X122" si="43">X76+W77</f>
        <v>15837.680847053753</v>
      </c>
      <c r="Z77" s="206">
        <f t="shared" ref="Z77:Z122" si="44">+$D$27-(($D$27+$D$28)*O77/$B$22)</f>
        <v>148370.73170731709</v>
      </c>
      <c r="AA77" s="193">
        <f t="shared" si="33"/>
        <v>0</v>
      </c>
      <c r="AB77" s="206">
        <f t="shared" si="34"/>
        <v>148370.73170731709</v>
      </c>
    </row>
    <row r="78" spans="1:31" s="177" customFormat="1" ht="14.65" thickBot="1" x14ac:dyDescent="0.5">
      <c r="A78" s="207">
        <f t="shared" si="35"/>
        <v>4</v>
      </c>
      <c r="B78" s="193" t="s">
        <v>5</v>
      </c>
      <c r="C78" s="208">
        <f>+C10</f>
        <v>0.05</v>
      </c>
      <c r="D78" s="178"/>
      <c r="E78" s="111" t="s">
        <v>52</v>
      </c>
      <c r="F78" s="217">
        <f>(SUM(F75:F77)*G78)*(1-F73)</f>
        <v>0</v>
      </c>
      <c r="G78" s="218">
        <f>+G10</f>
        <v>0</v>
      </c>
      <c r="H78" s="178"/>
      <c r="I78" s="212">
        <f t="shared" si="36"/>
        <v>4</v>
      </c>
      <c r="J78" s="213">
        <f t="shared" si="37"/>
        <v>7200.7247204945725</v>
      </c>
      <c r="K78" s="213">
        <f t="shared" si="29"/>
        <v>31.805813021405349</v>
      </c>
      <c r="L78" s="213">
        <f t="shared" si="38"/>
        <v>-234.97191138893348</v>
      </c>
      <c r="M78" s="214">
        <f t="shared" si="27"/>
        <v>6997.5586221270441</v>
      </c>
      <c r="O78" s="212">
        <f t="shared" si="39"/>
        <v>4</v>
      </c>
      <c r="P78" s="215">
        <f t="shared" si="40"/>
        <v>1852.0416666666667</v>
      </c>
      <c r="Q78" s="201">
        <f t="shared" si="28"/>
        <v>6135.4425317076821</v>
      </c>
      <c r="R78" s="201">
        <f t="shared" si="30"/>
        <v>-234.97191138893348</v>
      </c>
      <c r="S78" s="213">
        <f t="shared" si="41"/>
        <v>0</v>
      </c>
      <c r="T78" s="213"/>
      <c r="U78" s="213">
        <f t="shared" si="42"/>
        <v>-306.77212658538411</v>
      </c>
      <c r="V78" s="201">
        <f t="shared" si="31"/>
        <v>-303.73983739837399</v>
      </c>
      <c r="W78" s="204">
        <f t="shared" si="32"/>
        <v>5289.9586563349903</v>
      </c>
      <c r="X78" s="216">
        <f t="shared" si="43"/>
        <v>21127.639503388742</v>
      </c>
      <c r="Z78" s="206">
        <f t="shared" si="44"/>
        <v>145795.12195121951</v>
      </c>
      <c r="AA78" s="193">
        <f t="shared" si="33"/>
        <v>0</v>
      </c>
      <c r="AB78" s="206">
        <f t="shared" si="34"/>
        <v>145795.12195121951</v>
      </c>
    </row>
    <row r="79" spans="1:31" s="177" customFormat="1" ht="14.65" thickBot="1" x14ac:dyDescent="0.5">
      <c r="A79" s="207">
        <f t="shared" si="35"/>
        <v>5</v>
      </c>
      <c r="B79" s="193" t="s">
        <v>12</v>
      </c>
      <c r="C79" s="208">
        <f>+C11</f>
        <v>0.01</v>
      </c>
      <c r="D79" s="178"/>
      <c r="E79" s="112" t="s">
        <v>28</v>
      </c>
      <c r="F79" s="219">
        <f>SUM(F75:F78)</f>
        <v>7804.8780487804879</v>
      </c>
      <c r="G79" s="113"/>
      <c r="H79" s="178"/>
      <c r="I79" s="212">
        <f t="shared" si="36"/>
        <v>5</v>
      </c>
      <c r="J79" s="213">
        <f t="shared" si="37"/>
        <v>6997.5586221270441</v>
      </c>
      <c r="K79" s="213">
        <f t="shared" si="29"/>
        <v>30.908422385352509</v>
      </c>
      <c r="L79" s="213">
        <f t="shared" si="38"/>
        <v>-234.97191138893348</v>
      </c>
      <c r="M79" s="214">
        <f t="shared" si="27"/>
        <v>6793.4951331234633</v>
      </c>
      <c r="O79" s="212">
        <f t="shared" si="39"/>
        <v>5</v>
      </c>
      <c r="P79" s="215">
        <f t="shared" si="40"/>
        <v>2372.166666666667</v>
      </c>
      <c r="Q79" s="201">
        <f t="shared" si="28"/>
        <v>6135.4425317076821</v>
      </c>
      <c r="R79" s="201">
        <f t="shared" si="30"/>
        <v>-234.97191138893348</v>
      </c>
      <c r="S79" s="213">
        <f t="shared" si="41"/>
        <v>0</v>
      </c>
      <c r="T79" s="213"/>
      <c r="U79" s="213">
        <f t="shared" si="42"/>
        <v>-306.77212658538411</v>
      </c>
      <c r="V79" s="201">
        <f t="shared" si="31"/>
        <v>-298.37398373983746</v>
      </c>
      <c r="W79" s="204">
        <f t="shared" si="32"/>
        <v>5295.3245099935275</v>
      </c>
      <c r="X79" s="216">
        <f t="shared" si="43"/>
        <v>26422.964013382269</v>
      </c>
      <c r="Z79" s="206">
        <f t="shared" si="44"/>
        <v>143219.51219512196</v>
      </c>
      <c r="AA79" s="193">
        <f t="shared" si="33"/>
        <v>0</v>
      </c>
      <c r="AB79" s="206">
        <f t="shared" si="34"/>
        <v>143219.51219512196</v>
      </c>
    </row>
    <row r="80" spans="1:31" s="177" customFormat="1" x14ac:dyDescent="0.45">
      <c r="A80" s="207">
        <f t="shared" si="35"/>
        <v>6</v>
      </c>
      <c r="B80" s="193" t="s">
        <v>13</v>
      </c>
      <c r="C80" s="220">
        <v>36</v>
      </c>
      <c r="D80" s="178"/>
      <c r="E80" s="178"/>
      <c r="F80" s="178"/>
      <c r="G80" s="178"/>
      <c r="H80" s="178"/>
      <c r="I80" s="212">
        <f t="shared" si="36"/>
        <v>6</v>
      </c>
      <c r="J80" s="213">
        <f t="shared" si="37"/>
        <v>6793.4951331234633</v>
      </c>
      <c r="K80" s="213">
        <f t="shared" si="29"/>
        <v>30.007067948448313</v>
      </c>
      <c r="L80" s="213">
        <f t="shared" si="38"/>
        <v>-234.97191138893348</v>
      </c>
      <c r="M80" s="214">
        <f t="shared" si="27"/>
        <v>6588.530289682978</v>
      </c>
      <c r="O80" s="212">
        <f t="shared" si="39"/>
        <v>6</v>
      </c>
      <c r="P80" s="215">
        <f t="shared" si="40"/>
        <v>2892.291666666667</v>
      </c>
      <c r="Q80" s="201">
        <f t="shared" si="28"/>
        <v>6135.4425317076821</v>
      </c>
      <c r="R80" s="201">
        <f t="shared" si="30"/>
        <v>-234.97191138893348</v>
      </c>
      <c r="S80" s="213">
        <f t="shared" si="41"/>
        <v>0</v>
      </c>
      <c r="T80" s="213"/>
      <c r="U80" s="213">
        <f t="shared" si="42"/>
        <v>-306.77212658538411</v>
      </c>
      <c r="V80" s="201">
        <f t="shared" si="31"/>
        <v>-293.00813008130081</v>
      </c>
      <c r="W80" s="204">
        <f t="shared" si="32"/>
        <v>5300.6903636520638</v>
      </c>
      <c r="X80" s="216">
        <f t="shared" si="43"/>
        <v>31723.654377034334</v>
      </c>
      <c r="Z80" s="206">
        <f t="shared" si="44"/>
        <v>140643.90243902439</v>
      </c>
      <c r="AA80" s="193">
        <f t="shared" si="33"/>
        <v>0</v>
      </c>
      <c r="AB80" s="206">
        <f t="shared" si="34"/>
        <v>140643.90243902439</v>
      </c>
    </row>
    <row r="81" spans="1:28" s="177" customFormat="1" x14ac:dyDescent="0.45">
      <c r="A81" s="207">
        <f t="shared" si="35"/>
        <v>7</v>
      </c>
      <c r="B81" s="193" t="s">
        <v>14</v>
      </c>
      <c r="C81" s="220">
        <f>+C13</f>
        <v>15000</v>
      </c>
      <c r="D81" s="178"/>
      <c r="E81" s="178"/>
      <c r="F81" s="178"/>
      <c r="G81" s="178"/>
      <c r="H81" s="178"/>
      <c r="I81" s="212">
        <f t="shared" si="36"/>
        <v>7</v>
      </c>
      <c r="J81" s="213">
        <f t="shared" si="37"/>
        <v>6588.530289682978</v>
      </c>
      <c r="K81" s="213">
        <f t="shared" si="29"/>
        <v>29.101732202467737</v>
      </c>
      <c r="L81" s="213">
        <f t="shared" si="38"/>
        <v>-234.97191138893348</v>
      </c>
      <c r="M81" s="214">
        <f t="shared" si="27"/>
        <v>6382.660110496513</v>
      </c>
      <c r="O81" s="212">
        <f t="shared" si="39"/>
        <v>7</v>
      </c>
      <c r="P81" s="215">
        <f t="shared" si="40"/>
        <v>3412.416666666667</v>
      </c>
      <c r="Q81" s="201">
        <f t="shared" si="28"/>
        <v>6135.4425317076821</v>
      </c>
      <c r="R81" s="201">
        <f t="shared" si="30"/>
        <v>-234.97191138893348</v>
      </c>
      <c r="S81" s="213">
        <f t="shared" si="41"/>
        <v>0</v>
      </c>
      <c r="T81" s="213"/>
      <c r="U81" s="213">
        <f t="shared" si="42"/>
        <v>-306.77212658538411</v>
      </c>
      <c r="V81" s="201">
        <f t="shared" si="31"/>
        <v>-287.64227642276427</v>
      </c>
      <c r="W81" s="204">
        <f t="shared" si="32"/>
        <v>5306.0562173106</v>
      </c>
      <c r="X81" s="216">
        <f t="shared" si="43"/>
        <v>37029.710594344935</v>
      </c>
      <c r="Z81" s="206">
        <f t="shared" si="44"/>
        <v>138068.29268292684</v>
      </c>
      <c r="AA81" s="193">
        <f t="shared" si="33"/>
        <v>0</v>
      </c>
      <c r="AB81" s="206">
        <f t="shared" si="34"/>
        <v>138068.29268292684</v>
      </c>
    </row>
    <row r="82" spans="1:28" s="177" customFormat="1" ht="14.65" thickBot="1" x14ac:dyDescent="0.5">
      <c r="A82" s="221">
        <f t="shared" si="35"/>
        <v>8</v>
      </c>
      <c r="B82" s="222" t="s">
        <v>33</v>
      </c>
      <c r="C82" s="208">
        <v>0.7</v>
      </c>
      <c r="D82" s="178"/>
      <c r="E82" s="178"/>
      <c r="F82" s="178"/>
      <c r="G82" s="178"/>
      <c r="H82" s="178"/>
      <c r="I82" s="212">
        <f t="shared" si="36"/>
        <v>8</v>
      </c>
      <c r="J82" s="213">
        <f t="shared" si="37"/>
        <v>6382.660110496513</v>
      </c>
      <c r="K82" s="213">
        <f t="shared" si="29"/>
        <v>28.192397561851426</v>
      </c>
      <c r="L82" s="213">
        <f t="shared" si="38"/>
        <v>-234.97191138893348</v>
      </c>
      <c r="M82" s="214">
        <f t="shared" si="27"/>
        <v>6175.8805966694308</v>
      </c>
      <c r="O82" s="212">
        <f t="shared" si="39"/>
        <v>8</v>
      </c>
      <c r="P82" s="215">
        <f t="shared" si="40"/>
        <v>3932.541666666667</v>
      </c>
      <c r="Q82" s="201">
        <f t="shared" si="28"/>
        <v>6135.4425317076821</v>
      </c>
      <c r="R82" s="201">
        <f t="shared" si="30"/>
        <v>-234.97191138893348</v>
      </c>
      <c r="S82" s="213">
        <f t="shared" si="41"/>
        <v>0</v>
      </c>
      <c r="T82" s="213"/>
      <c r="U82" s="213">
        <f t="shared" si="42"/>
        <v>-306.77212658538411</v>
      </c>
      <c r="V82" s="201">
        <f t="shared" si="31"/>
        <v>-282.27642276422768</v>
      </c>
      <c r="W82" s="204">
        <f t="shared" si="32"/>
        <v>5311.4220709691372</v>
      </c>
      <c r="X82" s="216">
        <f t="shared" si="43"/>
        <v>42341.132665314071</v>
      </c>
      <c r="Z82" s="206">
        <f t="shared" si="44"/>
        <v>135492.68292682926</v>
      </c>
      <c r="AA82" s="193">
        <f t="shared" si="33"/>
        <v>0</v>
      </c>
      <c r="AB82" s="206">
        <f t="shared" si="34"/>
        <v>135492.68292682926</v>
      </c>
    </row>
    <row r="83" spans="1:28" s="177" customFormat="1" ht="14.65" thickBot="1" x14ac:dyDescent="0.5">
      <c r="C83" s="178"/>
      <c r="D83" s="178"/>
      <c r="E83" s="178"/>
      <c r="F83" s="178"/>
      <c r="G83" s="178"/>
      <c r="H83" s="178"/>
      <c r="I83" s="212">
        <f t="shared" si="36"/>
        <v>9</v>
      </c>
      <c r="J83" s="213">
        <f t="shared" si="37"/>
        <v>6175.8805966694308</v>
      </c>
      <c r="K83" s="213">
        <f t="shared" si="29"/>
        <v>27.279046363364067</v>
      </c>
      <c r="L83" s="213">
        <f t="shared" si="38"/>
        <v>-234.97191138893348</v>
      </c>
      <c r="M83" s="214">
        <f t="shared" si="27"/>
        <v>5968.1877316438613</v>
      </c>
      <c r="O83" s="212">
        <f t="shared" si="39"/>
        <v>9</v>
      </c>
      <c r="P83" s="215">
        <f t="shared" si="40"/>
        <v>4452.666666666667</v>
      </c>
      <c r="Q83" s="201">
        <f t="shared" si="28"/>
        <v>6135.4425317076821</v>
      </c>
      <c r="R83" s="201">
        <f t="shared" si="30"/>
        <v>-234.97191138893348</v>
      </c>
      <c r="S83" s="213">
        <f t="shared" si="41"/>
        <v>0</v>
      </c>
      <c r="T83" s="213"/>
      <c r="U83" s="213">
        <f t="shared" si="42"/>
        <v>-306.77212658538411</v>
      </c>
      <c r="V83" s="201">
        <f>-(AB83*$C$9/12)</f>
        <v>-276.91056910569108</v>
      </c>
      <c r="W83" s="204">
        <f t="shared" si="32"/>
        <v>5316.7879246276734</v>
      </c>
      <c r="X83" s="216">
        <f t="shared" si="43"/>
        <v>47657.920589941743</v>
      </c>
      <c r="Z83" s="206">
        <f t="shared" si="44"/>
        <v>132917.07317073172</v>
      </c>
      <c r="AA83" s="193">
        <f t="shared" si="33"/>
        <v>0</v>
      </c>
      <c r="AB83" s="206">
        <f t="shared" si="34"/>
        <v>132917.07317073172</v>
      </c>
    </row>
    <row r="84" spans="1:28" s="177" customFormat="1" ht="16.149999999999999" thickBot="1" x14ac:dyDescent="0.5">
      <c r="A84" s="717" t="s">
        <v>43</v>
      </c>
      <c r="B84" s="718"/>
      <c r="C84" s="718"/>
      <c r="D84" s="718"/>
      <c r="E84" s="719"/>
      <c r="F84" s="223"/>
      <c r="G84" s="223"/>
      <c r="H84" s="224"/>
      <c r="I84" s="212">
        <f t="shared" si="36"/>
        <v>10</v>
      </c>
      <c r="J84" s="213">
        <f t="shared" si="37"/>
        <v>5968.1877316438613</v>
      </c>
      <c r="K84" s="213">
        <f t="shared" si="29"/>
        <v>26.361660865751332</v>
      </c>
      <c r="L84" s="213">
        <f t="shared" si="38"/>
        <v>-234.97191138893348</v>
      </c>
      <c r="M84" s="214">
        <f t="shared" si="27"/>
        <v>5759.5774811206793</v>
      </c>
      <c r="O84" s="212">
        <f t="shared" si="39"/>
        <v>10</v>
      </c>
      <c r="P84" s="215">
        <f t="shared" si="40"/>
        <v>4972.791666666667</v>
      </c>
      <c r="Q84" s="201">
        <f t="shared" si="28"/>
        <v>6135.4425317076821</v>
      </c>
      <c r="R84" s="201">
        <f t="shared" si="30"/>
        <v>-234.97191138893348</v>
      </c>
      <c r="S84" s="213">
        <f t="shared" si="41"/>
        <v>0</v>
      </c>
      <c r="T84" s="213"/>
      <c r="U84" s="213">
        <f t="shared" si="42"/>
        <v>-306.77212658538411</v>
      </c>
      <c r="V84" s="201">
        <f t="shared" ref="V84:V122" si="45">-(AB84*$C$9/12)</f>
        <v>-271.54471544715449</v>
      </c>
      <c r="W84" s="204">
        <f t="shared" si="32"/>
        <v>5322.1537782862097</v>
      </c>
      <c r="X84" s="216">
        <f t="shared" si="43"/>
        <v>52980.07436822795</v>
      </c>
      <c r="Z84" s="206">
        <f t="shared" si="44"/>
        <v>130341.46341463414</v>
      </c>
      <c r="AA84" s="193">
        <f t="shared" si="33"/>
        <v>0</v>
      </c>
      <c r="AB84" s="206">
        <f t="shared" si="34"/>
        <v>130341.46341463414</v>
      </c>
    </row>
    <row r="85" spans="1:28" s="177" customFormat="1" ht="14.65" thickBot="1" x14ac:dyDescent="0.5">
      <c r="A85" s="225" t="s">
        <v>44</v>
      </c>
      <c r="B85" s="226" t="s">
        <v>48</v>
      </c>
      <c r="C85" s="226" t="s">
        <v>45</v>
      </c>
      <c r="D85" s="227" t="s">
        <v>46</v>
      </c>
      <c r="E85" s="192" t="s">
        <v>47</v>
      </c>
      <c r="F85" s="223"/>
      <c r="G85" s="223"/>
      <c r="H85" s="224"/>
      <c r="I85" s="212">
        <f t="shared" si="36"/>
        <v>11</v>
      </c>
      <c r="J85" s="213">
        <f t="shared" si="37"/>
        <v>5759.5774811206793</v>
      </c>
      <c r="K85" s="213">
        <f t="shared" si="29"/>
        <v>25.440223249395249</v>
      </c>
      <c r="L85" s="213">
        <f t="shared" si="38"/>
        <v>-234.97191138893348</v>
      </c>
      <c r="M85" s="214">
        <f t="shared" si="27"/>
        <v>5550.0457929811409</v>
      </c>
      <c r="O85" s="212">
        <f t="shared" si="39"/>
        <v>11</v>
      </c>
      <c r="P85" s="215">
        <f t="shared" si="40"/>
        <v>5492.916666666667</v>
      </c>
      <c r="Q85" s="201">
        <f t="shared" si="28"/>
        <v>6135.4425317076821</v>
      </c>
      <c r="R85" s="201">
        <f t="shared" si="30"/>
        <v>-234.97191138893348</v>
      </c>
      <c r="S85" s="213">
        <f t="shared" si="41"/>
        <v>0</v>
      </c>
      <c r="T85" s="213"/>
      <c r="U85" s="213">
        <f t="shared" si="42"/>
        <v>-306.77212658538411</v>
      </c>
      <c r="V85" s="201">
        <f t="shared" si="45"/>
        <v>-266.17886178861789</v>
      </c>
      <c r="W85" s="204">
        <f t="shared" si="32"/>
        <v>5327.5196319447468</v>
      </c>
      <c r="X85" s="216">
        <f t="shared" si="43"/>
        <v>58307.594000172699</v>
      </c>
      <c r="Z85" s="206">
        <f t="shared" si="44"/>
        <v>127765.85365853658</v>
      </c>
      <c r="AA85" s="193">
        <f t="shared" si="33"/>
        <v>0</v>
      </c>
      <c r="AB85" s="206">
        <f t="shared" si="34"/>
        <v>127765.85365853658</v>
      </c>
    </row>
    <row r="86" spans="1:28" s="177" customFormat="1" x14ac:dyDescent="0.45">
      <c r="A86" s="228">
        <v>1</v>
      </c>
      <c r="B86" s="229">
        <v>12</v>
      </c>
      <c r="C86" s="230">
        <f>D$27-(D$27+D$28)*B86/60</f>
        <v>125190.24390243902</v>
      </c>
      <c r="D86" s="231">
        <v>0.1</v>
      </c>
      <c r="E86" s="232">
        <f t="shared" ref="E86:E91" si="46">C86/(100%-D86)</f>
        <v>139100.27100271001</v>
      </c>
      <c r="F86" s="178"/>
      <c r="G86" s="178"/>
      <c r="H86" s="178"/>
      <c r="I86" s="212">
        <f t="shared" si="36"/>
        <v>12</v>
      </c>
      <c r="J86" s="213">
        <f t="shared" si="37"/>
        <v>5550.0457929811409</v>
      </c>
      <c r="K86" s="213">
        <f t="shared" si="29"/>
        <v>24.514715615968061</v>
      </c>
      <c r="L86" s="213">
        <f t="shared" si="38"/>
        <v>-234.97191138893348</v>
      </c>
      <c r="M86" s="214">
        <f t="shared" si="27"/>
        <v>5339.588597208176</v>
      </c>
      <c r="O86" s="212">
        <f t="shared" si="39"/>
        <v>12</v>
      </c>
      <c r="P86" s="215">
        <f t="shared" si="40"/>
        <v>6013.041666666667</v>
      </c>
      <c r="Q86" s="201">
        <f t="shared" si="28"/>
        <v>6135.4425317076821</v>
      </c>
      <c r="R86" s="201">
        <f t="shared" si="30"/>
        <v>-234.97191138893348</v>
      </c>
      <c r="S86" s="213">
        <f t="shared" si="41"/>
        <v>0</v>
      </c>
      <c r="T86" s="213"/>
      <c r="U86" s="213">
        <f t="shared" si="42"/>
        <v>-306.77212658538411</v>
      </c>
      <c r="V86" s="201">
        <f t="shared" si="45"/>
        <v>-260.8130081300813</v>
      </c>
      <c r="W86" s="204">
        <f t="shared" si="32"/>
        <v>5332.8854856032831</v>
      </c>
      <c r="X86" s="216">
        <f t="shared" si="43"/>
        <v>63640.479485775984</v>
      </c>
      <c r="Z86" s="206">
        <f t="shared" si="44"/>
        <v>125190.24390243902</v>
      </c>
      <c r="AA86" s="193">
        <f t="shared" si="33"/>
        <v>0</v>
      </c>
      <c r="AB86" s="206">
        <f t="shared" si="34"/>
        <v>125190.24390243902</v>
      </c>
    </row>
    <row r="87" spans="1:28" s="177" customFormat="1" x14ac:dyDescent="0.45">
      <c r="A87" s="207">
        <f>A86+1</f>
        <v>2</v>
      </c>
      <c r="B87" s="193">
        <f>B86+12</f>
        <v>24</v>
      </c>
      <c r="C87" s="206">
        <f>D$27-(D$27+D$28)*B87/60</f>
        <v>94282.926829268283</v>
      </c>
      <c r="D87" s="233">
        <f>D86</f>
        <v>0.1</v>
      </c>
      <c r="E87" s="234">
        <f t="shared" si="46"/>
        <v>104758.80758807587</v>
      </c>
      <c r="F87" s="178"/>
      <c r="G87" s="178"/>
      <c r="H87" s="178"/>
      <c r="I87" s="212">
        <f t="shared" si="36"/>
        <v>13</v>
      </c>
      <c r="J87" s="213">
        <f t="shared" si="37"/>
        <v>5339.588597208176</v>
      </c>
      <c r="K87" s="213">
        <f t="shared" si="29"/>
        <v>23.585119988084585</v>
      </c>
      <c r="L87" s="213">
        <f t="shared" si="38"/>
        <v>-234.97191138893348</v>
      </c>
      <c r="M87" s="214">
        <f t="shared" si="27"/>
        <v>5128.2018058073272</v>
      </c>
      <c r="O87" s="212">
        <f t="shared" si="39"/>
        <v>13</v>
      </c>
      <c r="P87" s="215">
        <f t="shared" si="40"/>
        <v>6533.166666666667</v>
      </c>
      <c r="Q87" s="201">
        <f t="shared" si="28"/>
        <v>6135.4425317076821</v>
      </c>
      <c r="R87" s="201">
        <f t="shared" si="30"/>
        <v>-234.97191138893348</v>
      </c>
      <c r="S87" s="213">
        <f t="shared" si="41"/>
        <v>0</v>
      </c>
      <c r="T87" s="213"/>
      <c r="U87" s="213">
        <f t="shared" si="42"/>
        <v>-306.77212658538411</v>
      </c>
      <c r="V87" s="201">
        <f t="shared" si="45"/>
        <v>-255.44715447154476</v>
      </c>
      <c r="W87" s="204">
        <f t="shared" si="32"/>
        <v>5338.2513392618202</v>
      </c>
      <c r="X87" s="216">
        <f t="shared" si="43"/>
        <v>68978.730825037812</v>
      </c>
      <c r="Z87" s="206">
        <f t="shared" si="44"/>
        <v>122614.63414634147</v>
      </c>
      <c r="AA87" s="193">
        <f t="shared" si="33"/>
        <v>0</v>
      </c>
      <c r="AB87" s="206">
        <f t="shared" si="34"/>
        <v>122614.63414634147</v>
      </c>
    </row>
    <row r="88" spans="1:28" s="177" customFormat="1" x14ac:dyDescent="0.45">
      <c r="A88" s="207">
        <f>A87+1</f>
        <v>3</v>
      </c>
      <c r="B88" s="193">
        <f>B87+12</f>
        <v>36</v>
      </c>
      <c r="C88" s="206">
        <f>D$27-(D$27+D$28)*B88/60</f>
        <v>63375.609756097561</v>
      </c>
      <c r="D88" s="233">
        <f>D87</f>
        <v>0.1</v>
      </c>
      <c r="E88" s="234">
        <f t="shared" si="46"/>
        <v>70417.344173441728</v>
      </c>
      <c r="F88" s="178"/>
      <c r="G88" s="178"/>
      <c r="H88" s="178"/>
      <c r="I88" s="212">
        <f t="shared" si="36"/>
        <v>14</v>
      </c>
      <c r="J88" s="213">
        <f t="shared" si="37"/>
        <v>5128.2018058073272</v>
      </c>
      <c r="K88" s="213">
        <f t="shared" si="29"/>
        <v>22.651418308952984</v>
      </c>
      <c r="L88" s="213">
        <f t="shared" si="38"/>
        <v>-234.97191138893348</v>
      </c>
      <c r="M88" s="214">
        <f t="shared" si="27"/>
        <v>4915.881312727347</v>
      </c>
      <c r="O88" s="212">
        <f t="shared" si="39"/>
        <v>14</v>
      </c>
      <c r="P88" s="215">
        <f t="shared" si="40"/>
        <v>7053.291666666667</v>
      </c>
      <c r="Q88" s="201">
        <f t="shared" si="28"/>
        <v>6135.4425317076821</v>
      </c>
      <c r="R88" s="201">
        <f t="shared" si="30"/>
        <v>-234.97191138893348</v>
      </c>
      <c r="S88" s="213">
        <f t="shared" si="41"/>
        <v>0</v>
      </c>
      <c r="T88" s="213"/>
      <c r="U88" s="213">
        <f t="shared" si="42"/>
        <v>-306.77212658538411</v>
      </c>
      <c r="V88" s="201">
        <f t="shared" si="45"/>
        <v>-250.08130081300814</v>
      </c>
      <c r="W88" s="204">
        <f t="shared" si="32"/>
        <v>5343.6171929203565</v>
      </c>
      <c r="X88" s="216">
        <f t="shared" si="43"/>
        <v>74322.348017958167</v>
      </c>
      <c r="Z88" s="206">
        <f t="shared" si="44"/>
        <v>120039.0243902439</v>
      </c>
      <c r="AA88" s="193">
        <f t="shared" si="33"/>
        <v>0</v>
      </c>
      <c r="AB88" s="206">
        <f t="shared" si="34"/>
        <v>120039.0243902439</v>
      </c>
    </row>
    <row r="89" spans="1:28" s="177" customFormat="1" x14ac:dyDescent="0.45">
      <c r="A89" s="207">
        <f>A88+1</f>
        <v>4</v>
      </c>
      <c r="B89" s="193">
        <f>B88+12</f>
        <v>48</v>
      </c>
      <c r="C89" s="206">
        <f>D$27-(D$27+D$28)*B89/60</f>
        <v>32468.292682926825</v>
      </c>
      <c r="D89" s="233">
        <f>D88</f>
        <v>0.1</v>
      </c>
      <c r="E89" s="234">
        <f t="shared" si="46"/>
        <v>36075.88075880758</v>
      </c>
      <c r="F89" s="178"/>
      <c r="G89" s="178"/>
      <c r="H89" s="178"/>
      <c r="I89" s="212">
        <f t="shared" si="36"/>
        <v>15</v>
      </c>
      <c r="J89" s="213">
        <f t="shared" si="37"/>
        <v>4915.881312727347</v>
      </c>
      <c r="K89" s="213">
        <f t="shared" si="29"/>
        <v>21.713592442024048</v>
      </c>
      <c r="L89" s="213">
        <f t="shared" si="38"/>
        <v>-234.97191138893348</v>
      </c>
      <c r="M89" s="214">
        <f t="shared" si="27"/>
        <v>4702.6229937804383</v>
      </c>
      <c r="O89" s="212">
        <f t="shared" si="39"/>
        <v>15</v>
      </c>
      <c r="P89" s="215">
        <f t="shared" si="40"/>
        <v>7573.416666666667</v>
      </c>
      <c r="Q89" s="201">
        <f t="shared" si="28"/>
        <v>6135.4425317076821</v>
      </c>
      <c r="R89" s="201">
        <f t="shared" si="30"/>
        <v>-234.97191138893348</v>
      </c>
      <c r="S89" s="213">
        <f t="shared" si="41"/>
        <v>0</v>
      </c>
      <c r="T89" s="213"/>
      <c r="U89" s="213">
        <f t="shared" si="42"/>
        <v>-306.77212658538411</v>
      </c>
      <c r="V89" s="201">
        <f t="shared" si="45"/>
        <v>-244.71544715447158</v>
      </c>
      <c r="W89" s="204">
        <f t="shared" si="32"/>
        <v>5348.9830465788928</v>
      </c>
      <c r="X89" s="216">
        <f t="shared" si="43"/>
        <v>79671.331064537066</v>
      </c>
      <c r="Z89" s="206">
        <f t="shared" si="44"/>
        <v>117463.41463414635</v>
      </c>
      <c r="AA89" s="193">
        <f t="shared" si="33"/>
        <v>0</v>
      </c>
      <c r="AB89" s="206">
        <f t="shared" si="34"/>
        <v>117463.41463414635</v>
      </c>
    </row>
    <row r="90" spans="1:28" s="177" customFormat="1" x14ac:dyDescent="0.45">
      <c r="A90" s="207">
        <f>A89+1</f>
        <v>5</v>
      </c>
      <c r="B90" s="193">
        <f>B89+12</f>
        <v>60</v>
      </c>
      <c r="C90" s="206">
        <f>D$27-(D$27+D$28)*B90/60</f>
        <v>1560.9756097561039</v>
      </c>
      <c r="D90" s="233">
        <f>D89</f>
        <v>0.1</v>
      </c>
      <c r="E90" s="234">
        <f t="shared" si="46"/>
        <v>1734.4173441734488</v>
      </c>
      <c r="F90" s="178"/>
      <c r="G90" s="178"/>
      <c r="H90" s="178"/>
      <c r="I90" s="212">
        <f t="shared" si="36"/>
        <v>16</v>
      </c>
      <c r="J90" s="213">
        <f t="shared" si="37"/>
        <v>4702.6229937804383</v>
      </c>
      <c r="K90" s="213">
        <f t="shared" si="29"/>
        <v>20.771624170638894</v>
      </c>
      <c r="L90" s="213">
        <f t="shared" si="38"/>
        <v>-234.97191138893348</v>
      </c>
      <c r="M90" s="214">
        <f t="shared" si="27"/>
        <v>4488.4227065621435</v>
      </c>
      <c r="O90" s="212">
        <f t="shared" si="39"/>
        <v>16</v>
      </c>
      <c r="P90" s="215">
        <f t="shared" si="40"/>
        <v>8093.541666666667</v>
      </c>
      <c r="Q90" s="201">
        <f t="shared" si="28"/>
        <v>6135.4425317076821</v>
      </c>
      <c r="R90" s="201">
        <f t="shared" si="30"/>
        <v>-234.97191138893348</v>
      </c>
      <c r="S90" s="213">
        <f t="shared" si="41"/>
        <v>0</v>
      </c>
      <c r="T90" s="213"/>
      <c r="U90" s="213">
        <f t="shared" si="42"/>
        <v>-306.77212658538411</v>
      </c>
      <c r="V90" s="201">
        <f t="shared" si="45"/>
        <v>-239.34959349593495</v>
      </c>
      <c r="W90" s="204">
        <f t="shared" si="32"/>
        <v>5354.3489002374299</v>
      </c>
      <c r="X90" s="216">
        <f t="shared" si="43"/>
        <v>85025.679964774492</v>
      </c>
      <c r="Z90" s="206">
        <f t="shared" si="44"/>
        <v>114887.80487804877</v>
      </c>
      <c r="AA90" s="193">
        <f t="shared" si="33"/>
        <v>0</v>
      </c>
      <c r="AB90" s="206">
        <f t="shared" si="34"/>
        <v>114887.80487804877</v>
      </c>
    </row>
    <row r="91" spans="1:28" s="177" customFormat="1" ht="14.65" thickBot="1" x14ac:dyDescent="0.5">
      <c r="A91" s="221">
        <f>A90+1</f>
        <v>6</v>
      </c>
      <c r="B91" s="222">
        <f>B90+12</f>
        <v>72</v>
      </c>
      <c r="C91" s="235">
        <v>1</v>
      </c>
      <c r="D91" s="236">
        <f>D90</f>
        <v>0.1</v>
      </c>
      <c r="E91" s="237">
        <f t="shared" si="46"/>
        <v>1.1111111111111112</v>
      </c>
      <c r="H91" s="178"/>
      <c r="I91" s="212">
        <f t="shared" si="36"/>
        <v>17</v>
      </c>
      <c r="J91" s="213">
        <f t="shared" si="37"/>
        <v>4488.4227065621435</v>
      </c>
      <c r="K91" s="213">
        <f t="shared" si="29"/>
        <v>19.825495197675121</v>
      </c>
      <c r="L91" s="213">
        <f t="shared" si="38"/>
        <v>-234.97191138893348</v>
      </c>
      <c r="M91" s="214">
        <f t="shared" si="27"/>
        <v>4273.2762903708854</v>
      </c>
      <c r="O91" s="212">
        <f t="shared" si="39"/>
        <v>17</v>
      </c>
      <c r="P91" s="215">
        <f t="shared" si="40"/>
        <v>8613.6666666666679</v>
      </c>
      <c r="Q91" s="201">
        <f t="shared" si="28"/>
        <v>6135.4425317076821</v>
      </c>
      <c r="R91" s="201">
        <f t="shared" si="30"/>
        <v>-234.97191138893348</v>
      </c>
      <c r="S91" s="213">
        <f t="shared" si="41"/>
        <v>0</v>
      </c>
      <c r="T91" s="213"/>
      <c r="U91" s="213">
        <f t="shared" si="42"/>
        <v>-306.77212658538411</v>
      </c>
      <c r="V91" s="201">
        <f t="shared" si="45"/>
        <v>-233.98373983739839</v>
      </c>
      <c r="W91" s="204">
        <f t="shared" si="32"/>
        <v>5359.7147538959662</v>
      </c>
      <c r="X91" s="216">
        <f t="shared" si="43"/>
        <v>90385.394718670461</v>
      </c>
      <c r="Z91" s="206">
        <f t="shared" si="44"/>
        <v>112312.19512195123</v>
      </c>
      <c r="AA91" s="193">
        <f t="shared" si="33"/>
        <v>0</v>
      </c>
      <c r="AB91" s="206">
        <f t="shared" si="34"/>
        <v>112312.19512195123</v>
      </c>
    </row>
    <row r="92" spans="1:28" s="177" customFormat="1" ht="14.65" thickBot="1" x14ac:dyDescent="0.5">
      <c r="H92" s="178"/>
      <c r="I92" s="212">
        <f>I91+1</f>
        <v>18</v>
      </c>
      <c r="J92" s="213">
        <f>M91</f>
        <v>4273.2762903708854</v>
      </c>
      <c r="K92" s="213">
        <f t="shared" si="29"/>
        <v>18.875187145191394</v>
      </c>
      <c r="L92" s="213">
        <f>L91</f>
        <v>-234.97191138893348</v>
      </c>
      <c r="M92" s="214">
        <f t="shared" si="27"/>
        <v>4057.1795661271431</v>
      </c>
      <c r="O92" s="212">
        <f>O91+1</f>
        <v>18</v>
      </c>
      <c r="P92" s="215">
        <f t="shared" si="40"/>
        <v>9133.7916666666679</v>
      </c>
      <c r="Q92" s="201">
        <f t="shared" si="28"/>
        <v>6135.4425317076821</v>
      </c>
      <c r="R92" s="201">
        <f t="shared" si="30"/>
        <v>-234.97191138893348</v>
      </c>
      <c r="S92" s="213">
        <f t="shared" si="41"/>
        <v>0</v>
      </c>
      <c r="T92" s="213"/>
      <c r="U92" s="213">
        <f t="shared" si="42"/>
        <v>-306.77212658538411</v>
      </c>
      <c r="V92" s="201">
        <f t="shared" si="45"/>
        <v>-228.6178861788618</v>
      </c>
      <c r="W92" s="204">
        <f t="shared" si="32"/>
        <v>5365.0806075545024</v>
      </c>
      <c r="X92" s="216">
        <f t="shared" si="43"/>
        <v>95750.475326224958</v>
      </c>
      <c r="Z92" s="206">
        <f t="shared" si="44"/>
        <v>109736.58536585365</v>
      </c>
      <c r="AA92" s="193">
        <f t="shared" si="33"/>
        <v>0</v>
      </c>
      <c r="AB92" s="206">
        <f t="shared" si="34"/>
        <v>109736.58536585365</v>
      </c>
    </row>
    <row r="93" spans="1:28" s="177" customFormat="1" ht="31.15" thickBot="1" x14ac:dyDescent="0.5">
      <c r="A93" s="720" t="s">
        <v>21</v>
      </c>
      <c r="B93" s="721"/>
      <c r="C93" s="721"/>
      <c r="D93" s="721"/>
      <c r="E93" s="721"/>
      <c r="F93" s="721"/>
      <c r="G93" s="722"/>
      <c r="H93" s="178"/>
      <c r="I93" s="212">
        <f t="shared" si="36"/>
        <v>19</v>
      </c>
      <c r="J93" s="213">
        <f t="shared" ref="J93:J110" si="47">M92</f>
        <v>4057.1795661271431</v>
      </c>
      <c r="K93" s="213">
        <f t="shared" si="29"/>
        <v>17.92068155407048</v>
      </c>
      <c r="L93" s="213">
        <f t="shared" si="38"/>
        <v>-234.97191138893348</v>
      </c>
      <c r="M93" s="214">
        <f t="shared" si="27"/>
        <v>3840.12833629228</v>
      </c>
      <c r="O93" s="212">
        <f t="shared" si="39"/>
        <v>19</v>
      </c>
      <c r="P93" s="215">
        <f t="shared" si="40"/>
        <v>9653.9166666666679</v>
      </c>
      <c r="Q93" s="201">
        <f t="shared" si="28"/>
        <v>6135.4425317076821</v>
      </c>
      <c r="R93" s="201">
        <f t="shared" si="30"/>
        <v>-234.97191138893348</v>
      </c>
      <c r="S93" s="213">
        <f t="shared" si="41"/>
        <v>0</v>
      </c>
      <c r="T93" s="213"/>
      <c r="U93" s="213">
        <f t="shared" si="42"/>
        <v>-306.77212658538411</v>
      </c>
      <c r="V93" s="201">
        <f t="shared" si="45"/>
        <v>-223.25203252032523</v>
      </c>
      <c r="W93" s="204">
        <f t="shared" si="32"/>
        <v>5370.4464612130396</v>
      </c>
      <c r="X93" s="216">
        <f t="shared" si="43"/>
        <v>101120.921787438</v>
      </c>
      <c r="Z93" s="206">
        <f t="shared" si="44"/>
        <v>107160.9756097561</v>
      </c>
      <c r="AA93" s="193">
        <f t="shared" si="33"/>
        <v>0</v>
      </c>
      <c r="AB93" s="206">
        <f t="shared" si="34"/>
        <v>107160.9756097561</v>
      </c>
    </row>
    <row r="94" spans="1:28" s="177" customFormat="1" ht="28.9" thickBot="1" x14ac:dyDescent="0.5">
      <c r="A94" s="238" t="s">
        <v>0</v>
      </c>
      <c r="B94" s="239" t="s">
        <v>1</v>
      </c>
      <c r="C94" s="240" t="s">
        <v>22</v>
      </c>
      <c r="D94" s="240" t="s">
        <v>10</v>
      </c>
      <c r="E94" s="240" t="s">
        <v>23</v>
      </c>
      <c r="F94" s="240" t="s">
        <v>24</v>
      </c>
      <c r="G94" s="241" t="s">
        <v>25</v>
      </c>
      <c r="H94" s="178"/>
      <c r="I94" s="212">
        <f t="shared" si="36"/>
        <v>20</v>
      </c>
      <c r="J94" s="213">
        <f t="shared" si="47"/>
        <v>3840.12833629228</v>
      </c>
      <c r="K94" s="213">
        <f t="shared" si="29"/>
        <v>16.961959883660676</v>
      </c>
      <c r="L94" s="213">
        <f t="shared" si="38"/>
        <v>-234.97191138893348</v>
      </c>
      <c r="M94" s="214">
        <f t="shared" si="27"/>
        <v>3622.118384787007</v>
      </c>
      <c r="O94" s="212">
        <f t="shared" si="39"/>
        <v>20</v>
      </c>
      <c r="P94" s="215">
        <f t="shared" si="40"/>
        <v>10174.041666666668</v>
      </c>
      <c r="Q94" s="201">
        <f t="shared" si="28"/>
        <v>6135.4425317076821</v>
      </c>
      <c r="R94" s="201">
        <f t="shared" si="30"/>
        <v>-234.97191138893348</v>
      </c>
      <c r="S94" s="213">
        <f t="shared" si="41"/>
        <v>0</v>
      </c>
      <c r="T94" s="213"/>
      <c r="U94" s="213">
        <f t="shared" si="42"/>
        <v>-306.77212658538411</v>
      </c>
      <c r="V94" s="201">
        <f t="shared" si="45"/>
        <v>-217.88617886178864</v>
      </c>
      <c r="W94" s="204">
        <f t="shared" si="32"/>
        <v>5375.8123148715758</v>
      </c>
      <c r="X94" s="216">
        <f t="shared" si="43"/>
        <v>106496.73410230958</v>
      </c>
      <c r="Z94" s="206">
        <f t="shared" si="44"/>
        <v>104585.36585365854</v>
      </c>
      <c r="AA94" s="193">
        <f t="shared" si="33"/>
        <v>0</v>
      </c>
      <c r="AB94" s="206">
        <f t="shared" si="34"/>
        <v>104585.36585365854</v>
      </c>
    </row>
    <row r="95" spans="1:28" s="177" customFormat="1" x14ac:dyDescent="0.45">
      <c r="A95" s="194">
        <v>1</v>
      </c>
      <c r="B95" s="195" t="s">
        <v>16</v>
      </c>
      <c r="C95" s="242">
        <v>1</v>
      </c>
      <c r="D95" s="243">
        <f>+C75*C95</f>
        <v>7804.8780487804879</v>
      </c>
      <c r="E95" s="244">
        <v>0.5</v>
      </c>
      <c r="F95" s="245">
        <f>E95*D95</f>
        <v>3902.439024390244</v>
      </c>
      <c r="G95" s="246">
        <f>D95-F95</f>
        <v>3902.439024390244</v>
      </c>
      <c r="H95" s="178"/>
      <c r="I95" s="212">
        <f t="shared" si="36"/>
        <v>21</v>
      </c>
      <c r="J95" s="213">
        <f t="shared" si="47"/>
        <v>3622.118384787007</v>
      </c>
      <c r="K95" s="213">
        <f t="shared" si="29"/>
        <v>15.999003511415671</v>
      </c>
      <c r="L95" s="213">
        <f t="shared" si="38"/>
        <v>-234.97191138893348</v>
      </c>
      <c r="M95" s="214">
        <f t="shared" si="27"/>
        <v>3403.1454769094889</v>
      </c>
      <c r="O95" s="212">
        <f t="shared" si="39"/>
        <v>21</v>
      </c>
      <c r="P95" s="215">
        <f t="shared" si="40"/>
        <v>10694.166666666668</v>
      </c>
      <c r="Q95" s="201">
        <f t="shared" si="28"/>
        <v>6135.4425317076821</v>
      </c>
      <c r="R95" s="201">
        <f t="shared" si="30"/>
        <v>-234.97191138893348</v>
      </c>
      <c r="S95" s="213">
        <f t="shared" si="41"/>
        <v>0</v>
      </c>
      <c r="T95" s="213"/>
      <c r="U95" s="213">
        <f t="shared" si="42"/>
        <v>-306.77212658538411</v>
      </c>
      <c r="V95" s="201">
        <f t="shared" si="45"/>
        <v>-212.52032520325204</v>
      </c>
      <c r="W95" s="204">
        <f t="shared" si="32"/>
        <v>5381.1781685301121</v>
      </c>
      <c r="X95" s="216">
        <f t="shared" si="43"/>
        <v>111877.91227083969</v>
      </c>
      <c r="Z95" s="206">
        <f t="shared" si="44"/>
        <v>102009.75609756098</v>
      </c>
      <c r="AA95" s="193">
        <f t="shared" si="33"/>
        <v>0</v>
      </c>
      <c r="AB95" s="206">
        <f t="shared" si="34"/>
        <v>102009.75609756098</v>
      </c>
    </row>
    <row r="96" spans="1:28" s="177" customFormat="1" x14ac:dyDescent="0.45">
      <c r="A96" s="207">
        <f>A95+1</f>
        <v>2</v>
      </c>
      <c r="B96" s="193" t="s">
        <v>12</v>
      </c>
      <c r="C96" s="247">
        <f>C79</f>
        <v>0.01</v>
      </c>
      <c r="D96" s="248">
        <f>-C96*C75</f>
        <v>-78.048780487804876</v>
      </c>
      <c r="E96" s="249">
        <f>E95</f>
        <v>0.5</v>
      </c>
      <c r="F96" s="213">
        <f t="shared" ref="F96:F101" si="48">E96*D96</f>
        <v>-39.024390243902438</v>
      </c>
      <c r="G96" s="214">
        <f>D96-F96</f>
        <v>-39.024390243902438</v>
      </c>
      <c r="H96" s="178"/>
      <c r="I96" s="212">
        <f t="shared" si="36"/>
        <v>22</v>
      </c>
      <c r="J96" s="213">
        <f t="shared" si="47"/>
        <v>3403.1454769094889</v>
      </c>
      <c r="K96" s="213">
        <f t="shared" si="29"/>
        <v>15.031793732532831</v>
      </c>
      <c r="L96" s="213">
        <f t="shared" si="38"/>
        <v>-234.97191138893348</v>
      </c>
      <c r="M96" s="214">
        <f t="shared" si="27"/>
        <v>3183.2053592530879</v>
      </c>
      <c r="O96" s="212">
        <f t="shared" si="39"/>
        <v>22</v>
      </c>
      <c r="P96" s="215">
        <f t="shared" si="40"/>
        <v>11214.291666666668</v>
      </c>
      <c r="Q96" s="201">
        <f t="shared" si="28"/>
        <v>6135.4425317076821</v>
      </c>
      <c r="R96" s="201">
        <f t="shared" si="30"/>
        <v>-234.97191138893348</v>
      </c>
      <c r="S96" s="213">
        <f t="shared" si="41"/>
        <v>0</v>
      </c>
      <c r="T96" s="213"/>
      <c r="U96" s="213">
        <f t="shared" si="42"/>
        <v>-306.77212658538411</v>
      </c>
      <c r="V96" s="201">
        <f t="shared" si="45"/>
        <v>-207.15447154471545</v>
      </c>
      <c r="W96" s="204">
        <f t="shared" si="32"/>
        <v>5386.5440221886493</v>
      </c>
      <c r="X96" s="216">
        <f t="shared" si="43"/>
        <v>117264.45629302834</v>
      </c>
      <c r="Z96" s="206">
        <f t="shared" si="44"/>
        <v>99434.146341463405</v>
      </c>
      <c r="AA96" s="193">
        <f t="shared" si="33"/>
        <v>0</v>
      </c>
      <c r="AB96" s="206">
        <f t="shared" si="34"/>
        <v>99434.146341463405</v>
      </c>
    </row>
    <row r="97" spans="1:28" s="177" customFormat="1" x14ac:dyDescent="0.45">
      <c r="A97" s="207">
        <f t="shared" ref="A97:A102" si="49">A96+1</f>
        <v>3</v>
      </c>
      <c r="B97" s="193" t="s">
        <v>17</v>
      </c>
      <c r="C97" s="250">
        <f>C76</f>
        <v>5.2999999999999999E-2</v>
      </c>
      <c r="D97" s="213">
        <f>K123</f>
        <v>654.17030664290508</v>
      </c>
      <c r="E97" s="249">
        <v>1</v>
      </c>
      <c r="F97" s="213">
        <f t="shared" si="48"/>
        <v>654.17030664290508</v>
      </c>
      <c r="G97" s="214">
        <f>D97-F97</f>
        <v>0</v>
      </c>
      <c r="H97" s="178"/>
      <c r="I97" s="212">
        <f t="shared" si="36"/>
        <v>23</v>
      </c>
      <c r="J97" s="213">
        <f t="shared" si="47"/>
        <v>3183.2053592530879</v>
      </c>
      <c r="K97" s="213">
        <f t="shared" si="29"/>
        <v>14.060311759589847</v>
      </c>
      <c r="L97" s="213">
        <f t="shared" si="38"/>
        <v>-234.97191138893348</v>
      </c>
      <c r="M97" s="214">
        <f t="shared" si="27"/>
        <v>2962.2937596237439</v>
      </c>
      <c r="O97" s="212">
        <f t="shared" si="39"/>
        <v>23</v>
      </c>
      <c r="P97" s="215">
        <f t="shared" si="40"/>
        <v>11734.416666666668</v>
      </c>
      <c r="Q97" s="201">
        <f t="shared" si="28"/>
        <v>6135.4425317076821</v>
      </c>
      <c r="R97" s="201">
        <f t="shared" si="30"/>
        <v>-234.97191138893348</v>
      </c>
      <c r="S97" s="213">
        <f t="shared" si="41"/>
        <v>0</v>
      </c>
      <c r="T97" s="213"/>
      <c r="U97" s="213">
        <f t="shared" si="42"/>
        <v>-306.77212658538411</v>
      </c>
      <c r="V97" s="201">
        <f t="shared" si="45"/>
        <v>-201.78861788617886</v>
      </c>
      <c r="W97" s="204">
        <f t="shared" si="32"/>
        <v>5391.9098758471855</v>
      </c>
      <c r="X97" s="216">
        <f t="shared" si="43"/>
        <v>122656.36616887552</v>
      </c>
      <c r="Z97" s="206">
        <f t="shared" si="44"/>
        <v>96858.536585365859</v>
      </c>
      <c r="AA97" s="193">
        <f t="shared" si="33"/>
        <v>0</v>
      </c>
      <c r="AB97" s="206">
        <f t="shared" si="34"/>
        <v>96858.536585365859</v>
      </c>
    </row>
    <row r="98" spans="1:28" s="177" customFormat="1" x14ac:dyDescent="0.45">
      <c r="A98" s="207">
        <f t="shared" si="49"/>
        <v>4</v>
      </c>
      <c r="B98" s="193" t="s">
        <v>6</v>
      </c>
      <c r="C98" s="249">
        <f>C77</f>
        <v>2.5000000000000001E-2</v>
      </c>
      <c r="D98" s="213">
        <f>-V123</f>
        <v>9299.5121951219535</v>
      </c>
      <c r="E98" s="249">
        <v>1</v>
      </c>
      <c r="F98" s="213">
        <f t="shared" si="48"/>
        <v>9299.5121951219535</v>
      </c>
      <c r="G98" s="214">
        <f>D98-F98</f>
        <v>0</v>
      </c>
      <c r="H98" s="178"/>
      <c r="I98" s="212">
        <f t="shared" si="36"/>
        <v>24</v>
      </c>
      <c r="J98" s="213">
        <f t="shared" si="47"/>
        <v>2962.2937596237439</v>
      </c>
      <c r="K98" s="213">
        <f t="shared" si="29"/>
        <v>13.08453872217982</v>
      </c>
      <c r="L98" s="213">
        <f t="shared" si="38"/>
        <v>-234.97191138893348</v>
      </c>
      <c r="M98" s="214">
        <f t="shared" si="27"/>
        <v>2740.40638695699</v>
      </c>
      <c r="O98" s="212">
        <f t="shared" si="39"/>
        <v>24</v>
      </c>
      <c r="P98" s="215">
        <f t="shared" si="40"/>
        <v>12254.541666666668</v>
      </c>
      <c r="Q98" s="201">
        <f t="shared" si="28"/>
        <v>6135.4425317076821</v>
      </c>
      <c r="R98" s="201">
        <f t="shared" si="30"/>
        <v>-234.97191138893348</v>
      </c>
      <c r="S98" s="213">
        <f t="shared" si="41"/>
        <v>0</v>
      </c>
      <c r="T98" s="213"/>
      <c r="U98" s="213">
        <f t="shared" si="42"/>
        <v>-306.77212658538411</v>
      </c>
      <c r="V98" s="201">
        <f t="shared" si="45"/>
        <v>-196.42276422764226</v>
      </c>
      <c r="W98" s="204">
        <f t="shared" si="32"/>
        <v>5397.2757295057227</v>
      </c>
      <c r="X98" s="216">
        <f t="shared" si="43"/>
        <v>128053.64189838125</v>
      </c>
      <c r="Z98" s="206">
        <f t="shared" si="44"/>
        <v>94282.926829268283</v>
      </c>
      <c r="AA98" s="193">
        <f t="shared" si="33"/>
        <v>0</v>
      </c>
      <c r="AB98" s="206">
        <f t="shared" si="34"/>
        <v>94282.926829268283</v>
      </c>
    </row>
    <row r="99" spans="1:28" s="177" customFormat="1" x14ac:dyDescent="0.45">
      <c r="A99" s="207">
        <f t="shared" si="49"/>
        <v>5</v>
      </c>
      <c r="B99" s="193" t="s">
        <v>27</v>
      </c>
      <c r="C99" s="247">
        <f>+C31</f>
        <v>0.5</v>
      </c>
      <c r="D99" s="251">
        <f>C99*('Summary Equip'!$J$27)*(1+'Summary Equip'!$N$3)</f>
        <v>0</v>
      </c>
      <c r="E99" s="249">
        <v>0</v>
      </c>
      <c r="F99" s="213">
        <f t="shared" si="48"/>
        <v>0</v>
      </c>
      <c r="G99" s="214">
        <f>D99</f>
        <v>0</v>
      </c>
      <c r="H99" s="178"/>
      <c r="I99" s="212">
        <f t="shared" si="36"/>
        <v>25</v>
      </c>
      <c r="J99" s="213">
        <f t="shared" si="47"/>
        <v>2740.40638695699</v>
      </c>
      <c r="K99" s="213">
        <f t="shared" si="29"/>
        <v>12.104455666544698</v>
      </c>
      <c r="L99" s="213">
        <f t="shared" si="38"/>
        <v>-234.97191138893348</v>
      </c>
      <c r="M99" s="214">
        <f t="shared" si="27"/>
        <v>2517.538931234601</v>
      </c>
      <c r="O99" s="212">
        <f t="shared" si="39"/>
        <v>25</v>
      </c>
      <c r="P99" s="215">
        <f t="shared" si="40"/>
        <v>12774.666666666668</v>
      </c>
      <c r="Q99" s="201">
        <f t="shared" si="28"/>
        <v>6135.4425317076821</v>
      </c>
      <c r="R99" s="201">
        <f t="shared" si="30"/>
        <v>-234.97191138893348</v>
      </c>
      <c r="S99" s="213">
        <f t="shared" si="41"/>
        <v>0</v>
      </c>
      <c r="T99" s="213"/>
      <c r="U99" s="213">
        <f t="shared" si="42"/>
        <v>-306.77212658538411</v>
      </c>
      <c r="V99" s="201">
        <f t="shared" si="45"/>
        <v>-191.05691056910572</v>
      </c>
      <c r="W99" s="204">
        <f t="shared" si="32"/>
        <v>5402.6415831642589</v>
      </c>
      <c r="X99" s="216">
        <f t="shared" si="43"/>
        <v>133456.28348154551</v>
      </c>
      <c r="Z99" s="206">
        <f t="shared" si="44"/>
        <v>91707.317073170736</v>
      </c>
      <c r="AA99" s="193">
        <f t="shared" si="33"/>
        <v>0</v>
      </c>
      <c r="AB99" s="206">
        <f t="shared" si="34"/>
        <v>91707.317073170736</v>
      </c>
    </row>
    <row r="100" spans="1:28" s="177" customFormat="1" ht="28.5" x14ac:dyDescent="0.45">
      <c r="A100" s="207">
        <f t="shared" si="49"/>
        <v>6</v>
      </c>
      <c r="B100" s="193" t="s">
        <v>81</v>
      </c>
      <c r="C100" s="247">
        <f>+C32</f>
        <v>0.15</v>
      </c>
      <c r="D100" s="251">
        <f>C100*('Summary Equip'!$J$27)*(1+'Summary Equip'!$N$3)</f>
        <v>0</v>
      </c>
      <c r="E100" s="249">
        <v>0</v>
      </c>
      <c r="F100" s="213">
        <f t="shared" si="48"/>
        <v>0</v>
      </c>
      <c r="G100" s="214">
        <f>D100</f>
        <v>0</v>
      </c>
      <c r="H100" s="178"/>
      <c r="I100" s="212">
        <f t="shared" si="36"/>
        <v>26</v>
      </c>
      <c r="J100" s="213">
        <f t="shared" si="47"/>
        <v>2517.538931234601</v>
      </c>
      <c r="K100" s="213">
        <f t="shared" si="29"/>
        <v>11.120043555207136</v>
      </c>
      <c r="L100" s="213">
        <f t="shared" si="38"/>
        <v>-234.97191138893348</v>
      </c>
      <c r="M100" s="214">
        <f t="shared" si="27"/>
        <v>2293.6870634008746</v>
      </c>
      <c r="O100" s="212">
        <f t="shared" si="39"/>
        <v>26</v>
      </c>
      <c r="P100" s="215">
        <f t="shared" si="40"/>
        <v>13294.791666666668</v>
      </c>
      <c r="Q100" s="201">
        <f t="shared" si="28"/>
        <v>6135.4425317076821</v>
      </c>
      <c r="R100" s="201">
        <f t="shared" si="30"/>
        <v>-234.97191138893348</v>
      </c>
      <c r="S100" s="213">
        <f t="shared" si="41"/>
        <v>0</v>
      </c>
      <c r="T100" s="213"/>
      <c r="U100" s="213">
        <f t="shared" si="42"/>
        <v>-306.77212658538411</v>
      </c>
      <c r="V100" s="201">
        <f t="shared" si="45"/>
        <v>-185.69105691056913</v>
      </c>
      <c r="W100" s="204">
        <f t="shared" si="32"/>
        <v>5408.0074368227952</v>
      </c>
      <c r="X100" s="216">
        <f t="shared" si="43"/>
        <v>138864.29091836832</v>
      </c>
      <c r="Z100" s="206">
        <f t="shared" si="44"/>
        <v>89131.707317073175</v>
      </c>
      <c r="AA100" s="193">
        <f t="shared" si="33"/>
        <v>0</v>
      </c>
      <c r="AB100" s="206">
        <f t="shared" si="34"/>
        <v>89131.707317073175</v>
      </c>
    </row>
    <row r="101" spans="1:28" s="177" customFormat="1" ht="14.65" thickBot="1" x14ac:dyDescent="0.5">
      <c r="A101" s="221">
        <f t="shared" si="49"/>
        <v>7</v>
      </c>
      <c r="B101" s="222" t="s">
        <v>32</v>
      </c>
      <c r="C101" s="247">
        <f>+C33</f>
        <v>0.03</v>
      </c>
      <c r="D101" s="251">
        <f>C101*('Summary Equip'!$J$27)*(1+'Summary Equip'!$N$3)</f>
        <v>0</v>
      </c>
      <c r="E101" s="252">
        <v>0</v>
      </c>
      <c r="F101" s="253">
        <f t="shared" si="48"/>
        <v>0</v>
      </c>
      <c r="G101" s="254">
        <f>D101</f>
        <v>0</v>
      </c>
      <c r="H101" s="178"/>
      <c r="I101" s="212">
        <f t="shared" si="36"/>
        <v>27</v>
      </c>
      <c r="J101" s="213">
        <f t="shared" si="47"/>
        <v>2293.6870634008746</v>
      </c>
      <c r="K101" s="213">
        <f t="shared" si="29"/>
        <v>10.131283266600681</v>
      </c>
      <c r="L101" s="213">
        <f t="shared" si="38"/>
        <v>-234.97191138893348</v>
      </c>
      <c r="M101" s="214">
        <f t="shared" si="27"/>
        <v>2068.8464352785418</v>
      </c>
      <c r="O101" s="212">
        <f t="shared" si="39"/>
        <v>27</v>
      </c>
      <c r="P101" s="215">
        <f t="shared" si="40"/>
        <v>13814.916666666668</v>
      </c>
      <c r="Q101" s="201">
        <f t="shared" si="28"/>
        <v>6135.4425317076821</v>
      </c>
      <c r="R101" s="201">
        <f t="shared" si="30"/>
        <v>-234.97191138893348</v>
      </c>
      <c r="S101" s="213">
        <f t="shared" si="41"/>
        <v>0</v>
      </c>
      <c r="T101" s="213"/>
      <c r="U101" s="213">
        <f t="shared" si="42"/>
        <v>-306.77212658538411</v>
      </c>
      <c r="V101" s="201">
        <f t="shared" si="45"/>
        <v>-180.32520325203254</v>
      </c>
      <c r="W101" s="204">
        <f t="shared" si="32"/>
        <v>5413.3732904813323</v>
      </c>
      <c r="X101" s="216">
        <f t="shared" si="43"/>
        <v>144277.66420884966</v>
      </c>
      <c r="Z101" s="206">
        <f t="shared" si="44"/>
        <v>86556.097560975613</v>
      </c>
      <c r="AA101" s="193">
        <f t="shared" si="33"/>
        <v>0</v>
      </c>
      <c r="AB101" s="206">
        <f t="shared" si="34"/>
        <v>86556.097560975613</v>
      </c>
    </row>
    <row r="102" spans="1:28" s="177" customFormat="1" ht="14.65" thickBot="1" x14ac:dyDescent="0.5">
      <c r="A102" s="255">
        <f t="shared" si="49"/>
        <v>8</v>
      </c>
      <c r="B102" s="256" t="s">
        <v>8</v>
      </c>
      <c r="C102" s="257"/>
      <c r="D102" s="258"/>
      <c r="E102" s="259"/>
      <c r="F102" s="260">
        <f>SUM(F95:F101)</f>
        <v>13817.097135911201</v>
      </c>
      <c r="G102" s="261">
        <f>SUM(G95:G101)</f>
        <v>3863.4146341463415</v>
      </c>
      <c r="H102" s="178"/>
      <c r="I102" s="212">
        <f t="shared" si="36"/>
        <v>28</v>
      </c>
      <c r="J102" s="213">
        <f t="shared" si="47"/>
        <v>2068.8464352785418</v>
      </c>
      <c r="K102" s="213">
        <f t="shared" si="29"/>
        <v>9.1381555946983646</v>
      </c>
      <c r="L102" s="213">
        <f t="shared" si="38"/>
        <v>-234.97191138893348</v>
      </c>
      <c r="M102" s="214">
        <f t="shared" si="27"/>
        <v>1843.0126794843065</v>
      </c>
      <c r="O102" s="212">
        <f t="shared" si="39"/>
        <v>28</v>
      </c>
      <c r="P102" s="215">
        <f t="shared" si="40"/>
        <v>14335.041666666668</v>
      </c>
      <c r="Q102" s="201">
        <f t="shared" si="28"/>
        <v>6135.4425317076821</v>
      </c>
      <c r="R102" s="201">
        <f t="shared" si="30"/>
        <v>-234.97191138893348</v>
      </c>
      <c r="S102" s="213">
        <f t="shared" si="41"/>
        <v>0</v>
      </c>
      <c r="T102" s="213"/>
      <c r="U102" s="213">
        <f t="shared" si="42"/>
        <v>-306.77212658538411</v>
      </c>
      <c r="V102" s="201">
        <f t="shared" si="45"/>
        <v>-174.95934959349594</v>
      </c>
      <c r="W102" s="204">
        <f t="shared" si="32"/>
        <v>5418.7391441398686</v>
      </c>
      <c r="X102" s="216">
        <f t="shared" si="43"/>
        <v>149696.40335298952</v>
      </c>
      <c r="Z102" s="206">
        <f t="shared" si="44"/>
        <v>83980.487804878052</v>
      </c>
      <c r="AA102" s="193">
        <f t="shared" si="33"/>
        <v>0</v>
      </c>
      <c r="AB102" s="206">
        <f t="shared" si="34"/>
        <v>83980.487804878052</v>
      </c>
    </row>
    <row r="103" spans="1:28" s="177" customFormat="1" ht="14.65" thickBot="1" x14ac:dyDescent="0.5">
      <c r="A103" s="262">
        <f>A102+1</f>
        <v>9</v>
      </c>
      <c r="B103" s="263" t="s">
        <v>7</v>
      </c>
      <c r="C103" s="264">
        <f>+C35</f>
        <v>0.05</v>
      </c>
      <c r="D103" s="265"/>
      <c r="E103" s="266"/>
      <c r="F103" s="267">
        <f>F104-F102</f>
        <v>727.21563873216837</v>
      </c>
      <c r="G103" s="268">
        <f>G104-G102</f>
        <v>203.33761232349207</v>
      </c>
      <c r="H103" s="178"/>
      <c r="I103" s="212">
        <f t="shared" si="36"/>
        <v>29</v>
      </c>
      <c r="J103" s="213">
        <f t="shared" si="47"/>
        <v>1843.0126794843065</v>
      </c>
      <c r="K103" s="213">
        <f t="shared" si="29"/>
        <v>8.1406412486396214</v>
      </c>
      <c r="L103" s="213">
        <f t="shared" si="38"/>
        <v>-234.97191138893348</v>
      </c>
      <c r="M103" s="214">
        <f t="shared" si="27"/>
        <v>1616.1814093440128</v>
      </c>
      <c r="O103" s="212">
        <f t="shared" si="39"/>
        <v>29</v>
      </c>
      <c r="P103" s="215">
        <f t="shared" si="40"/>
        <v>14855.166666666668</v>
      </c>
      <c r="Q103" s="201">
        <f t="shared" si="28"/>
        <v>6135.4425317076821</v>
      </c>
      <c r="R103" s="201">
        <f t="shared" si="30"/>
        <v>-234.97191138893348</v>
      </c>
      <c r="S103" s="213">
        <f t="shared" si="41"/>
        <v>0</v>
      </c>
      <c r="T103" s="213"/>
      <c r="U103" s="213">
        <f t="shared" si="42"/>
        <v>-306.77212658538411</v>
      </c>
      <c r="V103" s="201">
        <f t="shared" si="45"/>
        <v>-169.59349593495935</v>
      </c>
      <c r="W103" s="204">
        <f t="shared" si="32"/>
        <v>5424.1049977984048</v>
      </c>
      <c r="X103" s="216">
        <f t="shared" si="43"/>
        <v>155120.50835078792</v>
      </c>
      <c r="Z103" s="206">
        <f t="shared" si="44"/>
        <v>81404.878048780491</v>
      </c>
      <c r="AA103" s="193">
        <f t="shared" si="33"/>
        <v>0</v>
      </c>
      <c r="AB103" s="206">
        <f t="shared" si="34"/>
        <v>81404.878048780491</v>
      </c>
    </row>
    <row r="104" spans="1:28" s="177" customFormat="1" ht="14.65" thickBot="1" x14ac:dyDescent="0.5">
      <c r="A104" s="269">
        <f>A103+1</f>
        <v>10</v>
      </c>
      <c r="B104" s="270" t="s">
        <v>28</v>
      </c>
      <c r="C104" s="271"/>
      <c r="D104" s="272"/>
      <c r="E104" s="273"/>
      <c r="F104" s="274">
        <f>F102/(100%-C103)</f>
        <v>14544.312774643369</v>
      </c>
      <c r="G104" s="275">
        <f>G102/(100%-C103)</f>
        <v>4066.7522464698336</v>
      </c>
      <c r="H104" s="178"/>
      <c r="I104" s="212">
        <f t="shared" si="36"/>
        <v>30</v>
      </c>
      <c r="J104" s="213">
        <f t="shared" si="47"/>
        <v>1616.1814093440128</v>
      </c>
      <c r="K104" s="213">
        <f t="shared" si="29"/>
        <v>7.1387208523555996</v>
      </c>
      <c r="L104" s="213">
        <f t="shared" si="38"/>
        <v>-234.97191138893348</v>
      </c>
      <c r="M104" s="214">
        <f t="shared" si="27"/>
        <v>1388.3482188074349</v>
      </c>
      <c r="O104" s="212">
        <f t="shared" si="39"/>
        <v>30</v>
      </c>
      <c r="P104" s="215">
        <f t="shared" si="40"/>
        <v>15375.291666666668</v>
      </c>
      <c r="Q104" s="201">
        <f t="shared" si="28"/>
        <v>6135.4425317076821</v>
      </c>
      <c r="R104" s="201">
        <f t="shared" si="30"/>
        <v>-234.97191138893348</v>
      </c>
      <c r="S104" s="213">
        <f t="shared" si="41"/>
        <v>0</v>
      </c>
      <c r="T104" s="213">
        <f>-T124*0.5</f>
        <v>0</v>
      </c>
      <c r="U104" s="213">
        <f t="shared" si="42"/>
        <v>-306.77212658538411</v>
      </c>
      <c r="V104" s="201">
        <f t="shared" si="45"/>
        <v>-164.22764227642278</v>
      </c>
      <c r="W104" s="204">
        <f t="shared" si="32"/>
        <v>5429.470851456942</v>
      </c>
      <c r="X104" s="216">
        <f t="shared" si="43"/>
        <v>160549.97920224487</v>
      </c>
      <c r="Z104" s="206">
        <f t="shared" si="44"/>
        <v>78829.268292682929</v>
      </c>
      <c r="AA104" s="193">
        <f t="shared" si="33"/>
        <v>0</v>
      </c>
      <c r="AB104" s="206">
        <f t="shared" si="34"/>
        <v>78829.268292682929</v>
      </c>
    </row>
    <row r="105" spans="1:28" s="177" customFormat="1" x14ac:dyDescent="0.45">
      <c r="C105" s="178"/>
      <c r="D105" s="178"/>
      <c r="E105" s="178"/>
      <c r="F105" s="178"/>
      <c r="G105" s="178"/>
      <c r="H105" s="178"/>
      <c r="I105" s="212">
        <f t="shared" si="36"/>
        <v>31</v>
      </c>
      <c r="J105" s="213">
        <f t="shared" si="47"/>
        <v>1388.3482188074349</v>
      </c>
      <c r="K105" s="213">
        <f t="shared" si="29"/>
        <v>6.1323749441927742</v>
      </c>
      <c r="L105" s="213">
        <f t="shared" si="38"/>
        <v>-234.97191138893348</v>
      </c>
      <c r="M105" s="214">
        <f t="shared" si="27"/>
        <v>1159.5086823626943</v>
      </c>
      <c r="O105" s="212">
        <f t="shared" si="39"/>
        <v>31</v>
      </c>
      <c r="P105" s="215">
        <f t="shared" si="40"/>
        <v>15895.416666666668</v>
      </c>
      <c r="Q105" s="201">
        <f t="shared" si="28"/>
        <v>6135.4425317076821</v>
      </c>
      <c r="R105" s="201">
        <f t="shared" si="30"/>
        <v>-234.97191138893348</v>
      </c>
      <c r="S105" s="213">
        <f t="shared" si="41"/>
        <v>0</v>
      </c>
      <c r="T105" s="213"/>
      <c r="U105" s="213">
        <f t="shared" si="42"/>
        <v>-306.77212658538411</v>
      </c>
      <c r="V105" s="201">
        <f t="shared" si="45"/>
        <v>-158.86178861788619</v>
      </c>
      <c r="W105" s="204">
        <f t="shared" si="32"/>
        <v>5434.8367051154783</v>
      </c>
      <c r="X105" s="216">
        <f t="shared" si="43"/>
        <v>165984.81590736035</v>
      </c>
      <c r="Z105" s="206">
        <f t="shared" si="44"/>
        <v>76253.658536585368</v>
      </c>
      <c r="AA105" s="193">
        <f t="shared" si="33"/>
        <v>0</v>
      </c>
      <c r="AB105" s="206">
        <f t="shared" si="34"/>
        <v>76253.658536585368</v>
      </c>
    </row>
    <row r="106" spans="1:28" s="177" customFormat="1" x14ac:dyDescent="0.45">
      <c r="C106" s="178"/>
      <c r="D106" s="178"/>
      <c r="E106" s="178"/>
      <c r="F106" s="178"/>
      <c r="G106" s="178"/>
      <c r="H106" s="178"/>
      <c r="I106" s="212">
        <f t="shared" si="36"/>
        <v>32</v>
      </c>
      <c r="J106" s="213">
        <f t="shared" si="47"/>
        <v>1159.5086823626943</v>
      </c>
      <c r="K106" s="213">
        <f t="shared" si="29"/>
        <v>5.1215839765349269</v>
      </c>
      <c r="L106" s="213">
        <f t="shared" si="38"/>
        <v>-234.97191138893348</v>
      </c>
      <c r="M106" s="214">
        <f t="shared" si="27"/>
        <v>929.65835495029592</v>
      </c>
      <c r="O106" s="212">
        <f t="shared" si="39"/>
        <v>32</v>
      </c>
      <c r="P106" s="215">
        <f t="shared" si="40"/>
        <v>16415.541666666668</v>
      </c>
      <c r="Q106" s="201">
        <f t="shared" si="28"/>
        <v>6135.4425317076821</v>
      </c>
      <c r="R106" s="201">
        <f t="shared" si="30"/>
        <v>-234.97191138893348</v>
      </c>
      <c r="S106" s="213">
        <f t="shared" si="41"/>
        <v>0</v>
      </c>
      <c r="T106" s="213"/>
      <c r="U106" s="213">
        <f t="shared" si="42"/>
        <v>-306.77212658538411</v>
      </c>
      <c r="V106" s="201">
        <f t="shared" si="45"/>
        <v>-153.4959349593496</v>
      </c>
      <c r="W106" s="204">
        <f t="shared" si="32"/>
        <v>5440.2025587740154</v>
      </c>
      <c r="X106" s="216">
        <f t="shared" si="43"/>
        <v>171425.01846613435</v>
      </c>
      <c r="Z106" s="206">
        <f t="shared" si="44"/>
        <v>73678.048780487807</v>
      </c>
      <c r="AA106" s="193">
        <f t="shared" si="33"/>
        <v>0</v>
      </c>
      <c r="AB106" s="206">
        <f t="shared" si="34"/>
        <v>73678.048780487807</v>
      </c>
    </row>
    <row r="107" spans="1:28" s="177" customFormat="1" x14ac:dyDescent="0.45">
      <c r="C107" s="178"/>
      <c r="D107" s="178"/>
      <c r="E107" s="178"/>
      <c r="F107" s="178"/>
      <c r="G107" s="178"/>
      <c r="H107" s="178"/>
      <c r="I107" s="212">
        <f t="shared" si="36"/>
        <v>33</v>
      </c>
      <c r="J107" s="213">
        <f t="shared" si="47"/>
        <v>929.65835495029592</v>
      </c>
      <c r="K107" s="213">
        <f t="shared" si="29"/>
        <v>4.1063283154234407</v>
      </c>
      <c r="L107" s="213">
        <f t="shared" si="38"/>
        <v>-234.97191138893348</v>
      </c>
      <c r="M107" s="214">
        <f t="shared" si="27"/>
        <v>698.79277187678588</v>
      </c>
      <c r="O107" s="212">
        <f t="shared" si="39"/>
        <v>33</v>
      </c>
      <c r="P107" s="215">
        <f t="shared" si="40"/>
        <v>16935.666666666668</v>
      </c>
      <c r="Q107" s="201">
        <f t="shared" si="28"/>
        <v>6135.4425317076821</v>
      </c>
      <c r="R107" s="201">
        <f t="shared" si="30"/>
        <v>-234.97191138893348</v>
      </c>
      <c r="S107" s="213">
        <f t="shared" si="41"/>
        <v>0</v>
      </c>
      <c r="T107" s="213"/>
      <c r="U107" s="213">
        <f t="shared" si="42"/>
        <v>-306.77212658538411</v>
      </c>
      <c r="V107" s="201">
        <f t="shared" si="45"/>
        <v>-148.13008130081303</v>
      </c>
      <c r="W107" s="204">
        <f t="shared" si="32"/>
        <v>5445.5684124325517</v>
      </c>
      <c r="X107" s="216">
        <f t="shared" si="43"/>
        <v>176870.58687856692</v>
      </c>
      <c r="Z107" s="206">
        <f t="shared" si="44"/>
        <v>71102.43902439026</v>
      </c>
      <c r="AA107" s="193">
        <f t="shared" si="33"/>
        <v>0</v>
      </c>
      <c r="AB107" s="206">
        <f t="shared" si="34"/>
        <v>71102.43902439026</v>
      </c>
    </row>
    <row r="108" spans="1:28" s="177" customFormat="1" ht="14.65" thickBot="1" x14ac:dyDescent="0.5">
      <c r="C108" s="178"/>
      <c r="D108" s="178"/>
      <c r="E108" s="178"/>
      <c r="F108" s="178"/>
      <c r="G108" s="178"/>
      <c r="H108" s="178"/>
      <c r="I108" s="212">
        <f t="shared" si="36"/>
        <v>34</v>
      </c>
      <c r="J108" s="213">
        <f t="shared" si="47"/>
        <v>698.79277187678588</v>
      </c>
      <c r="K108" s="213">
        <f t="shared" si="29"/>
        <v>3.0865882401759244</v>
      </c>
      <c r="L108" s="213">
        <f t="shared" si="38"/>
        <v>-234.97191138893348</v>
      </c>
      <c r="M108" s="214">
        <f t="shared" si="27"/>
        <v>466.90744872802838</v>
      </c>
      <c r="O108" s="212">
        <f t="shared" si="39"/>
        <v>34</v>
      </c>
      <c r="P108" s="215">
        <f t="shared" si="40"/>
        <v>17455.791666666668</v>
      </c>
      <c r="Q108" s="201">
        <f t="shared" si="28"/>
        <v>6135.4425317076821</v>
      </c>
      <c r="R108" s="201">
        <f t="shared" si="30"/>
        <v>-234.97191138893348</v>
      </c>
      <c r="S108" s="213">
        <f t="shared" si="41"/>
        <v>0</v>
      </c>
      <c r="T108" s="213"/>
      <c r="U108" s="213">
        <f t="shared" si="42"/>
        <v>-306.77212658538411</v>
      </c>
      <c r="V108" s="201">
        <f t="shared" si="45"/>
        <v>-142.76422764227644</v>
      </c>
      <c r="W108" s="204">
        <f t="shared" si="32"/>
        <v>5450.9342660910879</v>
      </c>
      <c r="X108" s="216">
        <f t="shared" si="43"/>
        <v>182321.52114465801</v>
      </c>
      <c r="Z108" s="206">
        <f t="shared" si="44"/>
        <v>68526.829268292684</v>
      </c>
      <c r="AA108" s="193">
        <f t="shared" si="33"/>
        <v>0</v>
      </c>
      <c r="AB108" s="206">
        <f t="shared" si="34"/>
        <v>68526.829268292684</v>
      </c>
    </row>
    <row r="109" spans="1:28" s="177" customFormat="1" ht="31.15" thickBot="1" x14ac:dyDescent="0.5">
      <c r="A109" s="723" t="s">
        <v>29</v>
      </c>
      <c r="B109" s="724"/>
      <c r="C109" s="724"/>
      <c r="D109" s="724"/>
      <c r="E109" s="724"/>
      <c r="F109" s="724"/>
      <c r="G109" s="725"/>
      <c r="H109" s="178"/>
      <c r="I109" s="212">
        <f t="shared" si="36"/>
        <v>35</v>
      </c>
      <c r="J109" s="213">
        <f t="shared" si="47"/>
        <v>466.90744872802838</v>
      </c>
      <c r="K109" s="213">
        <f t="shared" si="29"/>
        <v>2.0623439430031563</v>
      </c>
      <c r="L109" s="213">
        <f t="shared" si="38"/>
        <v>-234.97191138893348</v>
      </c>
      <c r="M109" s="214">
        <f t="shared" si="27"/>
        <v>233.99788128209806</v>
      </c>
      <c r="O109" s="212">
        <f t="shared" si="39"/>
        <v>35</v>
      </c>
      <c r="P109" s="215">
        <f t="shared" si="40"/>
        <v>17975.916666666668</v>
      </c>
      <c r="Q109" s="201">
        <f t="shared" si="28"/>
        <v>6135.4425317076821</v>
      </c>
      <c r="R109" s="201">
        <f t="shared" si="30"/>
        <v>-234.97191138893348</v>
      </c>
      <c r="S109" s="213">
        <f t="shared" si="41"/>
        <v>0</v>
      </c>
      <c r="T109" s="213"/>
      <c r="U109" s="213">
        <f t="shared" si="42"/>
        <v>-306.77212658538411</v>
      </c>
      <c r="V109" s="201">
        <f t="shared" si="45"/>
        <v>-137.39837398373984</v>
      </c>
      <c r="W109" s="204">
        <f t="shared" si="32"/>
        <v>5456.3001197496251</v>
      </c>
      <c r="X109" s="216">
        <f t="shared" si="43"/>
        <v>187777.82126440763</v>
      </c>
      <c r="Z109" s="206">
        <f t="shared" si="44"/>
        <v>65951.219512195123</v>
      </c>
      <c r="AA109" s="193">
        <f t="shared" si="33"/>
        <v>0</v>
      </c>
      <c r="AB109" s="206">
        <f t="shared" si="34"/>
        <v>65951.219512195123</v>
      </c>
    </row>
    <row r="110" spans="1:28" s="177" customFormat="1" ht="18" x14ac:dyDescent="0.45">
      <c r="A110" s="276">
        <v>1</v>
      </c>
      <c r="B110" s="702" t="s">
        <v>30</v>
      </c>
      <c r="C110" s="703"/>
      <c r="D110" s="703"/>
      <c r="E110" s="704"/>
      <c r="F110" s="277">
        <f>F104/C80/C82</f>
        <v>577.15526883505436</v>
      </c>
      <c r="G110" s="278">
        <f>G104/C81/C82</f>
        <v>0.38730973775903177</v>
      </c>
      <c r="H110" s="178"/>
      <c r="I110" s="279">
        <f t="shared" si="36"/>
        <v>36</v>
      </c>
      <c r="J110" s="280">
        <f t="shared" si="47"/>
        <v>233.99788128209806</v>
      </c>
      <c r="K110" s="280">
        <f t="shared" si="29"/>
        <v>1.0335755286243242</v>
      </c>
      <c r="L110" s="280">
        <f>L109</f>
        <v>-234.97191138893348</v>
      </c>
      <c r="M110" s="281">
        <f t="shared" si="27"/>
        <v>5.9545421788897102E-2</v>
      </c>
      <c r="O110" s="279">
        <f t="shared" si="39"/>
        <v>36</v>
      </c>
      <c r="P110" s="215">
        <f t="shared" si="40"/>
        <v>18496.041666666668</v>
      </c>
      <c r="Q110" s="201">
        <f t="shared" si="28"/>
        <v>6135.4425317076821</v>
      </c>
      <c r="R110" s="201">
        <f t="shared" si="30"/>
        <v>-234.97191138893348</v>
      </c>
      <c r="S110" s="213">
        <f t="shared" si="41"/>
        <v>0</v>
      </c>
      <c r="T110" s="213"/>
      <c r="U110" s="213">
        <f t="shared" si="42"/>
        <v>-306.77212658538411</v>
      </c>
      <c r="V110" s="201">
        <f t="shared" si="45"/>
        <v>-132.03252032520325</v>
      </c>
      <c r="W110" s="204">
        <f t="shared" si="32"/>
        <v>5461.6659734081613</v>
      </c>
      <c r="X110" s="216">
        <f t="shared" si="43"/>
        <v>193239.48723781577</v>
      </c>
      <c r="Z110" s="206">
        <f t="shared" si="44"/>
        <v>63375.609756097561</v>
      </c>
      <c r="AA110" s="193">
        <f t="shared" si="33"/>
        <v>0</v>
      </c>
      <c r="AB110" s="206">
        <f t="shared" si="34"/>
        <v>63375.609756097561</v>
      </c>
    </row>
    <row r="111" spans="1:28" s="177" customFormat="1" ht="18.399999999999999" thickBot="1" x14ac:dyDescent="0.5">
      <c r="A111" s="282">
        <f>A110+1</f>
        <v>2</v>
      </c>
      <c r="B111" s="705" t="s">
        <v>31</v>
      </c>
      <c r="C111" s="706"/>
      <c r="D111" s="706"/>
      <c r="E111" s="707"/>
      <c r="F111" s="283"/>
      <c r="G111" s="284">
        <f>(G104+F104)/C81/C82</f>
        <v>1.7724823829631622</v>
      </c>
      <c r="H111" s="178"/>
      <c r="I111" s="279">
        <f t="shared" si="36"/>
        <v>37</v>
      </c>
      <c r="J111" s="280"/>
      <c r="K111" s="280"/>
      <c r="L111" s="280"/>
      <c r="M111" s="281">
        <f t="shared" si="27"/>
        <v>0</v>
      </c>
      <c r="O111" s="279">
        <f t="shared" si="39"/>
        <v>37</v>
      </c>
      <c r="P111" s="215">
        <f t="shared" si="40"/>
        <v>19016.166666666668</v>
      </c>
      <c r="Q111" s="213">
        <f t="shared" ref="Q111:Q122" si="50">$F$42+($Q$4*$G$42)</f>
        <v>8753.0158075758263</v>
      </c>
      <c r="R111" s="201">
        <f t="shared" si="30"/>
        <v>0</v>
      </c>
      <c r="S111" s="213">
        <f t="shared" si="41"/>
        <v>0</v>
      </c>
      <c r="T111" s="213"/>
      <c r="U111" s="213">
        <f t="shared" si="42"/>
        <v>-306.77212658538411</v>
      </c>
      <c r="V111" s="201">
        <f t="shared" si="45"/>
        <v>-126.66666666666667</v>
      </c>
      <c r="W111" s="204">
        <f t="shared" si="32"/>
        <v>8319.5770143237769</v>
      </c>
      <c r="X111" s="216">
        <f t="shared" si="43"/>
        <v>201559.06425213956</v>
      </c>
      <c r="Z111" s="206">
        <f t="shared" si="44"/>
        <v>60800</v>
      </c>
      <c r="AA111" s="193">
        <f t="shared" si="33"/>
        <v>0</v>
      </c>
      <c r="AB111" s="206">
        <f t="shared" si="34"/>
        <v>60800</v>
      </c>
    </row>
    <row r="112" spans="1:28" s="177" customFormat="1" x14ac:dyDescent="0.45">
      <c r="I112" s="279">
        <f t="shared" si="36"/>
        <v>38</v>
      </c>
      <c r="J112" s="280"/>
      <c r="K112" s="280"/>
      <c r="L112" s="280"/>
      <c r="M112" s="281">
        <f t="shared" si="27"/>
        <v>0</v>
      </c>
      <c r="O112" s="279">
        <f t="shared" si="39"/>
        <v>38</v>
      </c>
      <c r="P112" s="215">
        <f t="shared" si="40"/>
        <v>19536.291666666668</v>
      </c>
      <c r="Q112" s="213">
        <f t="shared" si="50"/>
        <v>8753.0158075758263</v>
      </c>
      <c r="R112" s="201">
        <f t="shared" si="30"/>
        <v>0</v>
      </c>
      <c r="S112" s="213">
        <f t="shared" si="41"/>
        <v>0</v>
      </c>
      <c r="T112" s="213"/>
      <c r="U112" s="213">
        <f t="shared" si="42"/>
        <v>-306.77212658538411</v>
      </c>
      <c r="V112" s="201">
        <f t="shared" si="45"/>
        <v>-121.30081300813011</v>
      </c>
      <c r="W112" s="204">
        <f t="shared" si="32"/>
        <v>8324.9428679823122</v>
      </c>
      <c r="X112" s="216">
        <f t="shared" si="43"/>
        <v>209884.00712012188</v>
      </c>
      <c r="Z112" s="206">
        <f t="shared" si="44"/>
        <v>58224.390243902453</v>
      </c>
      <c r="AA112" s="193">
        <f t="shared" si="33"/>
        <v>0</v>
      </c>
      <c r="AB112" s="206">
        <f t="shared" si="34"/>
        <v>58224.390243902453</v>
      </c>
    </row>
    <row r="113" spans="9:28" s="177" customFormat="1" x14ac:dyDescent="0.45">
      <c r="I113" s="279">
        <f t="shared" si="36"/>
        <v>39</v>
      </c>
      <c r="J113" s="280"/>
      <c r="K113" s="280"/>
      <c r="L113" s="280"/>
      <c r="M113" s="281">
        <f t="shared" si="27"/>
        <v>0</v>
      </c>
      <c r="O113" s="279">
        <f t="shared" si="39"/>
        <v>39</v>
      </c>
      <c r="P113" s="215">
        <f t="shared" si="40"/>
        <v>20056.416666666668</v>
      </c>
      <c r="Q113" s="213">
        <f t="shared" si="50"/>
        <v>8753.0158075758263</v>
      </c>
      <c r="R113" s="201">
        <f t="shared" si="30"/>
        <v>0</v>
      </c>
      <c r="S113" s="213">
        <f t="shared" si="41"/>
        <v>0</v>
      </c>
      <c r="T113" s="213"/>
      <c r="U113" s="213">
        <f t="shared" si="42"/>
        <v>-306.77212658538411</v>
      </c>
      <c r="V113" s="201">
        <f t="shared" si="45"/>
        <v>-115.9349593495935</v>
      </c>
      <c r="W113" s="204">
        <f t="shared" si="32"/>
        <v>8330.3087216408494</v>
      </c>
      <c r="X113" s="216">
        <f t="shared" si="43"/>
        <v>218214.31584176273</v>
      </c>
      <c r="Z113" s="206">
        <f t="shared" si="44"/>
        <v>55648.780487804877</v>
      </c>
      <c r="AA113" s="193">
        <f t="shared" si="33"/>
        <v>0</v>
      </c>
      <c r="AB113" s="206">
        <f t="shared" si="34"/>
        <v>55648.780487804877</v>
      </c>
    </row>
    <row r="114" spans="9:28" s="177" customFormat="1" x14ac:dyDescent="0.45">
      <c r="I114" s="279">
        <f t="shared" si="36"/>
        <v>40</v>
      </c>
      <c r="J114" s="280"/>
      <c r="K114" s="280"/>
      <c r="L114" s="280"/>
      <c r="M114" s="281">
        <f t="shared" si="27"/>
        <v>0</v>
      </c>
      <c r="O114" s="279">
        <f t="shared" si="39"/>
        <v>40</v>
      </c>
      <c r="P114" s="215">
        <f t="shared" si="40"/>
        <v>20576.541666666668</v>
      </c>
      <c r="Q114" s="213">
        <f t="shared" si="50"/>
        <v>8753.0158075758263</v>
      </c>
      <c r="R114" s="201">
        <f t="shared" si="30"/>
        <v>0</v>
      </c>
      <c r="S114" s="213">
        <f t="shared" si="41"/>
        <v>0</v>
      </c>
      <c r="T114" s="213"/>
      <c r="U114" s="213">
        <f t="shared" si="42"/>
        <v>-306.77212658538411</v>
      </c>
      <c r="V114" s="201">
        <f t="shared" si="45"/>
        <v>-110.56910569105695</v>
      </c>
      <c r="W114" s="204">
        <f t="shared" si="32"/>
        <v>8335.6745752993866</v>
      </c>
      <c r="X114" s="216">
        <f t="shared" si="43"/>
        <v>226549.9904170621</v>
      </c>
      <c r="Z114" s="206">
        <f t="shared" si="44"/>
        <v>53073.170731707331</v>
      </c>
      <c r="AA114" s="193">
        <f t="shared" si="33"/>
        <v>0</v>
      </c>
      <c r="AB114" s="206">
        <f t="shared" si="34"/>
        <v>53073.170731707331</v>
      </c>
    </row>
    <row r="115" spans="9:28" s="177" customFormat="1" x14ac:dyDescent="0.45">
      <c r="I115" s="279">
        <f t="shared" si="36"/>
        <v>41</v>
      </c>
      <c r="J115" s="280"/>
      <c r="K115" s="280"/>
      <c r="L115" s="280"/>
      <c r="M115" s="281">
        <f t="shared" si="27"/>
        <v>0</v>
      </c>
      <c r="O115" s="279">
        <f t="shared" si="39"/>
        <v>41</v>
      </c>
      <c r="P115" s="215">
        <f t="shared" si="40"/>
        <v>21096.666666666668</v>
      </c>
      <c r="Q115" s="213">
        <f t="shared" si="50"/>
        <v>8753.0158075758263</v>
      </c>
      <c r="R115" s="201">
        <f t="shared" si="30"/>
        <v>0</v>
      </c>
      <c r="S115" s="213">
        <f t="shared" si="41"/>
        <v>0</v>
      </c>
      <c r="T115" s="213"/>
      <c r="U115" s="213">
        <f t="shared" si="42"/>
        <v>-306.77212658538411</v>
      </c>
      <c r="V115" s="201">
        <f t="shared" si="45"/>
        <v>-105.20325203252033</v>
      </c>
      <c r="W115" s="204">
        <f t="shared" si="32"/>
        <v>8341.0404289579219</v>
      </c>
      <c r="X115" s="216">
        <f t="shared" si="43"/>
        <v>234891.03084602003</v>
      </c>
      <c r="Z115" s="206">
        <f t="shared" si="44"/>
        <v>50497.560975609755</v>
      </c>
      <c r="AA115" s="193">
        <f t="shared" si="33"/>
        <v>0</v>
      </c>
      <c r="AB115" s="206">
        <f t="shared" si="34"/>
        <v>50497.560975609755</v>
      </c>
    </row>
    <row r="116" spans="9:28" s="177" customFormat="1" x14ac:dyDescent="0.45">
      <c r="I116" s="279">
        <f t="shared" si="36"/>
        <v>42</v>
      </c>
      <c r="J116" s="280"/>
      <c r="K116" s="280"/>
      <c r="L116" s="280"/>
      <c r="M116" s="281">
        <f t="shared" si="27"/>
        <v>0</v>
      </c>
      <c r="O116" s="279">
        <f t="shared" si="39"/>
        <v>42</v>
      </c>
      <c r="P116" s="215">
        <f t="shared" si="40"/>
        <v>21616.791666666668</v>
      </c>
      <c r="Q116" s="213">
        <f t="shared" si="50"/>
        <v>8753.0158075758263</v>
      </c>
      <c r="R116" s="201">
        <f t="shared" si="30"/>
        <v>0</v>
      </c>
      <c r="S116" s="213">
        <f t="shared" si="41"/>
        <v>0</v>
      </c>
      <c r="T116" s="213"/>
      <c r="U116" s="213">
        <f t="shared" si="42"/>
        <v>-306.77212658538411</v>
      </c>
      <c r="V116" s="201">
        <f t="shared" si="45"/>
        <v>-99.837398373983731</v>
      </c>
      <c r="W116" s="204">
        <f t="shared" si="32"/>
        <v>8346.4062826164591</v>
      </c>
      <c r="X116" s="216">
        <f t="shared" si="43"/>
        <v>243237.43712863649</v>
      </c>
      <c r="Z116" s="206">
        <f t="shared" si="44"/>
        <v>47921.951219512193</v>
      </c>
      <c r="AA116" s="193">
        <f t="shared" si="33"/>
        <v>0</v>
      </c>
      <c r="AB116" s="206">
        <f t="shared" si="34"/>
        <v>47921.951219512193</v>
      </c>
    </row>
    <row r="117" spans="9:28" s="177" customFormat="1" x14ac:dyDescent="0.45">
      <c r="I117" s="279">
        <f t="shared" si="36"/>
        <v>43</v>
      </c>
      <c r="J117" s="280"/>
      <c r="K117" s="280"/>
      <c r="L117" s="280"/>
      <c r="M117" s="281">
        <f t="shared" si="27"/>
        <v>0</v>
      </c>
      <c r="O117" s="279">
        <f t="shared" si="39"/>
        <v>43</v>
      </c>
      <c r="P117" s="215">
        <f t="shared" si="40"/>
        <v>22136.916666666668</v>
      </c>
      <c r="Q117" s="213">
        <f t="shared" si="50"/>
        <v>8753.0158075758263</v>
      </c>
      <c r="R117" s="201">
        <f t="shared" si="30"/>
        <v>0</v>
      </c>
      <c r="S117" s="213">
        <f t="shared" si="41"/>
        <v>0</v>
      </c>
      <c r="T117" s="213"/>
      <c r="U117" s="213">
        <f t="shared" si="42"/>
        <v>-306.77212658538411</v>
      </c>
      <c r="V117" s="201">
        <f t="shared" si="45"/>
        <v>-94.47154471544718</v>
      </c>
      <c r="W117" s="204">
        <f t="shared" si="32"/>
        <v>8351.7721362749962</v>
      </c>
      <c r="X117" s="216">
        <f t="shared" si="43"/>
        <v>251589.20926491148</v>
      </c>
      <c r="Z117" s="206">
        <f t="shared" si="44"/>
        <v>45346.341463414647</v>
      </c>
      <c r="AA117" s="193">
        <f t="shared" si="33"/>
        <v>0</v>
      </c>
      <c r="AB117" s="206">
        <f t="shared" si="34"/>
        <v>45346.341463414647</v>
      </c>
    </row>
    <row r="118" spans="9:28" s="177" customFormat="1" x14ac:dyDescent="0.45">
      <c r="I118" s="279">
        <f t="shared" si="36"/>
        <v>44</v>
      </c>
      <c r="J118" s="280"/>
      <c r="K118" s="280"/>
      <c r="L118" s="280"/>
      <c r="M118" s="281">
        <f t="shared" si="27"/>
        <v>0</v>
      </c>
      <c r="O118" s="279">
        <f t="shared" si="39"/>
        <v>44</v>
      </c>
      <c r="P118" s="215">
        <f t="shared" si="40"/>
        <v>22657.041666666668</v>
      </c>
      <c r="Q118" s="213">
        <f t="shared" si="50"/>
        <v>8753.0158075758263</v>
      </c>
      <c r="R118" s="201">
        <f t="shared" si="30"/>
        <v>0</v>
      </c>
      <c r="S118" s="213">
        <f t="shared" si="41"/>
        <v>0</v>
      </c>
      <c r="T118" s="213"/>
      <c r="U118" s="213">
        <f t="shared" si="42"/>
        <v>-306.77212658538411</v>
      </c>
      <c r="V118" s="201">
        <f t="shared" si="45"/>
        <v>-89.105691056910572</v>
      </c>
      <c r="W118" s="204">
        <f t="shared" si="32"/>
        <v>8357.1379899335316</v>
      </c>
      <c r="X118" s="216">
        <f t="shared" si="43"/>
        <v>259946.34725484502</v>
      </c>
      <c r="Z118" s="206">
        <f t="shared" si="44"/>
        <v>42770.731707317071</v>
      </c>
      <c r="AA118" s="193">
        <f t="shared" si="33"/>
        <v>0</v>
      </c>
      <c r="AB118" s="206">
        <f t="shared" si="34"/>
        <v>42770.731707317071</v>
      </c>
    </row>
    <row r="119" spans="9:28" s="177" customFormat="1" x14ac:dyDescent="0.45">
      <c r="I119" s="279">
        <f t="shared" si="36"/>
        <v>45</v>
      </c>
      <c r="J119" s="280"/>
      <c r="K119" s="280"/>
      <c r="L119" s="280"/>
      <c r="M119" s="281">
        <f t="shared" si="27"/>
        <v>0</v>
      </c>
      <c r="O119" s="279">
        <f t="shared" si="39"/>
        <v>45</v>
      </c>
      <c r="P119" s="215">
        <f t="shared" si="40"/>
        <v>23177.166666666668</v>
      </c>
      <c r="Q119" s="213">
        <f t="shared" si="50"/>
        <v>8753.0158075758263</v>
      </c>
      <c r="R119" s="201">
        <f t="shared" si="30"/>
        <v>0</v>
      </c>
      <c r="S119" s="213">
        <f t="shared" si="41"/>
        <v>0</v>
      </c>
      <c r="T119" s="213"/>
      <c r="U119" s="213">
        <f t="shared" si="42"/>
        <v>-306.77212658538411</v>
      </c>
      <c r="V119" s="201">
        <f t="shared" si="45"/>
        <v>-83.739837398374007</v>
      </c>
      <c r="W119" s="204">
        <f t="shared" si="32"/>
        <v>8362.5038435920687</v>
      </c>
      <c r="X119" s="216">
        <f t="shared" si="43"/>
        <v>268308.8510984371</v>
      </c>
      <c r="Z119" s="206">
        <f t="shared" si="44"/>
        <v>40195.121951219524</v>
      </c>
      <c r="AA119" s="193">
        <f t="shared" si="33"/>
        <v>0</v>
      </c>
      <c r="AB119" s="206">
        <f t="shared" si="34"/>
        <v>40195.121951219524</v>
      </c>
    </row>
    <row r="120" spans="9:28" s="177" customFormat="1" x14ac:dyDescent="0.45">
      <c r="I120" s="279">
        <f t="shared" si="36"/>
        <v>46</v>
      </c>
      <c r="J120" s="280"/>
      <c r="K120" s="280"/>
      <c r="L120" s="280"/>
      <c r="M120" s="281">
        <f t="shared" si="27"/>
        <v>0</v>
      </c>
      <c r="O120" s="279">
        <f t="shared" si="39"/>
        <v>46</v>
      </c>
      <c r="P120" s="215">
        <f t="shared" si="40"/>
        <v>23697.291666666668</v>
      </c>
      <c r="Q120" s="213">
        <f t="shared" si="50"/>
        <v>8753.0158075758263</v>
      </c>
      <c r="R120" s="201">
        <f t="shared" si="30"/>
        <v>0</v>
      </c>
      <c r="S120" s="213">
        <f t="shared" si="41"/>
        <v>0</v>
      </c>
      <c r="T120" s="213"/>
      <c r="U120" s="213">
        <f t="shared" si="42"/>
        <v>-306.77212658538411</v>
      </c>
      <c r="V120" s="201">
        <f t="shared" si="45"/>
        <v>-78.373983739837399</v>
      </c>
      <c r="W120" s="204">
        <f t="shared" si="32"/>
        <v>8367.8696972506059</v>
      </c>
      <c r="X120" s="216">
        <f t="shared" si="43"/>
        <v>276676.7207956877</v>
      </c>
      <c r="Z120" s="206">
        <f t="shared" si="44"/>
        <v>37619.512195121948</v>
      </c>
      <c r="AA120" s="193">
        <f t="shared" si="33"/>
        <v>0</v>
      </c>
      <c r="AB120" s="206">
        <f t="shared" si="34"/>
        <v>37619.512195121948</v>
      </c>
    </row>
    <row r="121" spans="9:28" s="177" customFormat="1" x14ac:dyDescent="0.45">
      <c r="I121" s="279">
        <f t="shared" si="36"/>
        <v>47</v>
      </c>
      <c r="J121" s="280"/>
      <c r="K121" s="280"/>
      <c r="L121" s="280"/>
      <c r="M121" s="281">
        <f t="shared" si="27"/>
        <v>0</v>
      </c>
      <c r="O121" s="279">
        <f t="shared" si="39"/>
        <v>47</v>
      </c>
      <c r="P121" s="215">
        <f t="shared" si="40"/>
        <v>24217.416666666668</v>
      </c>
      <c r="Q121" s="213">
        <f t="shared" si="50"/>
        <v>8753.0158075758263</v>
      </c>
      <c r="R121" s="201">
        <f t="shared" si="30"/>
        <v>0</v>
      </c>
      <c r="S121" s="213">
        <f t="shared" si="41"/>
        <v>0</v>
      </c>
      <c r="T121" s="213"/>
      <c r="U121" s="213">
        <f t="shared" si="42"/>
        <v>-306.77212658538411</v>
      </c>
      <c r="V121" s="201">
        <f t="shared" si="45"/>
        <v>-73.008130081300848</v>
      </c>
      <c r="W121" s="204">
        <f t="shared" si="32"/>
        <v>8373.2355509091412</v>
      </c>
      <c r="X121" s="216">
        <f t="shared" si="43"/>
        <v>285049.95634659682</v>
      </c>
      <c r="Z121" s="206">
        <f t="shared" si="44"/>
        <v>35043.902439024401</v>
      </c>
      <c r="AA121" s="193">
        <f t="shared" si="33"/>
        <v>0</v>
      </c>
      <c r="AB121" s="206">
        <f t="shared" si="34"/>
        <v>35043.902439024401</v>
      </c>
    </row>
    <row r="122" spans="9:28" s="177" customFormat="1" ht="14.65" thickBot="1" x14ac:dyDescent="0.5">
      <c r="I122" s="279">
        <f t="shared" si="36"/>
        <v>48</v>
      </c>
      <c r="J122" s="280"/>
      <c r="K122" s="280"/>
      <c r="L122" s="280"/>
      <c r="M122" s="281">
        <f t="shared" si="27"/>
        <v>0</v>
      </c>
      <c r="O122" s="279">
        <f t="shared" si="39"/>
        <v>48</v>
      </c>
      <c r="P122" s="215">
        <f t="shared" si="40"/>
        <v>24737.541666666668</v>
      </c>
      <c r="Q122" s="213">
        <f t="shared" si="50"/>
        <v>8753.0158075758263</v>
      </c>
      <c r="R122" s="201">
        <f t="shared" si="30"/>
        <v>0</v>
      </c>
      <c r="S122" s="213">
        <f t="shared" si="41"/>
        <v>0</v>
      </c>
      <c r="T122" s="213">
        <f>-T124*0.5</f>
        <v>0</v>
      </c>
      <c r="U122" s="213">
        <f t="shared" si="42"/>
        <v>-306.77212658538411</v>
      </c>
      <c r="V122" s="201">
        <f t="shared" si="45"/>
        <v>-67.642276422764226</v>
      </c>
      <c r="W122" s="204">
        <f t="shared" si="32"/>
        <v>8378.6014045676784</v>
      </c>
      <c r="X122" s="285">
        <f t="shared" si="43"/>
        <v>293428.55775116448</v>
      </c>
      <c r="Z122" s="206">
        <f t="shared" si="44"/>
        <v>32468.292682926825</v>
      </c>
      <c r="AA122" s="193">
        <f t="shared" si="33"/>
        <v>0</v>
      </c>
      <c r="AB122" s="206">
        <f t="shared" si="34"/>
        <v>32468.292682926825</v>
      </c>
    </row>
    <row r="123" spans="9:28" s="177" customFormat="1" ht="14.65" thickBot="1" x14ac:dyDescent="0.5">
      <c r="I123" s="286" t="s">
        <v>20</v>
      </c>
      <c r="J123" s="267">
        <f>C75*C79</f>
        <v>78.048780487804876</v>
      </c>
      <c r="K123" s="267">
        <f>SUM(K75:K122)</f>
        <v>654.17030664290508</v>
      </c>
      <c r="L123" s="287">
        <f>+SUM(L75:L122)</f>
        <v>-8458.9888100016033</v>
      </c>
      <c r="M123" s="288"/>
      <c r="O123" s="289"/>
      <c r="P123" s="290"/>
      <c r="Q123" s="287"/>
      <c r="R123" s="267">
        <f>SUM(R75:R122)</f>
        <v>-8458.9888100016033</v>
      </c>
      <c r="S123" s="291">
        <f>SUM(S75:S122)</f>
        <v>0</v>
      </c>
      <c r="T123" s="291">
        <f>SUM(T75:T122)</f>
        <v>0</v>
      </c>
      <c r="U123" s="267">
        <f>SUM(U75:U122)</f>
        <v>-14725.062076098424</v>
      </c>
      <c r="V123" s="267">
        <f>SUM(V75:V122)</f>
        <v>-9299.5121951219535</v>
      </c>
      <c r="W123" s="292"/>
      <c r="X123" s="288"/>
    </row>
    <row r="124" spans="9:28" s="177" customFormat="1" x14ac:dyDescent="0.45">
      <c r="Q124" s="293"/>
      <c r="R124" s="293"/>
      <c r="S124" s="294">
        <f>D99</f>
        <v>0</v>
      </c>
      <c r="T124" s="246">
        <f>D100</f>
        <v>0</v>
      </c>
      <c r="U124" s="293"/>
      <c r="V124" s="293"/>
      <c r="W124" s="293"/>
      <c r="X124" s="293"/>
    </row>
    <row r="125" spans="9:28" s="177" customFormat="1" ht="14.65" thickBot="1" x14ac:dyDescent="0.5">
      <c r="L125" s="295">
        <f>+PMT(C76/12,C80,(C75),,)</f>
        <v>-234.97191138893348</v>
      </c>
      <c r="Q125" s="293"/>
      <c r="R125" s="293"/>
      <c r="S125" s="296">
        <f>S123+S124</f>
        <v>0</v>
      </c>
      <c r="T125" s="254">
        <f>T123+T124</f>
        <v>0</v>
      </c>
      <c r="U125" s="293"/>
      <c r="V125" s="293"/>
      <c r="W125" s="293"/>
      <c r="X125" s="293"/>
    </row>
    <row r="126" spans="9:28" s="177" customFormat="1" x14ac:dyDescent="0.45"/>
    <row r="127" spans="9:28" s="177" customFormat="1" x14ac:dyDescent="0.45"/>
    <row r="128" spans="9:28" s="177" customFormat="1" x14ac:dyDescent="0.45"/>
    <row r="129" s="177" customFormat="1" x14ac:dyDescent="0.45"/>
    <row r="130" s="177" customFormat="1" x14ac:dyDescent="0.45"/>
  </sheetData>
  <mergeCells count="21">
    <mergeCell ref="B110:E110"/>
    <mergeCell ref="B111:E111"/>
    <mergeCell ref="A73:C73"/>
    <mergeCell ref="I73:M73"/>
    <mergeCell ref="O73:X73"/>
    <mergeCell ref="A84:E84"/>
    <mergeCell ref="A93:G93"/>
    <mergeCell ref="A109:G109"/>
    <mergeCell ref="A71:C71"/>
    <mergeCell ref="D71:X71"/>
    <mergeCell ref="A1:X1"/>
    <mergeCell ref="A3:C3"/>
    <mergeCell ref="D3:X3"/>
    <mergeCell ref="A5:C5"/>
    <mergeCell ref="I5:M5"/>
    <mergeCell ref="O5:X5"/>
    <mergeCell ref="A16:E16"/>
    <mergeCell ref="A25:G25"/>
    <mergeCell ref="A41:G41"/>
    <mergeCell ref="B42:E42"/>
    <mergeCell ref="B43:E43"/>
  </mergeCells>
  <printOptions horizontalCentered="1"/>
  <pageMargins left="0.70866141732283505" right="0.70866141732283505" top="0.74803149606299202" bottom="0.74803149606299202" header="0.31496062992126" footer="0.31496062992126"/>
  <headerFooter>
    <oddHeader>&amp;R&amp;A</oddHeader>
    <oddFooter>&amp;L&amp;D&amp;C&amp;P&amp;R&amp;A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095FF-4D39-FE4E-AF05-1EDF2C71FCCD}">
  <sheetPr>
    <tabColor theme="9" tint="-0.249977111117893"/>
    <pageSetUpPr fitToPage="1"/>
  </sheetPr>
  <dimension ref="A1:AE130"/>
  <sheetViews>
    <sheetView zoomScale="99" workbookViewId="0">
      <selection activeCell="F42" sqref="F42"/>
    </sheetView>
  </sheetViews>
  <sheetFormatPr defaultColWidth="9.1328125" defaultRowHeight="14.25" x14ac:dyDescent="0.45"/>
  <cols>
    <col min="1" max="1" width="6.265625" style="3" customWidth="1"/>
    <col min="2" max="2" width="18.265625" style="3" bestFit="1" customWidth="1"/>
    <col min="3" max="4" width="15" style="3" bestFit="1" customWidth="1"/>
    <col min="5" max="5" width="14" style="3" bestFit="1" customWidth="1"/>
    <col min="6" max="6" width="17.3984375" style="3" bestFit="1" customWidth="1"/>
    <col min="7" max="7" width="15.1328125" style="3" bestFit="1" customWidth="1"/>
    <col min="8" max="8" width="9.1328125" style="3"/>
    <col min="9" max="9" width="7.3984375" style="3" bestFit="1" customWidth="1"/>
    <col min="10" max="10" width="15" style="3" bestFit="1" customWidth="1"/>
    <col min="11" max="12" width="14" style="3" bestFit="1" customWidth="1"/>
    <col min="13" max="13" width="15" style="3" bestFit="1" customWidth="1"/>
    <col min="14" max="16" width="9.1328125" style="3"/>
    <col min="17" max="19" width="15.86328125" style="3" bestFit="1" customWidth="1"/>
    <col min="20" max="21" width="14.73046875" style="3" customWidth="1"/>
    <col min="22" max="22" width="13.265625" style="3" bestFit="1" customWidth="1"/>
    <col min="23" max="23" width="14.86328125" style="3" bestFit="1" customWidth="1"/>
    <col min="24" max="24" width="15.1328125" style="3" bestFit="1" customWidth="1"/>
    <col min="25" max="25" width="9.1328125" style="3"/>
    <col min="26" max="26" width="22" style="3" customWidth="1"/>
    <col min="27" max="27" width="9.1328125" style="3"/>
    <col min="28" max="29" width="16.265625" style="3" customWidth="1"/>
    <col min="30" max="30" width="16.3984375" style="3" customWidth="1"/>
    <col min="31" max="16384" width="9.1328125" style="3"/>
  </cols>
  <sheetData>
    <row r="1" spans="1:31" ht="62.25" customHeight="1" thickBot="1" x14ac:dyDescent="0.5">
      <c r="A1" s="676">
        <f>+ASSUMPTIONS!B1</f>
        <v>0</v>
      </c>
      <c r="B1" s="677"/>
      <c r="C1" s="677"/>
      <c r="D1" s="677"/>
      <c r="E1" s="677"/>
      <c r="F1" s="677"/>
      <c r="G1" s="677"/>
      <c r="H1" s="677"/>
      <c r="I1" s="677"/>
      <c r="J1" s="677"/>
      <c r="K1" s="677"/>
      <c r="L1" s="677"/>
      <c r="M1" s="677"/>
      <c r="N1" s="677"/>
      <c r="O1" s="677"/>
      <c r="P1" s="677"/>
      <c r="Q1" s="677"/>
      <c r="R1" s="677"/>
      <c r="S1" s="677"/>
      <c r="T1" s="677"/>
      <c r="U1" s="677"/>
      <c r="V1" s="677"/>
      <c r="W1" s="677"/>
      <c r="X1" s="678"/>
    </row>
    <row r="2" spans="1:31" ht="16.149999999999999" thickBot="1" x14ac:dyDescent="0.5">
      <c r="A2" s="2"/>
      <c r="B2" s="2"/>
      <c r="C2" s="10"/>
      <c r="D2" s="10"/>
      <c r="E2" s="10"/>
      <c r="F2" s="10"/>
      <c r="G2" s="10"/>
      <c r="H2" s="10"/>
      <c r="I2" s="13"/>
      <c r="J2" s="10"/>
      <c r="K2" s="10"/>
      <c r="L2" s="10"/>
      <c r="M2" s="10"/>
      <c r="S2" s="145"/>
    </row>
    <row r="3" spans="1:31" ht="32.25" customHeight="1" thickBot="1" x14ac:dyDescent="0.5">
      <c r="A3" s="679" t="s">
        <v>289</v>
      </c>
      <c r="B3" s="680"/>
      <c r="C3" s="681"/>
      <c r="D3" s="682" t="s">
        <v>2</v>
      </c>
      <c r="E3" s="683"/>
      <c r="F3" s="683"/>
      <c r="G3" s="683"/>
      <c r="H3" s="683"/>
      <c r="I3" s="683"/>
      <c r="J3" s="683"/>
      <c r="K3" s="683"/>
      <c r="L3" s="683"/>
      <c r="M3" s="683"/>
      <c r="N3" s="683"/>
      <c r="O3" s="683"/>
      <c r="P3" s="683"/>
      <c r="Q3" s="683"/>
      <c r="R3" s="683"/>
      <c r="S3" s="683"/>
      <c r="T3" s="683"/>
      <c r="U3" s="683"/>
      <c r="V3" s="683"/>
      <c r="W3" s="683"/>
      <c r="X3" s="684"/>
    </row>
    <row r="4" spans="1:31" ht="14.65" thickBot="1" x14ac:dyDescent="0.5">
      <c r="C4" s="11"/>
      <c r="D4" s="11"/>
      <c r="E4" s="11"/>
      <c r="F4" s="11"/>
      <c r="G4" s="11"/>
      <c r="H4" s="11"/>
      <c r="I4" s="12"/>
      <c r="J4" s="11"/>
      <c r="K4" s="11"/>
      <c r="L4" s="11"/>
      <c r="M4" s="11"/>
      <c r="Q4" s="368">
        <f>+'Summary Equip'!AC13</f>
        <v>520.125</v>
      </c>
      <c r="U4" s="57">
        <v>0.05</v>
      </c>
    </row>
    <row r="5" spans="1:31" ht="23.25" customHeight="1" thickBot="1" x14ac:dyDescent="0.5">
      <c r="A5" s="685" t="s">
        <v>9</v>
      </c>
      <c r="B5" s="686"/>
      <c r="C5" s="687"/>
      <c r="D5" s="11"/>
      <c r="E5" s="11"/>
      <c r="F5" s="11"/>
      <c r="G5" s="11"/>
      <c r="H5" s="11"/>
      <c r="I5" s="688" t="s">
        <v>34</v>
      </c>
      <c r="J5" s="689"/>
      <c r="K5" s="689"/>
      <c r="L5" s="689"/>
      <c r="M5" s="690"/>
      <c r="O5" s="688" t="s">
        <v>35</v>
      </c>
      <c r="P5" s="691"/>
      <c r="Q5" s="689"/>
      <c r="R5" s="689"/>
      <c r="S5" s="689"/>
      <c r="T5" s="689"/>
      <c r="U5" s="689"/>
      <c r="V5" s="689"/>
      <c r="W5" s="692"/>
      <c r="X5" s="693"/>
      <c r="AA5" s="145">
        <v>0</v>
      </c>
    </row>
    <row r="6" spans="1:31" ht="28.9" thickBot="1" x14ac:dyDescent="0.5">
      <c r="A6" s="29" t="s">
        <v>0</v>
      </c>
      <c r="B6" s="28" t="s">
        <v>1</v>
      </c>
      <c r="C6" s="50" t="s">
        <v>10</v>
      </c>
      <c r="D6" s="11"/>
      <c r="E6" s="11"/>
      <c r="F6" s="11"/>
      <c r="G6" s="11"/>
      <c r="H6" s="11"/>
      <c r="I6" s="16" t="s">
        <v>15</v>
      </c>
      <c r="J6" s="17" t="s">
        <v>70</v>
      </c>
      <c r="K6" s="17" t="s">
        <v>17</v>
      </c>
      <c r="L6" s="17" t="s">
        <v>18</v>
      </c>
      <c r="M6" s="18" t="s">
        <v>19</v>
      </c>
      <c r="O6" s="16" t="s">
        <v>15</v>
      </c>
      <c r="P6" s="52" t="s">
        <v>39</v>
      </c>
      <c r="Q6" s="17" t="s">
        <v>36</v>
      </c>
      <c r="R6" s="17" t="s">
        <v>37</v>
      </c>
      <c r="S6" s="17" t="s">
        <v>27</v>
      </c>
      <c r="T6" s="17" t="s">
        <v>38</v>
      </c>
      <c r="U6" s="17" t="s">
        <v>7</v>
      </c>
      <c r="V6" s="17" t="s">
        <v>41</v>
      </c>
      <c r="W6" s="18" t="s">
        <v>40</v>
      </c>
      <c r="X6" s="55" t="s">
        <v>42</v>
      </c>
      <c r="Z6" s="5" t="s">
        <v>71</v>
      </c>
      <c r="AA6" s="5" t="s">
        <v>46</v>
      </c>
      <c r="AB6" s="5" t="s">
        <v>47</v>
      </c>
    </row>
    <row r="7" spans="1:31" x14ac:dyDescent="0.45">
      <c r="A7" s="8">
        <v>1</v>
      </c>
      <c r="B7" s="9" t="s">
        <v>11</v>
      </c>
      <c r="C7" s="152">
        <f>+F11*(1+'Summary Equip'!$N$3)</f>
        <v>189000</v>
      </c>
      <c r="D7" s="11"/>
      <c r="E7" s="8" t="s">
        <v>61</v>
      </c>
      <c r="F7" s="150">
        <f>+'Summary Equip'!J15</f>
        <v>180000</v>
      </c>
      <c r="G7" s="106"/>
      <c r="H7" s="383">
        <v>1</v>
      </c>
      <c r="I7" s="15">
        <v>1</v>
      </c>
      <c r="J7" s="77">
        <f>C7</f>
        <v>189000</v>
      </c>
      <c r="K7" s="77">
        <f>J7*$C$8*30.44/365.25</f>
        <v>834.81856262833685</v>
      </c>
      <c r="L7" s="77">
        <f>+L69</f>
        <v>-3592.6982164052329</v>
      </c>
      <c r="M7" s="78">
        <f t="shared" ref="M7:M66" si="0">J7+K7+L7</f>
        <v>186242.12034622309</v>
      </c>
      <c r="O7" s="15">
        <v>1</v>
      </c>
      <c r="P7" s="53">
        <f>Q4</f>
        <v>520.125</v>
      </c>
      <c r="Q7" s="77">
        <f>$F$42+($Q$4*$G$42)</f>
        <v>8490.9713531108719</v>
      </c>
      <c r="R7" s="77">
        <f>+L7</f>
        <v>-3592.6982164052329</v>
      </c>
      <c r="S7" s="77">
        <f>+IF(R7=0,,-S68/C12)</f>
        <v>-1500</v>
      </c>
      <c r="T7" s="77"/>
      <c r="U7" s="77">
        <f>-Q7*U4</f>
        <v>-424.54856765554359</v>
      </c>
      <c r="V7" s="77">
        <f>-(AB7*$C$9/12)</f>
        <v>-368.8125</v>
      </c>
      <c r="W7" s="83">
        <f>SUM(Q7:V7)</f>
        <v>2604.9120690500949</v>
      </c>
      <c r="X7" s="84">
        <f>W7</f>
        <v>2604.9120690500949</v>
      </c>
      <c r="Z7" s="92">
        <f>+$D$27-(($D$27+$D$28)*O7/$B$22)</f>
        <v>177030</v>
      </c>
      <c r="AA7" s="5">
        <f>+Z7*$AA$5</f>
        <v>0</v>
      </c>
      <c r="AB7" s="92">
        <f>+Z7+AA7</f>
        <v>177030</v>
      </c>
      <c r="AC7" s="132"/>
      <c r="AD7" s="132">
        <f>+S7</f>
        <v>-1500</v>
      </c>
      <c r="AE7" s="3">
        <f>+IF(AD7=0,0,1)</f>
        <v>1</v>
      </c>
    </row>
    <row r="8" spans="1:31" ht="28.5" x14ac:dyDescent="0.45">
      <c r="A8" s="4">
        <f>A7+1</f>
        <v>2</v>
      </c>
      <c r="B8" s="5" t="s">
        <v>3</v>
      </c>
      <c r="C8" s="156">
        <f>+'Summary Equip'!R15</f>
        <v>5.2999999999999999E-2</v>
      </c>
      <c r="D8" s="11"/>
      <c r="E8" s="107" t="s">
        <v>64</v>
      </c>
      <c r="F8" s="311">
        <f>+'Summary Equip'!D15</f>
        <v>0</v>
      </c>
      <c r="G8" s="108"/>
      <c r="H8" s="383">
        <f>+'Summary Equip'!C13</f>
        <v>1</v>
      </c>
      <c r="I8" s="14">
        <f>I7+1</f>
        <v>2</v>
      </c>
      <c r="J8" s="63">
        <f>+IF(M7&lt;0,,M7)</f>
        <v>186242.12034622309</v>
      </c>
      <c r="K8" s="63">
        <f t="shared" ref="K8:K54" si="1">J8*$C$8*30.44/365.25</f>
        <v>822.63692702797709</v>
      </c>
      <c r="L8" s="63">
        <f>IF(M7&lt;0,,L7)</f>
        <v>-3592.6982164052329</v>
      </c>
      <c r="M8" s="65">
        <f t="shared" si="0"/>
        <v>183472.05905684584</v>
      </c>
      <c r="O8" s="14">
        <f>O7+1</f>
        <v>2</v>
      </c>
      <c r="P8" s="54">
        <f>P7+$Q$4</f>
        <v>1040.25</v>
      </c>
      <c r="Q8" s="63">
        <f>$F$42+($Q$4*$G$42)</f>
        <v>8490.9713531108719</v>
      </c>
      <c r="R8" s="77">
        <f t="shared" ref="R8:R66" si="2">+L8</f>
        <v>-3592.6982164052329</v>
      </c>
      <c r="S8" s="63">
        <f>+IF(R8=0,,S7)</f>
        <v>-1500</v>
      </c>
      <c r="T8" s="63"/>
      <c r="U8" s="63">
        <f>U7</f>
        <v>-424.54856765554359</v>
      </c>
      <c r="V8" s="77">
        <f t="shared" ref="V8:V14" si="3">-(AB8*$C$9/12)</f>
        <v>-362.625</v>
      </c>
      <c r="W8" s="83">
        <f t="shared" ref="W8:W66" si="4">SUM(Q8:V8)</f>
        <v>2611.0995690500949</v>
      </c>
      <c r="X8" s="85">
        <f>X7+W8</f>
        <v>5216.0116381001899</v>
      </c>
      <c r="Z8" s="92">
        <f>+$D$27-(($D$27+$D$28)*O8/$B$22)</f>
        <v>174060</v>
      </c>
      <c r="AA8" s="5">
        <f t="shared" ref="AA8:AA66" si="5">+Z8*$AA$5</f>
        <v>0</v>
      </c>
      <c r="AB8" s="92">
        <f t="shared" ref="AB8:AB66" si="6">+Z8+AA8</f>
        <v>174060</v>
      </c>
      <c r="AD8" s="133">
        <f t="shared" ref="AD8:AD39" si="7">IF(AD7=0,0,IF(+S8+AD7&lt;-$S$68,0,+S8+AD7))</f>
        <v>-3000</v>
      </c>
      <c r="AE8" s="3">
        <f t="shared" ref="AE8:AE66" si="8">+IF(AD8=0,0,1)</f>
        <v>1</v>
      </c>
    </row>
    <row r="9" spans="1:31" x14ac:dyDescent="0.45">
      <c r="A9" s="4">
        <f t="shared" ref="A9:A14" si="9">A8+1</f>
        <v>3</v>
      </c>
      <c r="B9" s="5" t="s">
        <v>4</v>
      </c>
      <c r="C9" s="157">
        <f>+'Summary Equip'!S15</f>
        <v>2.5000000000000001E-2</v>
      </c>
      <c r="D9" s="11"/>
      <c r="E9" s="109" t="s">
        <v>69</v>
      </c>
      <c r="F9" s="339">
        <f>+'Summary Equip'!F15</f>
        <v>9000</v>
      </c>
      <c r="G9" s="110"/>
      <c r="H9" s="383">
        <f>+'Summary Equip'!E13</f>
        <v>1</v>
      </c>
      <c r="I9" s="14">
        <f t="shared" ref="I9:I66" si="10">I8+1</f>
        <v>3</v>
      </c>
      <c r="J9" s="63">
        <f t="shared" ref="J9:J66" si="11">+IF(M8&lt;0,,M8)</f>
        <v>183472.05905684584</v>
      </c>
      <c r="K9" s="63">
        <f t="shared" si="1"/>
        <v>810.40148478464209</v>
      </c>
      <c r="L9" s="63">
        <f t="shared" ref="L9:L66" si="12">IF(M8&lt;0,,L8)</f>
        <v>-3592.6982164052329</v>
      </c>
      <c r="M9" s="65">
        <f t="shared" si="0"/>
        <v>180689.76232522525</v>
      </c>
      <c r="O9" s="14">
        <f t="shared" ref="O9:O66" si="13">O8+1</f>
        <v>3</v>
      </c>
      <c r="P9" s="54">
        <f t="shared" ref="P9:P66" si="14">P8+$Q$4</f>
        <v>1560.375</v>
      </c>
      <c r="Q9" s="63">
        <f t="shared" ref="Q9:Q66" si="15">$F$42+($Q$4*$G$42)</f>
        <v>8490.9713531108719</v>
      </c>
      <c r="R9" s="77">
        <f t="shared" si="2"/>
        <v>-3592.6982164052329</v>
      </c>
      <c r="S9" s="63">
        <f t="shared" ref="S9:S62" si="16">+S8</f>
        <v>-1500</v>
      </c>
      <c r="T9" s="63"/>
      <c r="U9" s="63">
        <f t="shared" ref="U9:U62" si="17">U8</f>
        <v>-424.54856765554359</v>
      </c>
      <c r="V9" s="77">
        <f t="shared" si="3"/>
        <v>-356.4375</v>
      </c>
      <c r="W9" s="83">
        <f t="shared" si="4"/>
        <v>2617.2870690500949</v>
      </c>
      <c r="X9" s="85">
        <f t="shared" ref="X9:X62" si="18">X8+W9</f>
        <v>7833.2987071502848</v>
      </c>
      <c r="Z9" s="92">
        <f t="shared" ref="Z9:Z66" si="19">+$D$27-(($D$27+$D$28)*O9/$B$22)</f>
        <v>171090</v>
      </c>
      <c r="AA9" s="5">
        <f t="shared" si="5"/>
        <v>0</v>
      </c>
      <c r="AB9" s="92">
        <f t="shared" si="6"/>
        <v>171090</v>
      </c>
      <c r="AD9" s="133">
        <f t="shared" si="7"/>
        <v>-4500</v>
      </c>
      <c r="AE9" s="3">
        <f t="shared" si="8"/>
        <v>1</v>
      </c>
    </row>
    <row r="10" spans="1:31" ht="14.65" thickBot="1" x14ac:dyDescent="0.5">
      <c r="A10" s="4">
        <f t="shared" si="9"/>
        <v>4</v>
      </c>
      <c r="B10" s="5" t="s">
        <v>5</v>
      </c>
      <c r="C10" s="158">
        <f>+'Summary Equip'!T15</f>
        <v>0.05</v>
      </c>
      <c r="D10" s="11"/>
      <c r="E10" s="111" t="s">
        <v>52</v>
      </c>
      <c r="F10" s="312">
        <f>SUM(F7:F8)*G10</f>
        <v>0</v>
      </c>
      <c r="G10" s="151">
        <f>+'Summary Equip'!H15</f>
        <v>0</v>
      </c>
      <c r="H10" s="383">
        <f>+'Summary Equip'!G13</f>
        <v>0</v>
      </c>
      <c r="I10" s="14">
        <f t="shared" si="10"/>
        <v>4</v>
      </c>
      <c r="J10" s="63">
        <f t="shared" si="11"/>
        <v>180689.76232522525</v>
      </c>
      <c r="K10" s="63">
        <f t="shared" si="1"/>
        <v>798.11199823280617</v>
      </c>
      <c r="L10" s="63">
        <f t="shared" si="12"/>
        <v>-3592.6982164052329</v>
      </c>
      <c r="M10" s="65">
        <f t="shared" si="0"/>
        <v>177895.17610705283</v>
      </c>
      <c r="O10" s="14">
        <f t="shared" si="13"/>
        <v>4</v>
      </c>
      <c r="P10" s="54">
        <f t="shared" si="14"/>
        <v>2080.5</v>
      </c>
      <c r="Q10" s="63">
        <f t="shared" si="15"/>
        <v>8490.9713531108719</v>
      </c>
      <c r="R10" s="77">
        <f t="shared" si="2"/>
        <v>-3592.6982164052329</v>
      </c>
      <c r="S10" s="63">
        <f t="shared" si="16"/>
        <v>-1500</v>
      </c>
      <c r="T10" s="63"/>
      <c r="U10" s="63">
        <f t="shared" si="17"/>
        <v>-424.54856765554359</v>
      </c>
      <c r="V10" s="77">
        <f t="shared" si="3"/>
        <v>-350.25</v>
      </c>
      <c r="W10" s="83">
        <f t="shared" si="4"/>
        <v>2623.4745690500949</v>
      </c>
      <c r="X10" s="85">
        <f t="shared" si="18"/>
        <v>10456.77327620038</v>
      </c>
      <c r="Z10" s="92">
        <f t="shared" si="19"/>
        <v>168120</v>
      </c>
      <c r="AA10" s="5">
        <f t="shared" si="5"/>
        <v>0</v>
      </c>
      <c r="AB10" s="92">
        <f t="shared" si="6"/>
        <v>168120</v>
      </c>
      <c r="AD10" s="133">
        <f t="shared" si="7"/>
        <v>-6000</v>
      </c>
      <c r="AE10" s="3">
        <f t="shared" si="8"/>
        <v>1</v>
      </c>
    </row>
    <row r="11" spans="1:31" ht="14.65" thickBot="1" x14ac:dyDescent="0.5">
      <c r="A11" s="4">
        <f t="shared" si="9"/>
        <v>5</v>
      </c>
      <c r="B11" s="5" t="s">
        <v>12</v>
      </c>
      <c r="C11" s="159">
        <f>+'Summary Equip'!U15</f>
        <v>0.01</v>
      </c>
      <c r="D11" s="11"/>
      <c r="E11" s="112" t="s">
        <v>28</v>
      </c>
      <c r="F11" s="313">
        <f>SUMPRODUCT(F7:F10,H7:H10)</f>
        <v>189000</v>
      </c>
      <c r="G11" s="113"/>
      <c r="H11" s="11"/>
      <c r="I11" s="14">
        <f t="shared" si="10"/>
        <v>5</v>
      </c>
      <c r="J11" s="63">
        <f t="shared" si="11"/>
        <v>177895.17610705283</v>
      </c>
      <c r="K11" s="63">
        <f t="shared" si="1"/>
        <v>785.7682286571677</v>
      </c>
      <c r="L11" s="63">
        <f t="shared" si="12"/>
        <v>-3592.6982164052329</v>
      </c>
      <c r="M11" s="65">
        <f t="shared" si="0"/>
        <v>175088.24611930476</v>
      </c>
      <c r="O11" s="14">
        <f t="shared" si="13"/>
        <v>5</v>
      </c>
      <c r="P11" s="54">
        <f t="shared" si="14"/>
        <v>2600.625</v>
      </c>
      <c r="Q11" s="63">
        <f t="shared" si="15"/>
        <v>8490.9713531108719</v>
      </c>
      <c r="R11" s="77">
        <f t="shared" si="2"/>
        <v>-3592.6982164052329</v>
      </c>
      <c r="S11" s="63">
        <f t="shared" si="16"/>
        <v>-1500</v>
      </c>
      <c r="T11" s="63"/>
      <c r="U11" s="63">
        <f t="shared" si="17"/>
        <v>-424.54856765554359</v>
      </c>
      <c r="V11" s="77">
        <f t="shared" si="3"/>
        <v>-344.0625</v>
      </c>
      <c r="W11" s="83">
        <f t="shared" si="4"/>
        <v>2629.6620690500949</v>
      </c>
      <c r="X11" s="85">
        <f t="shared" si="18"/>
        <v>13086.435345250475</v>
      </c>
      <c r="Z11" s="92">
        <f t="shared" si="19"/>
        <v>165150</v>
      </c>
      <c r="AA11" s="5">
        <f t="shared" si="5"/>
        <v>0</v>
      </c>
      <c r="AB11" s="92">
        <f t="shared" si="6"/>
        <v>165150</v>
      </c>
      <c r="AD11" s="133">
        <f t="shared" si="7"/>
        <v>-7500</v>
      </c>
      <c r="AE11" s="3">
        <f t="shared" si="8"/>
        <v>1</v>
      </c>
    </row>
    <row r="12" spans="1:31" x14ac:dyDescent="0.45">
      <c r="A12" s="4">
        <f t="shared" si="9"/>
        <v>6</v>
      </c>
      <c r="B12" s="5" t="s">
        <v>13</v>
      </c>
      <c r="C12" s="160">
        <f>+'Summary Equip'!V15</f>
        <v>60</v>
      </c>
      <c r="D12" s="11"/>
      <c r="E12" s="11"/>
      <c r="F12" s="11"/>
      <c r="G12" s="11"/>
      <c r="H12" s="11"/>
      <c r="I12" s="14">
        <f t="shared" si="10"/>
        <v>6</v>
      </c>
      <c r="J12" s="63">
        <f t="shared" si="11"/>
        <v>175088.24611930476</v>
      </c>
      <c r="K12" s="63">
        <f t="shared" si="1"/>
        <v>773.36993628801315</v>
      </c>
      <c r="L12" s="63">
        <f t="shared" si="12"/>
        <v>-3592.6982164052329</v>
      </c>
      <c r="M12" s="65">
        <f t="shared" si="0"/>
        <v>172268.91783918755</v>
      </c>
      <c r="O12" s="14">
        <f t="shared" si="13"/>
        <v>6</v>
      </c>
      <c r="P12" s="54">
        <f t="shared" si="14"/>
        <v>3120.75</v>
      </c>
      <c r="Q12" s="63">
        <f t="shared" si="15"/>
        <v>8490.9713531108719</v>
      </c>
      <c r="R12" s="77">
        <f t="shared" si="2"/>
        <v>-3592.6982164052329</v>
      </c>
      <c r="S12" s="63">
        <f t="shared" si="16"/>
        <v>-1500</v>
      </c>
      <c r="T12" s="63"/>
      <c r="U12" s="63">
        <f t="shared" si="17"/>
        <v>-424.54856765554359</v>
      </c>
      <c r="V12" s="77">
        <f t="shared" si="3"/>
        <v>-337.875</v>
      </c>
      <c r="W12" s="83">
        <f t="shared" si="4"/>
        <v>2635.8495690500949</v>
      </c>
      <c r="X12" s="85">
        <f t="shared" si="18"/>
        <v>15722.28491430057</v>
      </c>
      <c r="Z12" s="92">
        <f t="shared" si="19"/>
        <v>162180</v>
      </c>
      <c r="AA12" s="5">
        <f t="shared" si="5"/>
        <v>0</v>
      </c>
      <c r="AB12" s="92">
        <f t="shared" si="6"/>
        <v>162180</v>
      </c>
      <c r="AD12" s="133">
        <f t="shared" si="7"/>
        <v>-9000</v>
      </c>
      <c r="AE12" s="3">
        <f t="shared" si="8"/>
        <v>1</v>
      </c>
    </row>
    <row r="13" spans="1:31" x14ac:dyDescent="0.45">
      <c r="A13" s="4">
        <f t="shared" si="9"/>
        <v>7</v>
      </c>
      <c r="B13" s="5" t="s">
        <v>14</v>
      </c>
      <c r="C13" s="161">
        <f>+'Summary Equip'!W15</f>
        <v>20000</v>
      </c>
      <c r="D13" s="176">
        <f>+C13*C14</f>
        <v>18000</v>
      </c>
      <c r="E13" s="11"/>
      <c r="F13" s="11"/>
      <c r="G13" s="11"/>
      <c r="H13" s="11"/>
      <c r="I13" s="14">
        <f t="shared" si="10"/>
        <v>7</v>
      </c>
      <c r="J13" s="63">
        <f t="shared" si="11"/>
        <v>172268.91783918755</v>
      </c>
      <c r="K13" s="63">
        <f t="shared" si="1"/>
        <v>760.9168802965587</v>
      </c>
      <c r="L13" s="63">
        <f t="shared" si="12"/>
        <v>-3592.6982164052329</v>
      </c>
      <c r="M13" s="65">
        <f t="shared" si="0"/>
        <v>169437.13650307889</v>
      </c>
      <c r="O13" s="14">
        <f t="shared" si="13"/>
        <v>7</v>
      </c>
      <c r="P13" s="54">
        <f t="shared" si="14"/>
        <v>3640.875</v>
      </c>
      <c r="Q13" s="63">
        <f t="shared" si="15"/>
        <v>8490.9713531108719</v>
      </c>
      <c r="R13" s="77">
        <f t="shared" si="2"/>
        <v>-3592.6982164052329</v>
      </c>
      <c r="S13" s="63">
        <f t="shared" si="16"/>
        <v>-1500</v>
      </c>
      <c r="T13" s="63"/>
      <c r="U13" s="63">
        <f t="shared" si="17"/>
        <v>-424.54856765554359</v>
      </c>
      <c r="V13" s="77">
        <f t="shared" si="3"/>
        <v>-331.6875</v>
      </c>
      <c r="W13" s="83">
        <f t="shared" si="4"/>
        <v>2642.0370690500949</v>
      </c>
      <c r="X13" s="85">
        <f t="shared" si="18"/>
        <v>18364.321983350666</v>
      </c>
      <c r="Z13" s="92">
        <f t="shared" si="19"/>
        <v>159210</v>
      </c>
      <c r="AA13" s="5">
        <f t="shared" si="5"/>
        <v>0</v>
      </c>
      <c r="AB13" s="92">
        <f t="shared" si="6"/>
        <v>159210</v>
      </c>
      <c r="AD13" s="133">
        <f t="shared" si="7"/>
        <v>-10500</v>
      </c>
      <c r="AE13" s="3">
        <f t="shared" si="8"/>
        <v>1</v>
      </c>
    </row>
    <row r="14" spans="1:31" ht="14.65" thickBot="1" x14ac:dyDescent="0.5">
      <c r="A14" s="6">
        <f t="shared" si="9"/>
        <v>8</v>
      </c>
      <c r="B14" s="7"/>
      <c r="C14" s="162">
        <f>+'Summary Equip'!X15</f>
        <v>0.9</v>
      </c>
      <c r="D14" s="337">
        <f>+D13/C12</f>
        <v>300</v>
      </c>
      <c r="E14" s="11"/>
      <c r="F14" s="11"/>
      <c r="G14" s="11"/>
      <c r="H14" s="11"/>
      <c r="I14" s="14">
        <f t="shared" si="10"/>
        <v>8</v>
      </c>
      <c r="J14" s="63">
        <f t="shared" si="11"/>
        <v>169437.13650307889</v>
      </c>
      <c r="K14" s="63">
        <f t="shared" si="1"/>
        <v>748.40881879027302</v>
      </c>
      <c r="L14" s="63">
        <f t="shared" si="12"/>
        <v>-3592.6982164052329</v>
      </c>
      <c r="M14" s="65">
        <f t="shared" si="0"/>
        <v>166592.84710546394</v>
      </c>
      <c r="O14" s="14">
        <f t="shared" si="13"/>
        <v>8</v>
      </c>
      <c r="P14" s="54">
        <f t="shared" si="14"/>
        <v>4161</v>
      </c>
      <c r="Q14" s="63">
        <f t="shared" si="15"/>
        <v>8490.9713531108719</v>
      </c>
      <c r="R14" s="77">
        <f t="shared" si="2"/>
        <v>-3592.6982164052329</v>
      </c>
      <c r="S14" s="63">
        <f t="shared" si="16"/>
        <v>-1500</v>
      </c>
      <c r="T14" s="63"/>
      <c r="U14" s="63">
        <f t="shared" si="17"/>
        <v>-424.54856765554359</v>
      </c>
      <c r="V14" s="77">
        <f t="shared" si="3"/>
        <v>-325.5</v>
      </c>
      <c r="W14" s="83">
        <f t="shared" si="4"/>
        <v>2648.2245690500949</v>
      </c>
      <c r="X14" s="85">
        <f t="shared" si="18"/>
        <v>21012.54655240076</v>
      </c>
      <c r="Z14" s="92">
        <f t="shared" si="19"/>
        <v>156240</v>
      </c>
      <c r="AA14" s="5">
        <f t="shared" si="5"/>
        <v>0</v>
      </c>
      <c r="AB14" s="92">
        <f t="shared" si="6"/>
        <v>156240</v>
      </c>
      <c r="AD14" s="133">
        <f t="shared" si="7"/>
        <v>-12000</v>
      </c>
      <c r="AE14" s="3">
        <f t="shared" si="8"/>
        <v>1</v>
      </c>
    </row>
    <row r="15" spans="1:31" ht="14.65" thickBot="1" x14ac:dyDescent="0.5">
      <c r="C15" s="11"/>
      <c r="D15" s="11"/>
      <c r="E15" s="11"/>
      <c r="F15" s="11"/>
      <c r="G15" s="11"/>
      <c r="H15" s="11"/>
      <c r="I15" s="14">
        <f t="shared" si="10"/>
        <v>9</v>
      </c>
      <c r="J15" s="63">
        <f t="shared" si="11"/>
        <v>166592.84710546394</v>
      </c>
      <c r="K15" s="63">
        <f t="shared" si="1"/>
        <v>735.84550880817812</v>
      </c>
      <c r="L15" s="63">
        <f t="shared" si="12"/>
        <v>-3592.6982164052329</v>
      </c>
      <c r="M15" s="65">
        <f t="shared" si="0"/>
        <v>163735.99439786689</v>
      </c>
      <c r="O15" s="14">
        <f t="shared" si="13"/>
        <v>9</v>
      </c>
      <c r="P15" s="54">
        <f t="shared" si="14"/>
        <v>4681.125</v>
      </c>
      <c r="Q15" s="63">
        <f t="shared" si="15"/>
        <v>8490.9713531108719</v>
      </c>
      <c r="R15" s="77">
        <f t="shared" si="2"/>
        <v>-3592.6982164052329</v>
      </c>
      <c r="S15" s="63">
        <f t="shared" si="16"/>
        <v>-1500</v>
      </c>
      <c r="T15" s="63"/>
      <c r="U15" s="63">
        <f t="shared" si="17"/>
        <v>-424.54856765554359</v>
      </c>
      <c r="V15" s="77">
        <f>-(AB15*$C$9/12)</f>
        <v>-319.3125</v>
      </c>
      <c r="W15" s="83">
        <f t="shared" si="4"/>
        <v>2654.4120690500949</v>
      </c>
      <c r="X15" s="85">
        <f t="shared" si="18"/>
        <v>23666.958621450853</v>
      </c>
      <c r="Z15" s="92">
        <f t="shared" si="19"/>
        <v>153270</v>
      </c>
      <c r="AA15" s="5">
        <f t="shared" si="5"/>
        <v>0</v>
      </c>
      <c r="AB15" s="92">
        <f t="shared" si="6"/>
        <v>153270</v>
      </c>
      <c r="AD15" s="133">
        <f t="shared" si="7"/>
        <v>-13500</v>
      </c>
      <c r="AE15" s="3">
        <f t="shared" si="8"/>
        <v>1</v>
      </c>
    </row>
    <row r="16" spans="1:31" ht="16.149999999999999" thickBot="1" x14ac:dyDescent="0.5">
      <c r="A16" s="661" t="s">
        <v>43</v>
      </c>
      <c r="B16" s="662"/>
      <c r="C16" s="662"/>
      <c r="D16" s="662"/>
      <c r="E16" s="663"/>
      <c r="F16" s="1"/>
      <c r="G16" s="1"/>
      <c r="H16" s="117"/>
      <c r="I16" s="14">
        <f t="shared" si="10"/>
        <v>10</v>
      </c>
      <c r="J16" s="63">
        <f t="shared" si="11"/>
        <v>163735.99439786689</v>
      </c>
      <c r="K16" s="63">
        <f t="shared" si="1"/>
        <v>723.22670631613028</v>
      </c>
      <c r="L16" s="63">
        <f t="shared" si="12"/>
        <v>-3592.6982164052329</v>
      </c>
      <c r="M16" s="65">
        <f t="shared" si="0"/>
        <v>160866.5228877778</v>
      </c>
      <c r="O16" s="14">
        <f t="shared" si="13"/>
        <v>10</v>
      </c>
      <c r="P16" s="54">
        <f t="shared" si="14"/>
        <v>5201.25</v>
      </c>
      <c r="Q16" s="63">
        <f t="shared" si="15"/>
        <v>8490.9713531108719</v>
      </c>
      <c r="R16" s="77">
        <f t="shared" si="2"/>
        <v>-3592.6982164052329</v>
      </c>
      <c r="S16" s="63">
        <f t="shared" si="16"/>
        <v>-1500</v>
      </c>
      <c r="T16" s="63"/>
      <c r="U16" s="63">
        <f t="shared" si="17"/>
        <v>-424.54856765554359</v>
      </c>
      <c r="V16" s="77">
        <f t="shared" ref="V16:V66" si="20">-(AB16*$C$9/12)</f>
        <v>-313.125</v>
      </c>
      <c r="W16" s="83">
        <f t="shared" si="4"/>
        <v>2660.5995690500949</v>
      </c>
      <c r="X16" s="85">
        <f t="shared" si="18"/>
        <v>26327.558190500946</v>
      </c>
      <c r="Z16" s="92">
        <f t="shared" si="19"/>
        <v>150300</v>
      </c>
      <c r="AA16" s="5">
        <f t="shared" si="5"/>
        <v>0</v>
      </c>
      <c r="AB16" s="92">
        <f t="shared" si="6"/>
        <v>150300</v>
      </c>
      <c r="AD16" s="133">
        <f t="shared" si="7"/>
        <v>-15000</v>
      </c>
      <c r="AE16" s="3">
        <f t="shared" si="8"/>
        <v>1</v>
      </c>
    </row>
    <row r="17" spans="1:31" ht="14.65" thickBot="1" x14ac:dyDescent="0.5">
      <c r="A17" s="97" t="s">
        <v>44</v>
      </c>
      <c r="B17" s="98" t="s">
        <v>48</v>
      </c>
      <c r="C17" s="98" t="s">
        <v>45</v>
      </c>
      <c r="D17" s="99" t="s">
        <v>46</v>
      </c>
      <c r="E17" s="55" t="s">
        <v>47</v>
      </c>
      <c r="F17" s="1"/>
      <c r="G17" s="1"/>
      <c r="H17" s="117"/>
      <c r="I17" s="14">
        <f t="shared" si="10"/>
        <v>11</v>
      </c>
      <c r="J17" s="63">
        <f t="shared" si="11"/>
        <v>160866.5228877778</v>
      </c>
      <c r="K17" s="63">
        <f t="shared" si="1"/>
        <v>710.55216620207989</v>
      </c>
      <c r="L17" s="63">
        <f t="shared" si="12"/>
        <v>-3592.6982164052329</v>
      </c>
      <c r="M17" s="65">
        <f t="shared" si="0"/>
        <v>157984.37683757464</v>
      </c>
      <c r="O17" s="14">
        <f t="shared" si="13"/>
        <v>11</v>
      </c>
      <c r="P17" s="54">
        <f t="shared" si="14"/>
        <v>5721.375</v>
      </c>
      <c r="Q17" s="63">
        <f t="shared" si="15"/>
        <v>8490.9713531108719</v>
      </c>
      <c r="R17" s="77">
        <f t="shared" si="2"/>
        <v>-3592.6982164052329</v>
      </c>
      <c r="S17" s="63">
        <f t="shared" si="16"/>
        <v>-1500</v>
      </c>
      <c r="T17" s="63"/>
      <c r="U17" s="63">
        <f t="shared" si="17"/>
        <v>-424.54856765554359</v>
      </c>
      <c r="V17" s="77">
        <f t="shared" si="20"/>
        <v>-306.9375</v>
      </c>
      <c r="W17" s="83">
        <f t="shared" si="4"/>
        <v>2666.7870690500949</v>
      </c>
      <c r="X17" s="85">
        <f t="shared" si="18"/>
        <v>28994.345259551039</v>
      </c>
      <c r="Z17" s="92">
        <f t="shared" si="19"/>
        <v>147330</v>
      </c>
      <c r="AA17" s="5">
        <f t="shared" si="5"/>
        <v>0</v>
      </c>
      <c r="AB17" s="92">
        <f t="shared" si="6"/>
        <v>147330</v>
      </c>
      <c r="AD17" s="133">
        <f t="shared" si="7"/>
        <v>-16500</v>
      </c>
      <c r="AE17" s="3">
        <f t="shared" si="8"/>
        <v>1</v>
      </c>
    </row>
    <row r="18" spans="1:31" x14ac:dyDescent="0.45">
      <c r="A18" s="94">
        <v>1</v>
      </c>
      <c r="B18" s="95">
        <v>12</v>
      </c>
      <c r="C18" s="96">
        <f>D$27-(D$27+D$28)*B18/60</f>
        <v>144360</v>
      </c>
      <c r="D18" s="100">
        <v>0.1</v>
      </c>
      <c r="E18" s="103">
        <f t="shared" ref="E18:E23" si="21">C18/(100%-D18)</f>
        <v>160400</v>
      </c>
      <c r="F18" s="11"/>
      <c r="G18" s="11"/>
      <c r="H18" s="11"/>
      <c r="I18" s="14">
        <f t="shared" si="10"/>
        <v>12</v>
      </c>
      <c r="J18" s="63">
        <f t="shared" si="11"/>
        <v>157984.37683757464</v>
      </c>
      <c r="K18" s="63">
        <f t="shared" si="1"/>
        <v>697.82164227130988</v>
      </c>
      <c r="L18" s="63">
        <f t="shared" si="12"/>
        <v>-3592.6982164052329</v>
      </c>
      <c r="M18" s="65">
        <f t="shared" si="0"/>
        <v>155089.50026344071</v>
      </c>
      <c r="O18" s="14">
        <f t="shared" si="13"/>
        <v>12</v>
      </c>
      <c r="P18" s="54">
        <f t="shared" si="14"/>
        <v>6241.5</v>
      </c>
      <c r="Q18" s="63">
        <f t="shared" si="15"/>
        <v>8490.9713531108719</v>
      </c>
      <c r="R18" s="77">
        <f t="shared" si="2"/>
        <v>-3592.6982164052329</v>
      </c>
      <c r="S18" s="63">
        <f t="shared" si="16"/>
        <v>-1500</v>
      </c>
      <c r="T18" s="63"/>
      <c r="U18" s="63">
        <f t="shared" si="17"/>
        <v>-424.54856765554359</v>
      </c>
      <c r="V18" s="77">
        <f t="shared" si="20"/>
        <v>-300.75</v>
      </c>
      <c r="W18" s="83">
        <f t="shared" si="4"/>
        <v>2672.9745690500949</v>
      </c>
      <c r="X18" s="85">
        <f t="shared" si="18"/>
        <v>31667.319828601132</v>
      </c>
      <c r="Z18" s="92">
        <f t="shared" si="19"/>
        <v>144360</v>
      </c>
      <c r="AA18" s="5">
        <f t="shared" si="5"/>
        <v>0</v>
      </c>
      <c r="AB18" s="92">
        <f t="shared" si="6"/>
        <v>144360</v>
      </c>
      <c r="AD18" s="133">
        <f t="shared" si="7"/>
        <v>-18000</v>
      </c>
      <c r="AE18" s="3">
        <f t="shared" si="8"/>
        <v>1</v>
      </c>
    </row>
    <row r="19" spans="1:31" x14ac:dyDescent="0.45">
      <c r="A19" s="4">
        <f>A18+1</f>
        <v>2</v>
      </c>
      <c r="B19" s="5">
        <f>B18+12</f>
        <v>24</v>
      </c>
      <c r="C19" s="92">
        <f>D$27-(D$27+D$28)*B19/60</f>
        <v>108720</v>
      </c>
      <c r="D19" s="101">
        <f>D18</f>
        <v>0.1</v>
      </c>
      <c r="E19" s="104">
        <f t="shared" si="21"/>
        <v>120800</v>
      </c>
      <c r="F19" s="11"/>
      <c r="G19" s="11"/>
      <c r="H19" s="11"/>
      <c r="I19" s="14">
        <f t="shared" si="10"/>
        <v>13</v>
      </c>
      <c r="J19" s="63">
        <f t="shared" si="11"/>
        <v>155089.50026344071</v>
      </c>
      <c r="K19" s="63">
        <f t="shared" si="1"/>
        <v>685.03488724165413</v>
      </c>
      <c r="L19" s="63">
        <f t="shared" si="12"/>
        <v>-3592.6982164052329</v>
      </c>
      <c r="M19" s="65">
        <f t="shared" si="0"/>
        <v>152181.83693427715</v>
      </c>
      <c r="O19" s="14">
        <f t="shared" si="13"/>
        <v>13</v>
      </c>
      <c r="P19" s="54">
        <f t="shared" si="14"/>
        <v>6761.625</v>
      </c>
      <c r="Q19" s="63">
        <f t="shared" si="15"/>
        <v>8490.9713531108719</v>
      </c>
      <c r="R19" s="77">
        <f t="shared" si="2"/>
        <v>-3592.6982164052329</v>
      </c>
      <c r="S19" s="63">
        <f t="shared" si="16"/>
        <v>-1500</v>
      </c>
      <c r="T19" s="63"/>
      <c r="U19" s="63">
        <f t="shared" si="17"/>
        <v>-424.54856765554359</v>
      </c>
      <c r="V19" s="77">
        <f t="shared" si="20"/>
        <v>-294.5625</v>
      </c>
      <c r="W19" s="83">
        <f t="shared" si="4"/>
        <v>2679.1620690500949</v>
      </c>
      <c r="X19" s="85">
        <f t="shared" si="18"/>
        <v>34346.481897651225</v>
      </c>
      <c r="Z19" s="92">
        <f t="shared" si="19"/>
        <v>141390</v>
      </c>
      <c r="AA19" s="5">
        <f t="shared" si="5"/>
        <v>0</v>
      </c>
      <c r="AB19" s="92">
        <f t="shared" si="6"/>
        <v>141390</v>
      </c>
      <c r="AD19" s="133">
        <f t="shared" si="7"/>
        <v>-19500</v>
      </c>
      <c r="AE19" s="3">
        <f t="shared" si="8"/>
        <v>1</v>
      </c>
    </row>
    <row r="20" spans="1:31" x14ac:dyDescent="0.45">
      <c r="A20" s="4">
        <f>A19+1</f>
        <v>3</v>
      </c>
      <c r="B20" s="5">
        <f>B19+12</f>
        <v>36</v>
      </c>
      <c r="C20" s="92">
        <f>D$27-(D$27+D$28)*B20/60</f>
        <v>73080</v>
      </c>
      <c r="D20" s="101">
        <f>D19</f>
        <v>0.1</v>
      </c>
      <c r="E20" s="104">
        <f t="shared" si="21"/>
        <v>81200</v>
      </c>
      <c r="F20" s="11"/>
      <c r="G20" s="11"/>
      <c r="H20" s="11"/>
      <c r="I20" s="14">
        <f t="shared" si="10"/>
        <v>14</v>
      </c>
      <c r="J20" s="63">
        <f t="shared" si="11"/>
        <v>152181.83693427715</v>
      </c>
      <c r="K20" s="63">
        <f t="shared" si="1"/>
        <v>672.19165273869407</v>
      </c>
      <c r="L20" s="63">
        <f t="shared" si="12"/>
        <v>-3592.6982164052329</v>
      </c>
      <c r="M20" s="65">
        <f t="shared" si="0"/>
        <v>149261.33037061061</v>
      </c>
      <c r="O20" s="14">
        <f t="shared" si="13"/>
        <v>14</v>
      </c>
      <c r="P20" s="54">
        <f t="shared" si="14"/>
        <v>7281.75</v>
      </c>
      <c r="Q20" s="63">
        <f t="shared" si="15"/>
        <v>8490.9713531108719</v>
      </c>
      <c r="R20" s="77">
        <f t="shared" si="2"/>
        <v>-3592.6982164052329</v>
      </c>
      <c r="S20" s="63">
        <f t="shared" si="16"/>
        <v>-1500</v>
      </c>
      <c r="T20" s="63"/>
      <c r="U20" s="63">
        <f t="shared" si="17"/>
        <v>-424.54856765554359</v>
      </c>
      <c r="V20" s="77">
        <f t="shared" si="20"/>
        <v>-288.375</v>
      </c>
      <c r="W20" s="83">
        <f t="shared" si="4"/>
        <v>2685.3495690500949</v>
      </c>
      <c r="X20" s="85">
        <f t="shared" si="18"/>
        <v>37031.831466701318</v>
      </c>
      <c r="Z20" s="92">
        <f t="shared" si="19"/>
        <v>138420</v>
      </c>
      <c r="AA20" s="5">
        <f t="shared" si="5"/>
        <v>0</v>
      </c>
      <c r="AB20" s="92">
        <f t="shared" si="6"/>
        <v>138420</v>
      </c>
      <c r="AD20" s="133">
        <f t="shared" si="7"/>
        <v>-21000</v>
      </c>
      <c r="AE20" s="3">
        <f t="shared" si="8"/>
        <v>1</v>
      </c>
    </row>
    <row r="21" spans="1:31" x14ac:dyDescent="0.45">
      <c r="A21" s="4">
        <f>A20+1</f>
        <v>4</v>
      </c>
      <c r="B21" s="5">
        <f>B20+12</f>
        <v>48</v>
      </c>
      <c r="C21" s="92">
        <f>D$27-(D$27+D$28)*B21/60</f>
        <v>37440</v>
      </c>
      <c r="D21" s="101">
        <f>D20</f>
        <v>0.1</v>
      </c>
      <c r="E21" s="104">
        <f t="shared" si="21"/>
        <v>41600</v>
      </c>
      <c r="F21" s="11"/>
      <c r="G21" s="11"/>
      <c r="H21" s="11"/>
      <c r="I21" s="14">
        <f t="shared" si="10"/>
        <v>15</v>
      </c>
      <c r="J21" s="63">
        <f t="shared" si="11"/>
        <v>149261.33037061061</v>
      </c>
      <c r="K21" s="63">
        <f t="shared" si="1"/>
        <v>659.29168929093373</v>
      </c>
      <c r="L21" s="63">
        <f t="shared" si="12"/>
        <v>-3592.6982164052329</v>
      </c>
      <c r="M21" s="65">
        <f t="shared" si="0"/>
        <v>146327.9238434963</v>
      </c>
      <c r="O21" s="14">
        <f t="shared" si="13"/>
        <v>15</v>
      </c>
      <c r="P21" s="54">
        <f t="shared" si="14"/>
        <v>7801.875</v>
      </c>
      <c r="Q21" s="63">
        <f t="shared" si="15"/>
        <v>8490.9713531108719</v>
      </c>
      <c r="R21" s="77">
        <f t="shared" si="2"/>
        <v>-3592.6982164052329</v>
      </c>
      <c r="S21" s="63">
        <f t="shared" si="16"/>
        <v>-1500</v>
      </c>
      <c r="T21" s="63"/>
      <c r="U21" s="63">
        <f t="shared" si="17"/>
        <v>-424.54856765554359</v>
      </c>
      <c r="V21" s="77">
        <f t="shared" si="20"/>
        <v>-282.1875</v>
      </c>
      <c r="W21" s="83">
        <f t="shared" si="4"/>
        <v>2691.5370690500949</v>
      </c>
      <c r="X21" s="85">
        <f t="shared" si="18"/>
        <v>39723.368535751411</v>
      </c>
      <c r="Z21" s="92">
        <f t="shared" si="19"/>
        <v>135450</v>
      </c>
      <c r="AA21" s="5">
        <f t="shared" si="5"/>
        <v>0</v>
      </c>
      <c r="AB21" s="92">
        <f t="shared" si="6"/>
        <v>135450</v>
      </c>
      <c r="AD21" s="133">
        <f t="shared" si="7"/>
        <v>-22500</v>
      </c>
      <c r="AE21" s="3">
        <f t="shared" si="8"/>
        <v>1</v>
      </c>
    </row>
    <row r="22" spans="1:31" x14ac:dyDescent="0.45">
      <c r="A22" s="4">
        <f>A21+1</f>
        <v>5</v>
      </c>
      <c r="B22" s="5">
        <f>B21+12</f>
        <v>60</v>
      </c>
      <c r="C22" s="92">
        <f>D$27-(D$27+D$28)*B22/60</f>
        <v>1800</v>
      </c>
      <c r="D22" s="101">
        <f>D21</f>
        <v>0.1</v>
      </c>
      <c r="E22" s="104">
        <f t="shared" si="21"/>
        <v>2000</v>
      </c>
      <c r="F22" s="11"/>
      <c r="G22" s="11"/>
      <c r="H22" s="11"/>
      <c r="I22" s="14">
        <f t="shared" si="10"/>
        <v>16</v>
      </c>
      <c r="J22" s="63">
        <f t="shared" si="11"/>
        <v>146327.9238434963</v>
      </c>
      <c r="K22" s="63">
        <f t="shared" si="1"/>
        <v>646.33474632495404</v>
      </c>
      <c r="L22" s="63">
        <f t="shared" si="12"/>
        <v>-3592.6982164052329</v>
      </c>
      <c r="M22" s="65">
        <f t="shared" si="0"/>
        <v>143381.56037341602</v>
      </c>
      <c r="O22" s="14">
        <f t="shared" si="13"/>
        <v>16</v>
      </c>
      <c r="P22" s="54">
        <f t="shared" si="14"/>
        <v>8322</v>
      </c>
      <c r="Q22" s="63">
        <f t="shared" si="15"/>
        <v>8490.9713531108719</v>
      </c>
      <c r="R22" s="77">
        <f t="shared" si="2"/>
        <v>-3592.6982164052329</v>
      </c>
      <c r="S22" s="63">
        <f t="shared" si="16"/>
        <v>-1500</v>
      </c>
      <c r="T22" s="63"/>
      <c r="U22" s="63">
        <f t="shared" si="17"/>
        <v>-424.54856765554359</v>
      </c>
      <c r="V22" s="77">
        <f t="shared" si="20"/>
        <v>-276</v>
      </c>
      <c r="W22" s="83">
        <f t="shared" si="4"/>
        <v>2697.7245690500949</v>
      </c>
      <c r="X22" s="85">
        <f t="shared" si="18"/>
        <v>42421.093104801505</v>
      </c>
      <c r="Z22" s="92">
        <f t="shared" si="19"/>
        <v>132480</v>
      </c>
      <c r="AA22" s="5">
        <f t="shared" si="5"/>
        <v>0</v>
      </c>
      <c r="AB22" s="92">
        <f t="shared" si="6"/>
        <v>132480</v>
      </c>
      <c r="AD22" s="133">
        <f t="shared" si="7"/>
        <v>-24000</v>
      </c>
      <c r="AE22" s="3">
        <f t="shared" si="8"/>
        <v>1</v>
      </c>
    </row>
    <row r="23" spans="1:31" ht="14.65" thickBot="1" x14ac:dyDescent="0.5">
      <c r="A23" s="6">
        <f>A22+1</f>
        <v>6</v>
      </c>
      <c r="B23" s="7">
        <f>B22+12</f>
        <v>72</v>
      </c>
      <c r="C23" s="93">
        <v>1</v>
      </c>
      <c r="D23" s="102">
        <f>D22</f>
        <v>0.1</v>
      </c>
      <c r="E23" s="105">
        <f t="shared" si="21"/>
        <v>1.1111111111111112</v>
      </c>
      <c r="H23" s="11"/>
      <c r="I23" s="14">
        <f t="shared" si="10"/>
        <v>17</v>
      </c>
      <c r="J23" s="63">
        <f t="shared" si="11"/>
        <v>143381.56037341602</v>
      </c>
      <c r="K23" s="63">
        <f t="shared" si="1"/>
        <v>633.32057216054636</v>
      </c>
      <c r="L23" s="63">
        <f t="shared" si="12"/>
        <v>-3592.6982164052329</v>
      </c>
      <c r="M23" s="65">
        <f t="shared" si="0"/>
        <v>140422.18272917133</v>
      </c>
      <c r="O23" s="14">
        <f t="shared" si="13"/>
        <v>17</v>
      </c>
      <c r="P23" s="54">
        <f t="shared" si="14"/>
        <v>8842.125</v>
      </c>
      <c r="Q23" s="63">
        <f t="shared" si="15"/>
        <v>8490.9713531108719</v>
      </c>
      <c r="R23" s="77">
        <f t="shared" si="2"/>
        <v>-3592.6982164052329</v>
      </c>
      <c r="S23" s="63">
        <f t="shared" si="16"/>
        <v>-1500</v>
      </c>
      <c r="T23" s="63"/>
      <c r="U23" s="63">
        <f t="shared" si="17"/>
        <v>-424.54856765554359</v>
      </c>
      <c r="V23" s="77">
        <f t="shared" si="20"/>
        <v>-269.8125</v>
      </c>
      <c r="W23" s="83">
        <f t="shared" si="4"/>
        <v>2703.9120690500949</v>
      </c>
      <c r="X23" s="85">
        <f t="shared" si="18"/>
        <v>45125.005173851598</v>
      </c>
      <c r="Z23" s="92">
        <f t="shared" si="19"/>
        <v>129510</v>
      </c>
      <c r="AA23" s="5">
        <f t="shared" si="5"/>
        <v>0</v>
      </c>
      <c r="AB23" s="92">
        <f t="shared" si="6"/>
        <v>129510</v>
      </c>
      <c r="AD23" s="133">
        <f t="shared" si="7"/>
        <v>-25500</v>
      </c>
      <c r="AE23" s="3">
        <f t="shared" si="8"/>
        <v>1</v>
      </c>
    </row>
    <row r="24" spans="1:31" ht="14.65" thickBot="1" x14ac:dyDescent="0.5">
      <c r="H24" s="11"/>
      <c r="I24" s="14">
        <f>I23+1</f>
        <v>18</v>
      </c>
      <c r="J24" s="63">
        <f t="shared" si="11"/>
        <v>140422.18272917133</v>
      </c>
      <c r="K24" s="63">
        <f t="shared" si="1"/>
        <v>620.2489140058226</v>
      </c>
      <c r="L24" s="63">
        <f t="shared" si="12"/>
        <v>-3592.6982164052329</v>
      </c>
      <c r="M24" s="65">
        <f t="shared" si="0"/>
        <v>137449.73342677191</v>
      </c>
      <c r="O24" s="14">
        <f>O23+1</f>
        <v>18</v>
      </c>
      <c r="P24" s="54">
        <f t="shared" si="14"/>
        <v>9362.25</v>
      </c>
      <c r="Q24" s="63">
        <f t="shared" si="15"/>
        <v>8490.9713531108719</v>
      </c>
      <c r="R24" s="77">
        <f t="shared" si="2"/>
        <v>-3592.6982164052329</v>
      </c>
      <c r="S24" s="63">
        <f t="shared" si="16"/>
        <v>-1500</v>
      </c>
      <c r="T24" s="63"/>
      <c r="U24" s="63">
        <f t="shared" si="17"/>
        <v>-424.54856765554359</v>
      </c>
      <c r="V24" s="77">
        <f t="shared" si="20"/>
        <v>-263.625</v>
      </c>
      <c r="W24" s="83">
        <f t="shared" si="4"/>
        <v>2710.0995690500949</v>
      </c>
      <c r="X24" s="85">
        <f t="shared" si="18"/>
        <v>47835.104742901691</v>
      </c>
      <c r="Z24" s="92">
        <f t="shared" si="19"/>
        <v>126540</v>
      </c>
      <c r="AA24" s="5">
        <f t="shared" si="5"/>
        <v>0</v>
      </c>
      <c r="AB24" s="92">
        <f t="shared" si="6"/>
        <v>126540</v>
      </c>
      <c r="AD24" s="133">
        <f t="shared" si="7"/>
        <v>-27000</v>
      </c>
      <c r="AE24" s="3">
        <f t="shared" si="8"/>
        <v>1</v>
      </c>
    </row>
    <row r="25" spans="1:31" ht="32.25" customHeight="1" thickBot="1" x14ac:dyDescent="0.5">
      <c r="A25" s="664" t="s">
        <v>21</v>
      </c>
      <c r="B25" s="665"/>
      <c r="C25" s="665"/>
      <c r="D25" s="665"/>
      <c r="E25" s="665"/>
      <c r="F25" s="665"/>
      <c r="G25" s="666"/>
      <c r="H25" s="11"/>
      <c r="I25" s="14">
        <f t="shared" si="10"/>
        <v>19</v>
      </c>
      <c r="J25" s="63">
        <f t="shared" si="11"/>
        <v>137449.73342677191</v>
      </c>
      <c r="K25" s="63">
        <f t="shared" si="1"/>
        <v>607.11951795230573</v>
      </c>
      <c r="L25" s="63">
        <f t="shared" si="12"/>
        <v>-3592.6982164052329</v>
      </c>
      <c r="M25" s="65">
        <f t="shared" si="0"/>
        <v>134464.154728319</v>
      </c>
      <c r="O25" s="14">
        <f t="shared" si="13"/>
        <v>19</v>
      </c>
      <c r="P25" s="54">
        <f t="shared" si="14"/>
        <v>9882.375</v>
      </c>
      <c r="Q25" s="63">
        <f t="shared" si="15"/>
        <v>8490.9713531108719</v>
      </c>
      <c r="R25" s="77">
        <f t="shared" si="2"/>
        <v>-3592.6982164052329</v>
      </c>
      <c r="S25" s="63">
        <f t="shared" si="16"/>
        <v>-1500</v>
      </c>
      <c r="T25" s="63"/>
      <c r="U25" s="63">
        <f t="shared" si="17"/>
        <v>-424.54856765554359</v>
      </c>
      <c r="V25" s="77">
        <f t="shared" si="20"/>
        <v>-257.4375</v>
      </c>
      <c r="W25" s="83">
        <f t="shared" si="4"/>
        <v>2716.2870690500949</v>
      </c>
      <c r="X25" s="85">
        <f t="shared" si="18"/>
        <v>50551.391811951784</v>
      </c>
      <c r="Z25" s="92">
        <f t="shared" si="19"/>
        <v>123570</v>
      </c>
      <c r="AA25" s="5">
        <f t="shared" si="5"/>
        <v>0</v>
      </c>
      <c r="AB25" s="92">
        <f t="shared" si="6"/>
        <v>123570</v>
      </c>
      <c r="AD25" s="133">
        <f t="shared" si="7"/>
        <v>-28500</v>
      </c>
      <c r="AE25" s="3">
        <f t="shared" si="8"/>
        <v>1</v>
      </c>
    </row>
    <row r="26" spans="1:31" ht="28.9" thickBot="1" x14ac:dyDescent="0.5">
      <c r="A26" s="26" t="s">
        <v>0</v>
      </c>
      <c r="B26" s="27" t="s">
        <v>1</v>
      </c>
      <c r="C26" s="43" t="s">
        <v>22</v>
      </c>
      <c r="D26" s="43" t="s">
        <v>10</v>
      </c>
      <c r="E26" s="43" t="s">
        <v>23</v>
      </c>
      <c r="F26" s="43" t="s">
        <v>24</v>
      </c>
      <c r="G26" s="44" t="s">
        <v>25</v>
      </c>
      <c r="H26" s="11"/>
      <c r="I26" s="14">
        <f t="shared" si="10"/>
        <v>20</v>
      </c>
      <c r="J26" s="63">
        <f t="shared" si="11"/>
        <v>134464.154728319</v>
      </c>
      <c r="K26" s="63">
        <f t="shared" si="1"/>
        <v>593.93212896999751</v>
      </c>
      <c r="L26" s="63">
        <f t="shared" si="12"/>
        <v>-3592.6982164052329</v>
      </c>
      <c r="M26" s="65">
        <f t="shared" si="0"/>
        <v>131465.38864088376</v>
      </c>
      <c r="O26" s="14">
        <f t="shared" si="13"/>
        <v>20</v>
      </c>
      <c r="P26" s="54">
        <f t="shared" si="14"/>
        <v>10402.5</v>
      </c>
      <c r="Q26" s="63">
        <f t="shared" si="15"/>
        <v>8490.9713531108719</v>
      </c>
      <c r="R26" s="77">
        <f t="shared" si="2"/>
        <v>-3592.6982164052329</v>
      </c>
      <c r="S26" s="63">
        <f t="shared" si="16"/>
        <v>-1500</v>
      </c>
      <c r="T26" s="63"/>
      <c r="U26" s="63">
        <f t="shared" si="17"/>
        <v>-424.54856765554359</v>
      </c>
      <c r="V26" s="77">
        <f t="shared" si="20"/>
        <v>-251.25</v>
      </c>
      <c r="W26" s="83">
        <f t="shared" si="4"/>
        <v>2722.4745690500949</v>
      </c>
      <c r="X26" s="85">
        <f t="shared" si="18"/>
        <v>53273.866381001877</v>
      </c>
      <c r="Z26" s="92">
        <f t="shared" si="19"/>
        <v>120600</v>
      </c>
      <c r="AA26" s="5">
        <f t="shared" si="5"/>
        <v>0</v>
      </c>
      <c r="AB26" s="92">
        <f t="shared" si="6"/>
        <v>120600</v>
      </c>
      <c r="AD26" s="133">
        <f t="shared" si="7"/>
        <v>-30000</v>
      </c>
      <c r="AE26" s="3">
        <f t="shared" si="8"/>
        <v>1</v>
      </c>
    </row>
    <row r="27" spans="1:31" x14ac:dyDescent="0.45">
      <c r="A27" s="8">
        <v>1</v>
      </c>
      <c r="B27" s="9" t="s">
        <v>16</v>
      </c>
      <c r="C27" s="48">
        <v>1</v>
      </c>
      <c r="D27" s="153">
        <f>+F7</f>
        <v>180000</v>
      </c>
      <c r="E27" s="342">
        <f>+'Summary Equip'!AE15</f>
        <v>0.8</v>
      </c>
      <c r="F27" s="62">
        <f>E27*D27</f>
        <v>144000</v>
      </c>
      <c r="G27" s="60">
        <f>D27-F27</f>
        <v>36000</v>
      </c>
      <c r="H27" s="11"/>
      <c r="I27" s="14">
        <f t="shared" si="10"/>
        <v>21</v>
      </c>
      <c r="J27" s="63">
        <f t="shared" si="11"/>
        <v>131465.38864088376</v>
      </c>
      <c r="K27" s="63">
        <f t="shared" si="1"/>
        <v>580.68649090242457</v>
      </c>
      <c r="L27" s="63">
        <f t="shared" si="12"/>
        <v>-3592.6982164052329</v>
      </c>
      <c r="M27" s="65">
        <f t="shared" si="0"/>
        <v>128453.37691538094</v>
      </c>
      <c r="O27" s="14">
        <f t="shared" si="13"/>
        <v>21</v>
      </c>
      <c r="P27" s="54">
        <f t="shared" si="14"/>
        <v>10922.625</v>
      </c>
      <c r="Q27" s="63">
        <f t="shared" si="15"/>
        <v>8490.9713531108719</v>
      </c>
      <c r="R27" s="77">
        <f t="shared" si="2"/>
        <v>-3592.6982164052329</v>
      </c>
      <c r="S27" s="63">
        <f t="shared" si="16"/>
        <v>-1500</v>
      </c>
      <c r="T27" s="63"/>
      <c r="U27" s="63">
        <f t="shared" si="17"/>
        <v>-424.54856765554359</v>
      </c>
      <c r="V27" s="77">
        <f t="shared" si="20"/>
        <v>-245.0625</v>
      </c>
      <c r="W27" s="83">
        <f t="shared" si="4"/>
        <v>2728.6620690500949</v>
      </c>
      <c r="X27" s="85">
        <f t="shared" si="18"/>
        <v>56002.52845005197</v>
      </c>
      <c r="Z27" s="92">
        <f t="shared" si="19"/>
        <v>117630</v>
      </c>
      <c r="AA27" s="5">
        <f t="shared" si="5"/>
        <v>0</v>
      </c>
      <c r="AB27" s="92">
        <f t="shared" si="6"/>
        <v>117630</v>
      </c>
      <c r="AD27" s="133">
        <f t="shared" si="7"/>
        <v>-31500</v>
      </c>
      <c r="AE27" s="3">
        <f t="shared" si="8"/>
        <v>1</v>
      </c>
    </row>
    <row r="28" spans="1:31" x14ac:dyDescent="0.45">
      <c r="A28" s="4">
        <f>A27+1</f>
        <v>2</v>
      </c>
      <c r="B28" s="5" t="s">
        <v>12</v>
      </c>
      <c r="C28" s="19">
        <f>C11</f>
        <v>0.01</v>
      </c>
      <c r="D28" s="300">
        <f>-C28*D27</f>
        <v>-1800</v>
      </c>
      <c r="E28" s="23">
        <f>E27</f>
        <v>0.8</v>
      </c>
      <c r="F28" s="63">
        <f t="shared" ref="F28:F33" si="22">E28*D28</f>
        <v>-1440</v>
      </c>
      <c r="G28" s="65">
        <f>D28-F28</f>
        <v>-360</v>
      </c>
      <c r="H28" s="11"/>
      <c r="I28" s="14">
        <f t="shared" si="10"/>
        <v>22</v>
      </c>
      <c r="J28" s="63">
        <f t="shared" si="11"/>
        <v>128453.37691538094</v>
      </c>
      <c r="K28" s="63">
        <f t="shared" si="1"/>
        <v>567.38234646166291</v>
      </c>
      <c r="L28" s="63">
        <f t="shared" si="12"/>
        <v>-3592.6982164052329</v>
      </c>
      <c r="M28" s="65">
        <f t="shared" si="0"/>
        <v>125428.06104543737</v>
      </c>
      <c r="O28" s="14">
        <f t="shared" si="13"/>
        <v>22</v>
      </c>
      <c r="P28" s="54">
        <f t="shared" si="14"/>
        <v>11442.75</v>
      </c>
      <c r="Q28" s="63">
        <f t="shared" si="15"/>
        <v>8490.9713531108719</v>
      </c>
      <c r="R28" s="77">
        <f t="shared" si="2"/>
        <v>-3592.6982164052329</v>
      </c>
      <c r="S28" s="63">
        <f t="shared" si="16"/>
        <v>-1500</v>
      </c>
      <c r="T28" s="63"/>
      <c r="U28" s="63">
        <f t="shared" si="17"/>
        <v>-424.54856765554359</v>
      </c>
      <c r="V28" s="77">
        <f t="shared" si="20"/>
        <v>-238.875</v>
      </c>
      <c r="W28" s="83">
        <f t="shared" si="4"/>
        <v>2734.8495690500949</v>
      </c>
      <c r="X28" s="85">
        <f t="shared" si="18"/>
        <v>58737.378019102063</v>
      </c>
      <c r="Z28" s="92">
        <f t="shared" si="19"/>
        <v>114660</v>
      </c>
      <c r="AA28" s="5">
        <f t="shared" si="5"/>
        <v>0</v>
      </c>
      <c r="AB28" s="92">
        <f t="shared" si="6"/>
        <v>114660</v>
      </c>
      <c r="AD28" s="133">
        <f t="shared" si="7"/>
        <v>-33000</v>
      </c>
      <c r="AE28" s="3">
        <f t="shared" si="8"/>
        <v>1</v>
      </c>
    </row>
    <row r="29" spans="1:31" x14ac:dyDescent="0.45">
      <c r="A29" s="4">
        <f t="shared" ref="A29:A34" si="23">A28+1</f>
        <v>3</v>
      </c>
      <c r="B29" s="5" t="s">
        <v>17</v>
      </c>
      <c r="C29" s="24">
        <f>C8</f>
        <v>5.2999999999999999E-2</v>
      </c>
      <c r="D29" s="63">
        <f>K67</f>
        <v>25351.665414587816</v>
      </c>
      <c r="E29" s="23">
        <v>1</v>
      </c>
      <c r="F29" s="63">
        <f t="shared" si="22"/>
        <v>25351.665414587816</v>
      </c>
      <c r="G29" s="65">
        <f>D29-F29</f>
        <v>0</v>
      </c>
      <c r="H29" s="11"/>
      <c r="I29" s="14">
        <f t="shared" si="10"/>
        <v>23</v>
      </c>
      <c r="J29" s="63">
        <f t="shared" si="11"/>
        <v>125428.06104543737</v>
      </c>
      <c r="K29" s="63">
        <f t="shared" si="1"/>
        <v>554.01943722334022</v>
      </c>
      <c r="L29" s="63">
        <f t="shared" si="12"/>
        <v>-3592.6982164052329</v>
      </c>
      <c r="M29" s="65">
        <f t="shared" si="0"/>
        <v>122389.38226625547</v>
      </c>
      <c r="O29" s="14">
        <f t="shared" si="13"/>
        <v>23</v>
      </c>
      <c r="P29" s="54">
        <f t="shared" si="14"/>
        <v>11962.875</v>
      </c>
      <c r="Q29" s="63">
        <f t="shared" si="15"/>
        <v>8490.9713531108719</v>
      </c>
      <c r="R29" s="77">
        <f t="shared" si="2"/>
        <v>-3592.6982164052329</v>
      </c>
      <c r="S29" s="63">
        <f t="shared" si="16"/>
        <v>-1500</v>
      </c>
      <c r="T29" s="63"/>
      <c r="U29" s="63">
        <f t="shared" si="17"/>
        <v>-424.54856765554359</v>
      </c>
      <c r="V29" s="77">
        <f t="shared" si="20"/>
        <v>-232.6875</v>
      </c>
      <c r="W29" s="83">
        <f t="shared" si="4"/>
        <v>2741.0370690500949</v>
      </c>
      <c r="X29" s="85">
        <f t="shared" si="18"/>
        <v>61478.415088152156</v>
      </c>
      <c r="Z29" s="92">
        <f t="shared" si="19"/>
        <v>111690</v>
      </c>
      <c r="AA29" s="5">
        <f t="shared" si="5"/>
        <v>0</v>
      </c>
      <c r="AB29" s="92">
        <f t="shared" si="6"/>
        <v>111690</v>
      </c>
      <c r="AD29" s="133">
        <f t="shared" si="7"/>
        <v>-34500</v>
      </c>
      <c r="AE29" s="3">
        <f t="shared" si="8"/>
        <v>1</v>
      </c>
    </row>
    <row r="30" spans="1:31" x14ac:dyDescent="0.45">
      <c r="A30" s="4">
        <f t="shared" si="23"/>
        <v>4</v>
      </c>
      <c r="B30" s="5" t="s">
        <v>6</v>
      </c>
      <c r="C30" s="23">
        <f>C9</f>
        <v>2.5000000000000001E-2</v>
      </c>
      <c r="D30" s="63">
        <f>-V67</f>
        <v>10723.5</v>
      </c>
      <c r="E30" s="23">
        <v>1</v>
      </c>
      <c r="F30" s="63">
        <f t="shared" si="22"/>
        <v>10723.5</v>
      </c>
      <c r="G30" s="65">
        <f>D30-F30</f>
        <v>0</v>
      </c>
      <c r="H30" s="11"/>
      <c r="I30" s="14">
        <f t="shared" si="10"/>
        <v>24</v>
      </c>
      <c r="J30" s="63">
        <f t="shared" si="11"/>
        <v>122389.38226625547</v>
      </c>
      <c r="K30" s="63">
        <f t="shared" si="1"/>
        <v>540.59750362161617</v>
      </c>
      <c r="L30" s="63">
        <f t="shared" si="12"/>
        <v>-3592.6982164052329</v>
      </c>
      <c r="M30" s="65">
        <f t="shared" si="0"/>
        <v>119337.28155347185</v>
      </c>
      <c r="O30" s="14">
        <f t="shared" si="13"/>
        <v>24</v>
      </c>
      <c r="P30" s="54">
        <f t="shared" si="14"/>
        <v>12483</v>
      </c>
      <c r="Q30" s="63">
        <f t="shared" si="15"/>
        <v>8490.9713531108719</v>
      </c>
      <c r="R30" s="77">
        <f t="shared" si="2"/>
        <v>-3592.6982164052329</v>
      </c>
      <c r="S30" s="63">
        <f t="shared" si="16"/>
        <v>-1500</v>
      </c>
      <c r="T30" s="63"/>
      <c r="U30" s="63">
        <f t="shared" si="17"/>
        <v>-424.54856765554359</v>
      </c>
      <c r="V30" s="77">
        <f t="shared" si="20"/>
        <v>-226.5</v>
      </c>
      <c r="W30" s="83">
        <f t="shared" si="4"/>
        <v>2747.2245690500949</v>
      </c>
      <c r="X30" s="85">
        <f t="shared" si="18"/>
        <v>64225.63965720225</v>
      </c>
      <c r="Z30" s="92">
        <f t="shared" si="19"/>
        <v>108720</v>
      </c>
      <c r="AA30" s="5">
        <f t="shared" si="5"/>
        <v>0</v>
      </c>
      <c r="AB30" s="92">
        <f t="shared" si="6"/>
        <v>108720</v>
      </c>
      <c r="AD30" s="133">
        <f t="shared" si="7"/>
        <v>-36000</v>
      </c>
      <c r="AE30" s="3">
        <f t="shared" si="8"/>
        <v>1</v>
      </c>
    </row>
    <row r="31" spans="1:31" x14ac:dyDescent="0.45">
      <c r="A31" s="4">
        <f t="shared" si="23"/>
        <v>5</v>
      </c>
      <c r="B31" s="5" t="s">
        <v>27</v>
      </c>
      <c r="C31" s="334">
        <f>+'Summary Equip'!AH15</f>
        <v>0.5</v>
      </c>
      <c r="D31" s="63">
        <f>D27*C31</f>
        <v>90000</v>
      </c>
      <c r="E31" s="334">
        <f>+ASSUMPTIONS!B43</f>
        <v>0.1</v>
      </c>
      <c r="F31" s="63">
        <f t="shared" si="22"/>
        <v>9000</v>
      </c>
      <c r="G31" s="65">
        <f>D31</f>
        <v>90000</v>
      </c>
      <c r="H31" s="11"/>
      <c r="I31" s="14">
        <f t="shared" si="10"/>
        <v>25</v>
      </c>
      <c r="J31" s="63">
        <f t="shared" si="11"/>
        <v>119337.28155347185</v>
      </c>
      <c r="K31" s="63">
        <f t="shared" si="1"/>
        <v>527.11628494414026</v>
      </c>
      <c r="L31" s="63">
        <f t="shared" si="12"/>
        <v>-3592.6982164052329</v>
      </c>
      <c r="M31" s="65">
        <f t="shared" si="0"/>
        <v>116271.69962201077</v>
      </c>
      <c r="O31" s="14">
        <f t="shared" si="13"/>
        <v>25</v>
      </c>
      <c r="P31" s="54">
        <f t="shared" si="14"/>
        <v>13003.125</v>
      </c>
      <c r="Q31" s="63">
        <f t="shared" si="15"/>
        <v>8490.9713531108719</v>
      </c>
      <c r="R31" s="77">
        <f t="shared" si="2"/>
        <v>-3592.6982164052329</v>
      </c>
      <c r="S31" s="63">
        <f t="shared" si="16"/>
        <v>-1500</v>
      </c>
      <c r="T31" s="63"/>
      <c r="U31" s="63">
        <f t="shared" si="17"/>
        <v>-424.54856765554359</v>
      </c>
      <c r="V31" s="77">
        <f t="shared" si="20"/>
        <v>-220.3125</v>
      </c>
      <c r="W31" s="83">
        <f t="shared" si="4"/>
        <v>2753.4120690500949</v>
      </c>
      <c r="X31" s="85">
        <f t="shared" si="18"/>
        <v>66979.05172625235</v>
      </c>
      <c r="Z31" s="92">
        <f t="shared" si="19"/>
        <v>105750</v>
      </c>
      <c r="AA31" s="5">
        <f t="shared" si="5"/>
        <v>0</v>
      </c>
      <c r="AB31" s="92">
        <f t="shared" si="6"/>
        <v>105750</v>
      </c>
      <c r="AD31" s="133">
        <f t="shared" si="7"/>
        <v>-37500</v>
      </c>
      <c r="AE31" s="3">
        <f t="shared" si="8"/>
        <v>1</v>
      </c>
    </row>
    <row r="32" spans="1:31" x14ac:dyDescent="0.45">
      <c r="A32" s="4">
        <f t="shared" si="23"/>
        <v>6</v>
      </c>
      <c r="B32" s="5" t="s">
        <v>26</v>
      </c>
      <c r="C32" s="335">
        <f>+'Summary Equip'!AI15</f>
        <v>0.15</v>
      </c>
      <c r="D32" s="63">
        <f>D27*C32</f>
        <v>27000</v>
      </c>
      <c r="E32" s="334">
        <f>+ASSUMPTIONS!B44</f>
        <v>0.05</v>
      </c>
      <c r="F32" s="63">
        <f t="shared" si="22"/>
        <v>1350</v>
      </c>
      <c r="G32" s="65">
        <f>D32</f>
        <v>27000</v>
      </c>
      <c r="H32" s="11"/>
      <c r="I32" s="14">
        <f t="shared" si="10"/>
        <v>26</v>
      </c>
      <c r="J32" s="63">
        <f t="shared" si="11"/>
        <v>116271.69962201077</v>
      </c>
      <c r="K32" s="63">
        <f t="shared" si="1"/>
        <v>513.57551932698811</v>
      </c>
      <c r="L32" s="63">
        <f t="shared" si="12"/>
        <v>-3592.6982164052329</v>
      </c>
      <c r="M32" s="65">
        <f t="shared" si="0"/>
        <v>113192.57692493252</v>
      </c>
      <c r="O32" s="14">
        <f t="shared" si="13"/>
        <v>26</v>
      </c>
      <c r="P32" s="54">
        <f t="shared" si="14"/>
        <v>13523.25</v>
      </c>
      <c r="Q32" s="63">
        <f t="shared" si="15"/>
        <v>8490.9713531108719</v>
      </c>
      <c r="R32" s="77">
        <f t="shared" si="2"/>
        <v>-3592.6982164052329</v>
      </c>
      <c r="S32" s="63">
        <f t="shared" si="16"/>
        <v>-1500</v>
      </c>
      <c r="T32" s="63"/>
      <c r="U32" s="63">
        <f t="shared" si="17"/>
        <v>-424.54856765554359</v>
      </c>
      <c r="V32" s="77">
        <f t="shared" si="20"/>
        <v>-214.125</v>
      </c>
      <c r="W32" s="83">
        <f t="shared" si="4"/>
        <v>2759.5995690500949</v>
      </c>
      <c r="X32" s="85">
        <f t="shared" si="18"/>
        <v>69738.65129530245</v>
      </c>
      <c r="Z32" s="92">
        <f t="shared" si="19"/>
        <v>102780</v>
      </c>
      <c r="AA32" s="5">
        <f t="shared" si="5"/>
        <v>0</v>
      </c>
      <c r="AB32" s="92">
        <f t="shared" si="6"/>
        <v>102780</v>
      </c>
      <c r="AD32" s="133">
        <f t="shared" si="7"/>
        <v>-39000</v>
      </c>
      <c r="AE32" s="3">
        <f t="shared" si="8"/>
        <v>1</v>
      </c>
    </row>
    <row r="33" spans="1:31" ht="14.65" thickBot="1" x14ac:dyDescent="0.5">
      <c r="A33" s="6">
        <f t="shared" si="23"/>
        <v>7</v>
      </c>
      <c r="B33" s="7" t="s">
        <v>32</v>
      </c>
      <c r="C33" s="336">
        <f>+'Summary Equip'!AJ15</f>
        <v>0.03</v>
      </c>
      <c r="D33" s="64">
        <f>D27*C33</f>
        <v>5400</v>
      </c>
      <c r="E33" s="334">
        <f>+ASSUMPTIONS!B45</f>
        <v>0</v>
      </c>
      <c r="F33" s="64">
        <f t="shared" si="22"/>
        <v>0</v>
      </c>
      <c r="G33" s="66">
        <f>D33</f>
        <v>5400</v>
      </c>
      <c r="H33" s="11"/>
      <c r="I33" s="14">
        <f t="shared" si="10"/>
        <v>27</v>
      </c>
      <c r="J33" s="63">
        <f t="shared" si="11"/>
        <v>113192.57692493252</v>
      </c>
      <c r="K33" s="63">
        <f t="shared" si="1"/>
        <v>499.97494374957466</v>
      </c>
      <c r="L33" s="63">
        <f t="shared" si="12"/>
        <v>-3592.6982164052329</v>
      </c>
      <c r="M33" s="65">
        <f t="shared" si="0"/>
        <v>110099.85365227687</v>
      </c>
      <c r="O33" s="14">
        <f t="shared" si="13"/>
        <v>27</v>
      </c>
      <c r="P33" s="54">
        <f t="shared" si="14"/>
        <v>14043.375</v>
      </c>
      <c r="Q33" s="63">
        <f t="shared" si="15"/>
        <v>8490.9713531108719</v>
      </c>
      <c r="R33" s="77">
        <f t="shared" si="2"/>
        <v>-3592.6982164052329</v>
      </c>
      <c r="S33" s="63">
        <f t="shared" si="16"/>
        <v>-1500</v>
      </c>
      <c r="T33" s="63"/>
      <c r="U33" s="63">
        <f t="shared" si="17"/>
        <v>-424.54856765554359</v>
      </c>
      <c r="V33" s="77">
        <f t="shared" si="20"/>
        <v>-207.9375</v>
      </c>
      <c r="W33" s="83">
        <f t="shared" si="4"/>
        <v>2765.7870690500949</v>
      </c>
      <c r="X33" s="85">
        <f t="shared" si="18"/>
        <v>72504.438364352551</v>
      </c>
      <c r="Z33" s="92">
        <f t="shared" si="19"/>
        <v>99810</v>
      </c>
      <c r="AA33" s="5">
        <f t="shared" si="5"/>
        <v>0</v>
      </c>
      <c r="AB33" s="92">
        <f t="shared" si="6"/>
        <v>99810</v>
      </c>
      <c r="AD33" s="133">
        <f t="shared" si="7"/>
        <v>-40500</v>
      </c>
      <c r="AE33" s="3">
        <f t="shared" si="8"/>
        <v>1</v>
      </c>
    </row>
    <row r="34" spans="1:31" ht="14.65" thickBot="1" x14ac:dyDescent="0.5">
      <c r="A34" s="33">
        <f t="shared" si="23"/>
        <v>8</v>
      </c>
      <c r="B34" s="30" t="s">
        <v>8</v>
      </c>
      <c r="C34" s="45"/>
      <c r="D34" s="46"/>
      <c r="E34" s="47"/>
      <c r="F34" s="67">
        <f>SUM(F27:F33)</f>
        <v>188985.16541458783</v>
      </c>
      <c r="G34" s="68">
        <f>SUM(G27:G33)</f>
        <v>158040</v>
      </c>
      <c r="H34" s="11"/>
      <c r="I34" s="14">
        <f t="shared" si="10"/>
        <v>28</v>
      </c>
      <c r="J34" s="63">
        <f t="shared" si="11"/>
        <v>110099.85365227687</v>
      </c>
      <c r="K34" s="63">
        <f t="shared" si="1"/>
        <v>486.31429402954507</v>
      </c>
      <c r="L34" s="63">
        <f t="shared" si="12"/>
        <v>-3592.6982164052329</v>
      </c>
      <c r="M34" s="65">
        <f t="shared" si="0"/>
        <v>106993.46972990119</v>
      </c>
      <c r="O34" s="14">
        <f t="shared" si="13"/>
        <v>28</v>
      </c>
      <c r="P34" s="54">
        <f t="shared" si="14"/>
        <v>14563.5</v>
      </c>
      <c r="Q34" s="63">
        <f t="shared" si="15"/>
        <v>8490.9713531108719</v>
      </c>
      <c r="R34" s="77">
        <f t="shared" si="2"/>
        <v>-3592.6982164052329</v>
      </c>
      <c r="S34" s="63">
        <f t="shared" si="16"/>
        <v>-1500</v>
      </c>
      <c r="T34" s="63"/>
      <c r="U34" s="63">
        <f t="shared" si="17"/>
        <v>-424.54856765554359</v>
      </c>
      <c r="V34" s="77">
        <f t="shared" si="20"/>
        <v>-201.75</v>
      </c>
      <c r="W34" s="83">
        <f t="shared" si="4"/>
        <v>2771.9745690500949</v>
      </c>
      <c r="X34" s="85">
        <f t="shared" si="18"/>
        <v>75276.412933402651</v>
      </c>
      <c r="Z34" s="92">
        <f t="shared" si="19"/>
        <v>96840</v>
      </c>
      <c r="AA34" s="5">
        <f t="shared" si="5"/>
        <v>0</v>
      </c>
      <c r="AB34" s="92">
        <f t="shared" si="6"/>
        <v>96840</v>
      </c>
      <c r="AD34" s="133">
        <f t="shared" si="7"/>
        <v>-42000</v>
      </c>
      <c r="AE34" s="3">
        <f t="shared" si="8"/>
        <v>1</v>
      </c>
    </row>
    <row r="35" spans="1:31" ht="14.65" thickBot="1" x14ac:dyDescent="0.5">
      <c r="A35" s="31">
        <f>A34+1</f>
        <v>9</v>
      </c>
      <c r="B35" s="32" t="s">
        <v>7</v>
      </c>
      <c r="C35" s="42">
        <f>+C10</f>
        <v>0.05</v>
      </c>
      <c r="D35" s="22"/>
      <c r="E35" s="34"/>
      <c r="F35" s="69">
        <f>F36-F34</f>
        <v>9946.5876533993578</v>
      </c>
      <c r="G35" s="70">
        <f>G36-G34</f>
        <v>8317.8947368421068</v>
      </c>
      <c r="H35" s="11"/>
      <c r="I35" s="14">
        <f t="shared" si="10"/>
        <v>29</v>
      </c>
      <c r="J35" s="63">
        <f t="shared" si="11"/>
        <v>106993.46972990119</v>
      </c>
      <c r="K35" s="63">
        <f t="shared" si="1"/>
        <v>472.59330481764317</v>
      </c>
      <c r="L35" s="63">
        <f t="shared" si="12"/>
        <v>-3592.6982164052329</v>
      </c>
      <c r="M35" s="65">
        <f t="shared" si="0"/>
        <v>103873.3648183136</v>
      </c>
      <c r="O35" s="14">
        <f t="shared" si="13"/>
        <v>29</v>
      </c>
      <c r="P35" s="54">
        <f t="shared" si="14"/>
        <v>15083.625</v>
      </c>
      <c r="Q35" s="63">
        <f t="shared" si="15"/>
        <v>8490.9713531108719</v>
      </c>
      <c r="R35" s="77">
        <f t="shared" si="2"/>
        <v>-3592.6982164052329</v>
      </c>
      <c r="S35" s="63">
        <f t="shared" si="16"/>
        <v>-1500</v>
      </c>
      <c r="T35" s="63"/>
      <c r="U35" s="63">
        <f t="shared" si="17"/>
        <v>-424.54856765554359</v>
      </c>
      <c r="V35" s="77">
        <f t="shared" si="20"/>
        <v>-195.5625</v>
      </c>
      <c r="W35" s="83">
        <f t="shared" si="4"/>
        <v>2778.1620690500949</v>
      </c>
      <c r="X35" s="85">
        <f t="shared" si="18"/>
        <v>78054.575002452752</v>
      </c>
      <c r="Z35" s="92">
        <f t="shared" si="19"/>
        <v>93870</v>
      </c>
      <c r="AA35" s="5">
        <f t="shared" si="5"/>
        <v>0</v>
      </c>
      <c r="AB35" s="92">
        <f t="shared" si="6"/>
        <v>93870</v>
      </c>
      <c r="AD35" s="133">
        <f t="shared" si="7"/>
        <v>-43500</v>
      </c>
      <c r="AE35" s="3">
        <f t="shared" si="8"/>
        <v>1</v>
      </c>
    </row>
    <row r="36" spans="1:31" ht="14.65" thickBot="1" x14ac:dyDescent="0.5">
      <c r="A36" s="37">
        <f>A35+1</f>
        <v>10</v>
      </c>
      <c r="B36" s="38" t="s">
        <v>28</v>
      </c>
      <c r="C36" s="39"/>
      <c r="D36" s="40"/>
      <c r="E36" s="41"/>
      <c r="F36" s="71">
        <f>F34/(100%-C35)</f>
        <v>198931.75306798719</v>
      </c>
      <c r="G36" s="72">
        <f>G34/(100%-C35)</f>
        <v>166357.89473684211</v>
      </c>
      <c r="H36" s="11"/>
      <c r="I36" s="14">
        <f t="shared" si="10"/>
        <v>30</v>
      </c>
      <c r="J36" s="63">
        <f t="shared" si="11"/>
        <v>103873.3648183136</v>
      </c>
      <c r="K36" s="63">
        <f t="shared" si="1"/>
        <v>458.81170959255769</v>
      </c>
      <c r="L36" s="63">
        <f t="shared" si="12"/>
        <v>-3592.6982164052329</v>
      </c>
      <c r="M36" s="65">
        <f t="shared" si="0"/>
        <v>100739.47831150092</v>
      </c>
      <c r="O36" s="14">
        <f t="shared" si="13"/>
        <v>30</v>
      </c>
      <c r="P36" s="54">
        <f t="shared" si="14"/>
        <v>15603.75</v>
      </c>
      <c r="Q36" s="63">
        <f t="shared" si="15"/>
        <v>8490.9713531108719</v>
      </c>
      <c r="R36" s="77">
        <f t="shared" si="2"/>
        <v>-3592.6982164052329</v>
      </c>
      <c r="S36" s="63">
        <f t="shared" si="16"/>
        <v>-1500</v>
      </c>
      <c r="T36" s="63">
        <f>-T68*0.5</f>
        <v>-13500</v>
      </c>
      <c r="U36" s="63">
        <f t="shared" si="17"/>
        <v>-424.54856765554359</v>
      </c>
      <c r="V36" s="77">
        <f t="shared" si="20"/>
        <v>-189.375</v>
      </c>
      <c r="W36" s="83">
        <f t="shared" si="4"/>
        <v>-10715.650430949905</v>
      </c>
      <c r="X36" s="85">
        <f t="shared" si="18"/>
        <v>67338.924571502852</v>
      </c>
      <c r="Z36" s="92">
        <f t="shared" si="19"/>
        <v>90900</v>
      </c>
      <c r="AA36" s="5">
        <f t="shared" si="5"/>
        <v>0</v>
      </c>
      <c r="AB36" s="92">
        <f t="shared" si="6"/>
        <v>90900</v>
      </c>
      <c r="AD36" s="133">
        <f t="shared" si="7"/>
        <v>-45000</v>
      </c>
      <c r="AE36" s="3">
        <f t="shared" si="8"/>
        <v>1</v>
      </c>
    </row>
    <row r="37" spans="1:31" x14ac:dyDescent="0.45">
      <c r="C37" s="11"/>
      <c r="D37" s="11"/>
      <c r="E37" s="11"/>
      <c r="F37" s="11"/>
      <c r="G37" s="11"/>
      <c r="H37" s="11"/>
      <c r="I37" s="14">
        <f t="shared" si="10"/>
        <v>31</v>
      </c>
      <c r="J37" s="63">
        <f t="shared" si="11"/>
        <v>100739.47831150092</v>
      </c>
      <c r="K37" s="63">
        <f t="shared" si="1"/>
        <v>444.9692406557445</v>
      </c>
      <c r="L37" s="63">
        <f t="shared" si="12"/>
        <v>-3592.6982164052329</v>
      </c>
      <c r="M37" s="65">
        <f t="shared" si="0"/>
        <v>97591.749335751432</v>
      </c>
      <c r="O37" s="14">
        <f t="shared" si="13"/>
        <v>31</v>
      </c>
      <c r="P37" s="54">
        <f t="shared" si="14"/>
        <v>16123.875</v>
      </c>
      <c r="Q37" s="63">
        <f t="shared" si="15"/>
        <v>8490.9713531108719</v>
      </c>
      <c r="R37" s="77">
        <f t="shared" si="2"/>
        <v>-3592.6982164052329</v>
      </c>
      <c r="S37" s="63">
        <f t="shared" si="16"/>
        <v>-1500</v>
      </c>
      <c r="T37" s="63"/>
      <c r="U37" s="63">
        <f t="shared" si="17"/>
        <v>-424.54856765554359</v>
      </c>
      <c r="V37" s="77">
        <f t="shared" si="20"/>
        <v>-183.1875</v>
      </c>
      <c r="W37" s="83">
        <f t="shared" si="4"/>
        <v>2790.5370690500949</v>
      </c>
      <c r="X37" s="85">
        <f t="shared" si="18"/>
        <v>70129.461640552952</v>
      </c>
      <c r="Z37" s="92">
        <f t="shared" si="19"/>
        <v>87930</v>
      </c>
      <c r="AA37" s="5">
        <f t="shared" si="5"/>
        <v>0</v>
      </c>
      <c r="AB37" s="92">
        <f t="shared" si="6"/>
        <v>87930</v>
      </c>
      <c r="AD37" s="133">
        <f t="shared" si="7"/>
        <v>-46500</v>
      </c>
      <c r="AE37" s="3">
        <f t="shared" si="8"/>
        <v>1</v>
      </c>
    </row>
    <row r="38" spans="1:31" x14ac:dyDescent="0.45">
      <c r="C38" s="11"/>
      <c r="D38" s="11"/>
      <c r="E38" s="11"/>
      <c r="F38" s="11"/>
      <c r="G38" s="11"/>
      <c r="H38" s="11"/>
      <c r="I38" s="14">
        <f t="shared" si="10"/>
        <v>32</v>
      </c>
      <c r="J38" s="63">
        <f t="shared" si="11"/>
        <v>97591.749335751432</v>
      </c>
      <c r="K38" s="63">
        <f t="shared" si="1"/>
        <v>431.06562912622724</v>
      </c>
      <c r="L38" s="63">
        <f t="shared" si="12"/>
        <v>-3592.6982164052329</v>
      </c>
      <c r="M38" s="65">
        <f t="shared" si="0"/>
        <v>94430.116748472428</v>
      </c>
      <c r="O38" s="14">
        <f t="shared" si="13"/>
        <v>32</v>
      </c>
      <c r="P38" s="54">
        <f t="shared" si="14"/>
        <v>16644</v>
      </c>
      <c r="Q38" s="63">
        <f t="shared" si="15"/>
        <v>8490.9713531108719</v>
      </c>
      <c r="R38" s="77">
        <f t="shared" si="2"/>
        <v>-3592.6982164052329</v>
      </c>
      <c r="S38" s="63">
        <f t="shared" si="16"/>
        <v>-1500</v>
      </c>
      <c r="T38" s="63"/>
      <c r="U38" s="63">
        <f t="shared" si="17"/>
        <v>-424.54856765554359</v>
      </c>
      <c r="V38" s="77">
        <f t="shared" si="20"/>
        <v>-177</v>
      </c>
      <c r="W38" s="83">
        <f t="shared" si="4"/>
        <v>2796.7245690500949</v>
      </c>
      <c r="X38" s="85">
        <f t="shared" si="18"/>
        <v>72926.186209603053</v>
      </c>
      <c r="Z38" s="92">
        <f t="shared" si="19"/>
        <v>84960</v>
      </c>
      <c r="AA38" s="5">
        <f t="shared" si="5"/>
        <v>0</v>
      </c>
      <c r="AB38" s="92">
        <f t="shared" si="6"/>
        <v>84960</v>
      </c>
      <c r="AD38" s="133">
        <f t="shared" si="7"/>
        <v>-48000</v>
      </c>
      <c r="AE38" s="3">
        <f t="shared" si="8"/>
        <v>1</v>
      </c>
    </row>
    <row r="39" spans="1:31" x14ac:dyDescent="0.45">
      <c r="C39" s="11"/>
      <c r="D39" s="11"/>
      <c r="E39" s="11"/>
      <c r="F39" s="11"/>
      <c r="G39" s="11"/>
      <c r="H39" s="11"/>
      <c r="I39" s="14">
        <f t="shared" si="10"/>
        <v>33</v>
      </c>
      <c r="J39" s="63">
        <f t="shared" si="11"/>
        <v>94430.116748472428</v>
      </c>
      <c r="K39" s="63">
        <f t="shared" si="1"/>
        <v>417.10060493537452</v>
      </c>
      <c r="L39" s="63">
        <f t="shared" si="12"/>
        <v>-3592.6982164052329</v>
      </c>
      <c r="M39" s="65">
        <f t="shared" si="0"/>
        <v>91254.519137002571</v>
      </c>
      <c r="O39" s="14">
        <f t="shared" si="13"/>
        <v>33</v>
      </c>
      <c r="P39" s="54">
        <f t="shared" si="14"/>
        <v>17164.125</v>
      </c>
      <c r="Q39" s="63">
        <f t="shared" si="15"/>
        <v>8490.9713531108719</v>
      </c>
      <c r="R39" s="77">
        <f t="shared" si="2"/>
        <v>-3592.6982164052329</v>
      </c>
      <c r="S39" s="63">
        <f t="shared" si="16"/>
        <v>-1500</v>
      </c>
      <c r="T39" s="63"/>
      <c r="U39" s="63">
        <f t="shared" si="17"/>
        <v>-424.54856765554359</v>
      </c>
      <c r="V39" s="77">
        <f t="shared" si="20"/>
        <v>-170.8125</v>
      </c>
      <c r="W39" s="83">
        <f t="shared" si="4"/>
        <v>2802.9120690500949</v>
      </c>
      <c r="X39" s="85">
        <f t="shared" si="18"/>
        <v>75729.098278653153</v>
      </c>
      <c r="Z39" s="92">
        <f t="shared" si="19"/>
        <v>81990</v>
      </c>
      <c r="AA39" s="5">
        <f t="shared" si="5"/>
        <v>0</v>
      </c>
      <c r="AB39" s="92">
        <f t="shared" si="6"/>
        <v>81990</v>
      </c>
      <c r="AD39" s="133">
        <f t="shared" si="7"/>
        <v>-49500</v>
      </c>
      <c r="AE39" s="3">
        <f t="shared" si="8"/>
        <v>1</v>
      </c>
    </row>
    <row r="40" spans="1:31" ht="14.65" thickBot="1" x14ac:dyDescent="0.5">
      <c r="C40" s="11"/>
      <c r="D40" s="11"/>
      <c r="E40" s="11"/>
      <c r="F40" s="11"/>
      <c r="G40" s="11"/>
      <c r="H40" s="11"/>
      <c r="I40" s="14">
        <f t="shared" si="10"/>
        <v>34</v>
      </c>
      <c r="J40" s="63">
        <f t="shared" si="11"/>
        <v>91254.519137002571</v>
      </c>
      <c r="K40" s="63">
        <f t="shared" si="1"/>
        <v>403.07389682165359</v>
      </c>
      <c r="L40" s="63">
        <f t="shared" si="12"/>
        <v>-3592.6982164052329</v>
      </c>
      <c r="M40" s="65">
        <f t="shared" si="0"/>
        <v>88064.894817418986</v>
      </c>
      <c r="O40" s="14">
        <f t="shared" si="13"/>
        <v>34</v>
      </c>
      <c r="P40" s="54">
        <f t="shared" si="14"/>
        <v>17684.25</v>
      </c>
      <c r="Q40" s="63">
        <f t="shared" si="15"/>
        <v>8490.9713531108719</v>
      </c>
      <c r="R40" s="77">
        <f t="shared" si="2"/>
        <v>-3592.6982164052329</v>
      </c>
      <c r="S40" s="63">
        <f t="shared" si="16"/>
        <v>-1500</v>
      </c>
      <c r="T40" s="63"/>
      <c r="U40" s="63">
        <f t="shared" si="17"/>
        <v>-424.54856765554359</v>
      </c>
      <c r="V40" s="77">
        <f t="shared" si="20"/>
        <v>-164.625</v>
      </c>
      <c r="W40" s="83">
        <f t="shared" si="4"/>
        <v>2809.0995690500949</v>
      </c>
      <c r="X40" s="85">
        <f t="shared" si="18"/>
        <v>78538.197847703254</v>
      </c>
      <c r="Z40" s="92">
        <f t="shared" si="19"/>
        <v>79020</v>
      </c>
      <c r="AA40" s="5">
        <f t="shared" si="5"/>
        <v>0</v>
      </c>
      <c r="AB40" s="92">
        <f t="shared" si="6"/>
        <v>79020</v>
      </c>
      <c r="AD40" s="133">
        <f t="shared" ref="AD40:AD62" si="24">IF(AD39=0,0,IF(+S40+AD39&lt;-$S$68,0,+S40+AD39))</f>
        <v>-51000</v>
      </c>
      <c r="AE40" s="3">
        <f t="shared" si="8"/>
        <v>1</v>
      </c>
    </row>
    <row r="41" spans="1:31" ht="32.25" customHeight="1" thickBot="1" x14ac:dyDescent="0.5">
      <c r="A41" s="667" t="s">
        <v>29</v>
      </c>
      <c r="B41" s="668"/>
      <c r="C41" s="668"/>
      <c r="D41" s="668"/>
      <c r="E41" s="668"/>
      <c r="F41" s="668"/>
      <c r="G41" s="669"/>
      <c r="H41" s="11"/>
      <c r="I41" s="14">
        <f t="shared" si="10"/>
        <v>35</v>
      </c>
      <c r="J41" s="63">
        <f t="shared" si="11"/>
        <v>88064.894817418986</v>
      </c>
      <c r="K41" s="63">
        <f t="shared" si="1"/>
        <v>388.98523232536178</v>
      </c>
      <c r="L41" s="63">
        <f t="shared" si="12"/>
        <v>-3592.6982164052329</v>
      </c>
      <c r="M41" s="65">
        <f t="shared" si="0"/>
        <v>84861.181833339113</v>
      </c>
      <c r="O41" s="14">
        <f t="shared" si="13"/>
        <v>35</v>
      </c>
      <c r="P41" s="54">
        <f t="shared" si="14"/>
        <v>18204.375</v>
      </c>
      <c r="Q41" s="63">
        <f t="shared" si="15"/>
        <v>8490.9713531108719</v>
      </c>
      <c r="R41" s="77">
        <f t="shared" si="2"/>
        <v>-3592.6982164052329</v>
      </c>
      <c r="S41" s="63">
        <f t="shared" si="16"/>
        <v>-1500</v>
      </c>
      <c r="T41" s="63"/>
      <c r="U41" s="63">
        <f t="shared" si="17"/>
        <v>-424.54856765554359</v>
      </c>
      <c r="V41" s="77">
        <f t="shared" si="20"/>
        <v>-158.4375</v>
      </c>
      <c r="W41" s="83">
        <f t="shared" si="4"/>
        <v>2815.2870690500949</v>
      </c>
      <c r="X41" s="85">
        <f t="shared" si="18"/>
        <v>81353.484916753354</v>
      </c>
      <c r="Z41" s="92">
        <f t="shared" si="19"/>
        <v>76050</v>
      </c>
      <c r="AA41" s="5">
        <f t="shared" si="5"/>
        <v>0</v>
      </c>
      <c r="AB41" s="92">
        <f t="shared" si="6"/>
        <v>76050</v>
      </c>
      <c r="AD41" s="133">
        <f t="shared" si="24"/>
        <v>-52500</v>
      </c>
      <c r="AE41" s="3">
        <f t="shared" si="8"/>
        <v>1</v>
      </c>
    </row>
    <row r="42" spans="1:31" ht="19.5" customHeight="1" x14ac:dyDescent="0.45">
      <c r="A42" s="35">
        <v>1</v>
      </c>
      <c r="B42" s="670" t="s">
        <v>30</v>
      </c>
      <c r="C42" s="671"/>
      <c r="D42" s="671"/>
      <c r="E42" s="672"/>
      <c r="F42" s="73">
        <f>F36/C12/C14</f>
        <v>3683.9213531108735</v>
      </c>
      <c r="G42" s="74">
        <f>G36/C13/C14</f>
        <v>9.2421052631578942</v>
      </c>
      <c r="H42" s="11"/>
      <c r="I42" s="20">
        <f t="shared" si="10"/>
        <v>36</v>
      </c>
      <c r="J42" s="63">
        <f t="shared" si="11"/>
        <v>84861.181833339113</v>
      </c>
      <c r="K42" s="79">
        <f t="shared" si="1"/>
        <v>374.83433778333381</v>
      </c>
      <c r="L42" s="63">
        <f t="shared" si="12"/>
        <v>-3592.6982164052329</v>
      </c>
      <c r="M42" s="80">
        <f t="shared" si="0"/>
        <v>81643.317954717219</v>
      </c>
      <c r="O42" s="20">
        <f t="shared" si="13"/>
        <v>36</v>
      </c>
      <c r="P42" s="54">
        <f t="shared" si="14"/>
        <v>18724.5</v>
      </c>
      <c r="Q42" s="63">
        <f t="shared" si="15"/>
        <v>8490.9713531108719</v>
      </c>
      <c r="R42" s="77">
        <f t="shared" si="2"/>
        <v>-3592.6982164052329</v>
      </c>
      <c r="S42" s="63">
        <f t="shared" si="16"/>
        <v>-1500</v>
      </c>
      <c r="T42" s="63"/>
      <c r="U42" s="63">
        <f t="shared" si="17"/>
        <v>-424.54856765554359</v>
      </c>
      <c r="V42" s="77">
        <f t="shared" si="20"/>
        <v>-152.25</v>
      </c>
      <c r="W42" s="83">
        <f t="shared" si="4"/>
        <v>2821.4745690500949</v>
      </c>
      <c r="X42" s="85">
        <f t="shared" si="18"/>
        <v>84174.959485803454</v>
      </c>
      <c r="Z42" s="92">
        <f t="shared" si="19"/>
        <v>73080</v>
      </c>
      <c r="AA42" s="5">
        <f t="shared" si="5"/>
        <v>0</v>
      </c>
      <c r="AB42" s="92">
        <f t="shared" si="6"/>
        <v>73080</v>
      </c>
      <c r="AD42" s="133">
        <f t="shared" si="24"/>
        <v>-54000</v>
      </c>
      <c r="AE42" s="3">
        <f t="shared" si="8"/>
        <v>1</v>
      </c>
    </row>
    <row r="43" spans="1:31" ht="19.5" customHeight="1" thickBot="1" x14ac:dyDescent="0.5">
      <c r="A43" s="36">
        <f>A42+1</f>
        <v>2</v>
      </c>
      <c r="B43" s="673" t="s">
        <v>31</v>
      </c>
      <c r="C43" s="674"/>
      <c r="D43" s="674"/>
      <c r="E43" s="675"/>
      <c r="F43" s="75"/>
      <c r="G43" s="76">
        <f>+(F42*C12+D13*G42)/D13</f>
        <v>21.521843106860807</v>
      </c>
      <c r="H43" s="11"/>
      <c r="I43" s="20">
        <f t="shared" si="10"/>
        <v>37</v>
      </c>
      <c r="J43" s="63">
        <f t="shared" si="11"/>
        <v>81643.317954717219</v>
      </c>
      <c r="K43" s="79">
        <f t="shared" si="1"/>
        <v>360.62093832362598</v>
      </c>
      <c r="L43" s="63">
        <f t="shared" si="12"/>
        <v>-3592.6982164052329</v>
      </c>
      <c r="M43" s="80">
        <f t="shared" si="0"/>
        <v>78411.240676635614</v>
      </c>
      <c r="O43" s="20">
        <f t="shared" si="13"/>
        <v>37</v>
      </c>
      <c r="P43" s="54">
        <f t="shared" si="14"/>
        <v>19244.625</v>
      </c>
      <c r="Q43" s="63">
        <f t="shared" si="15"/>
        <v>8490.9713531108719</v>
      </c>
      <c r="R43" s="77">
        <f t="shared" si="2"/>
        <v>-3592.6982164052329</v>
      </c>
      <c r="S43" s="63">
        <f t="shared" si="16"/>
        <v>-1500</v>
      </c>
      <c r="T43" s="63"/>
      <c r="U43" s="63">
        <f t="shared" si="17"/>
        <v>-424.54856765554359</v>
      </c>
      <c r="V43" s="77">
        <f t="shared" si="20"/>
        <v>-146.0625</v>
      </c>
      <c r="W43" s="83">
        <f t="shared" si="4"/>
        <v>2827.6620690500949</v>
      </c>
      <c r="X43" s="85">
        <f t="shared" si="18"/>
        <v>87002.621554853555</v>
      </c>
      <c r="Z43" s="92">
        <f t="shared" si="19"/>
        <v>70110</v>
      </c>
      <c r="AA43" s="5">
        <f t="shared" si="5"/>
        <v>0</v>
      </c>
      <c r="AB43" s="92">
        <f t="shared" si="6"/>
        <v>70110</v>
      </c>
      <c r="AD43" s="133">
        <f t="shared" si="24"/>
        <v>-55500</v>
      </c>
      <c r="AE43" s="3">
        <f t="shared" si="8"/>
        <v>1</v>
      </c>
    </row>
    <row r="44" spans="1:31" x14ac:dyDescent="0.45">
      <c r="I44" s="20">
        <f t="shared" si="10"/>
        <v>38</v>
      </c>
      <c r="J44" s="63">
        <f t="shared" si="11"/>
        <v>78411.240676635614</v>
      </c>
      <c r="K44" s="79">
        <f t="shared" si="1"/>
        <v>346.34475786017731</v>
      </c>
      <c r="L44" s="63">
        <f t="shared" si="12"/>
        <v>-3592.6982164052329</v>
      </c>
      <c r="M44" s="80">
        <f t="shared" si="0"/>
        <v>75164.88721809056</v>
      </c>
      <c r="O44" s="20">
        <f t="shared" si="13"/>
        <v>38</v>
      </c>
      <c r="P44" s="54">
        <f t="shared" si="14"/>
        <v>19764.75</v>
      </c>
      <c r="Q44" s="63">
        <f t="shared" si="15"/>
        <v>8490.9713531108719</v>
      </c>
      <c r="R44" s="77">
        <f t="shared" si="2"/>
        <v>-3592.6982164052329</v>
      </c>
      <c r="S44" s="63">
        <f t="shared" si="16"/>
        <v>-1500</v>
      </c>
      <c r="T44" s="63"/>
      <c r="U44" s="63">
        <f t="shared" si="17"/>
        <v>-424.54856765554359</v>
      </c>
      <c r="V44" s="77">
        <f t="shared" si="20"/>
        <v>-139.875</v>
      </c>
      <c r="W44" s="83">
        <f t="shared" si="4"/>
        <v>2833.8495690500949</v>
      </c>
      <c r="X44" s="85">
        <f t="shared" si="18"/>
        <v>89836.471123903655</v>
      </c>
      <c r="Z44" s="92">
        <f t="shared" si="19"/>
        <v>67140</v>
      </c>
      <c r="AA44" s="5">
        <f t="shared" si="5"/>
        <v>0</v>
      </c>
      <c r="AB44" s="92">
        <f t="shared" si="6"/>
        <v>67140</v>
      </c>
      <c r="AD44" s="133">
        <f t="shared" si="24"/>
        <v>-57000</v>
      </c>
      <c r="AE44" s="3">
        <f t="shared" si="8"/>
        <v>1</v>
      </c>
    </row>
    <row r="45" spans="1:31" x14ac:dyDescent="0.45">
      <c r="I45" s="20">
        <f t="shared" si="10"/>
        <v>39</v>
      </c>
      <c r="J45" s="63">
        <f t="shared" si="11"/>
        <v>75164.88721809056</v>
      </c>
      <c r="K45" s="79">
        <f t="shared" si="1"/>
        <v>332.0055190874466</v>
      </c>
      <c r="L45" s="63">
        <f t="shared" si="12"/>
        <v>-3592.6982164052329</v>
      </c>
      <c r="M45" s="80">
        <f t="shared" si="0"/>
        <v>71904.194520772769</v>
      </c>
      <c r="O45" s="20">
        <f t="shared" si="13"/>
        <v>39</v>
      </c>
      <c r="P45" s="54">
        <f t="shared" si="14"/>
        <v>20284.875</v>
      </c>
      <c r="Q45" s="63">
        <f t="shared" si="15"/>
        <v>8490.9713531108719</v>
      </c>
      <c r="R45" s="77">
        <f t="shared" si="2"/>
        <v>-3592.6982164052329</v>
      </c>
      <c r="S45" s="63">
        <f t="shared" si="16"/>
        <v>-1500</v>
      </c>
      <c r="T45" s="63"/>
      <c r="U45" s="63">
        <f t="shared" si="17"/>
        <v>-424.54856765554359</v>
      </c>
      <c r="V45" s="77">
        <f t="shared" si="20"/>
        <v>-133.6875</v>
      </c>
      <c r="W45" s="83">
        <f t="shared" si="4"/>
        <v>2840.0370690500949</v>
      </c>
      <c r="X45" s="85">
        <f t="shared" si="18"/>
        <v>92676.508192953755</v>
      </c>
      <c r="Z45" s="92">
        <f t="shared" si="19"/>
        <v>64170</v>
      </c>
      <c r="AA45" s="5">
        <f t="shared" si="5"/>
        <v>0</v>
      </c>
      <c r="AB45" s="92">
        <f t="shared" si="6"/>
        <v>64170</v>
      </c>
      <c r="AD45" s="133">
        <f t="shared" si="24"/>
        <v>-58500</v>
      </c>
      <c r="AE45" s="3">
        <f t="shared" si="8"/>
        <v>1</v>
      </c>
    </row>
    <row r="46" spans="1:31" x14ac:dyDescent="0.45">
      <c r="I46" s="20">
        <f t="shared" si="10"/>
        <v>40</v>
      </c>
      <c r="J46" s="63">
        <f t="shared" si="11"/>
        <v>71904.194520772769</v>
      </c>
      <c r="K46" s="79">
        <f t="shared" si="1"/>
        <v>317.60294347502565</v>
      </c>
      <c r="L46" s="63">
        <f t="shared" si="12"/>
        <v>-3592.6982164052329</v>
      </c>
      <c r="M46" s="80">
        <f t="shared" si="0"/>
        <v>68629.099247842561</v>
      </c>
      <c r="O46" s="20">
        <f t="shared" si="13"/>
        <v>40</v>
      </c>
      <c r="P46" s="54">
        <f t="shared" si="14"/>
        <v>20805</v>
      </c>
      <c r="Q46" s="63">
        <f t="shared" si="15"/>
        <v>8490.9713531108719</v>
      </c>
      <c r="R46" s="77">
        <f t="shared" si="2"/>
        <v>-3592.6982164052329</v>
      </c>
      <c r="S46" s="63">
        <f t="shared" si="16"/>
        <v>-1500</v>
      </c>
      <c r="T46" s="63"/>
      <c r="U46" s="63">
        <f t="shared" si="17"/>
        <v>-424.54856765554359</v>
      </c>
      <c r="V46" s="77">
        <f t="shared" si="20"/>
        <v>-127.5</v>
      </c>
      <c r="W46" s="83">
        <f t="shared" si="4"/>
        <v>2846.2245690500949</v>
      </c>
      <c r="X46" s="85">
        <f t="shared" si="18"/>
        <v>95522.732762003856</v>
      </c>
      <c r="Z46" s="92">
        <f t="shared" si="19"/>
        <v>61200</v>
      </c>
      <c r="AA46" s="5">
        <f t="shared" si="5"/>
        <v>0</v>
      </c>
      <c r="AB46" s="92">
        <f t="shared" si="6"/>
        <v>61200</v>
      </c>
      <c r="AD46" s="133">
        <f t="shared" si="24"/>
        <v>-60000</v>
      </c>
      <c r="AE46" s="3">
        <f t="shared" si="8"/>
        <v>1</v>
      </c>
    </row>
    <row r="47" spans="1:31" x14ac:dyDescent="0.45">
      <c r="I47" s="20">
        <f t="shared" si="10"/>
        <v>41</v>
      </c>
      <c r="J47" s="63">
        <f t="shared" si="11"/>
        <v>68629.099247842561</v>
      </c>
      <c r="K47" s="79">
        <f t="shared" si="1"/>
        <v>303.13675126222961</v>
      </c>
      <c r="L47" s="63">
        <f t="shared" si="12"/>
        <v>-3592.6982164052329</v>
      </c>
      <c r="M47" s="80">
        <f t="shared" si="0"/>
        <v>65339.537782699554</v>
      </c>
      <c r="O47" s="20">
        <f t="shared" si="13"/>
        <v>41</v>
      </c>
      <c r="P47" s="54">
        <f t="shared" si="14"/>
        <v>21325.125</v>
      </c>
      <c r="Q47" s="63">
        <f t="shared" si="15"/>
        <v>8490.9713531108719</v>
      </c>
      <c r="R47" s="77">
        <f t="shared" si="2"/>
        <v>-3592.6982164052329</v>
      </c>
      <c r="S47" s="63">
        <f t="shared" si="16"/>
        <v>-1500</v>
      </c>
      <c r="T47" s="63"/>
      <c r="U47" s="63">
        <f t="shared" si="17"/>
        <v>-424.54856765554359</v>
      </c>
      <c r="V47" s="77">
        <f t="shared" si="20"/>
        <v>-121.3125</v>
      </c>
      <c r="W47" s="83">
        <f t="shared" si="4"/>
        <v>2852.4120690500949</v>
      </c>
      <c r="X47" s="85">
        <f t="shared" si="18"/>
        <v>98375.144831053956</v>
      </c>
      <c r="Z47" s="92">
        <f t="shared" si="19"/>
        <v>58230</v>
      </c>
      <c r="AA47" s="5">
        <f t="shared" si="5"/>
        <v>0</v>
      </c>
      <c r="AB47" s="92">
        <f t="shared" si="6"/>
        <v>58230</v>
      </c>
      <c r="AD47" s="133">
        <f t="shared" si="24"/>
        <v>-61500</v>
      </c>
      <c r="AE47" s="3">
        <f t="shared" si="8"/>
        <v>1</v>
      </c>
    </row>
    <row r="48" spans="1:31" x14ac:dyDescent="0.45">
      <c r="I48" s="20">
        <f t="shared" si="10"/>
        <v>42</v>
      </c>
      <c r="J48" s="63">
        <f t="shared" si="11"/>
        <v>65339.537782699554</v>
      </c>
      <c r="K48" s="79">
        <f t="shared" si="1"/>
        <v>288.60666145266214</v>
      </c>
      <c r="L48" s="63">
        <f t="shared" si="12"/>
        <v>-3592.6982164052329</v>
      </c>
      <c r="M48" s="80">
        <f t="shared" si="0"/>
        <v>62035.446227746987</v>
      </c>
      <c r="O48" s="20">
        <f t="shared" si="13"/>
        <v>42</v>
      </c>
      <c r="P48" s="54">
        <f t="shared" si="14"/>
        <v>21845.25</v>
      </c>
      <c r="Q48" s="63">
        <f t="shared" si="15"/>
        <v>8490.9713531108719</v>
      </c>
      <c r="R48" s="77">
        <f t="shared" si="2"/>
        <v>-3592.6982164052329</v>
      </c>
      <c r="S48" s="63">
        <f t="shared" si="16"/>
        <v>-1500</v>
      </c>
      <c r="T48" s="63"/>
      <c r="U48" s="63">
        <f t="shared" si="17"/>
        <v>-424.54856765554359</v>
      </c>
      <c r="V48" s="77">
        <f t="shared" si="20"/>
        <v>-115.125</v>
      </c>
      <c r="W48" s="83">
        <f t="shared" si="4"/>
        <v>2858.5995690500949</v>
      </c>
      <c r="X48" s="85">
        <f t="shared" si="18"/>
        <v>101233.74440010406</v>
      </c>
      <c r="Z48" s="92">
        <f t="shared" si="19"/>
        <v>55260</v>
      </c>
      <c r="AA48" s="5">
        <f t="shared" si="5"/>
        <v>0</v>
      </c>
      <c r="AB48" s="92">
        <f t="shared" si="6"/>
        <v>55260</v>
      </c>
      <c r="AD48" s="133">
        <f t="shared" si="24"/>
        <v>-63000</v>
      </c>
      <c r="AE48" s="3">
        <f t="shared" si="8"/>
        <v>1</v>
      </c>
    </row>
    <row r="49" spans="9:31" x14ac:dyDescent="0.45">
      <c r="I49" s="20">
        <f t="shared" si="10"/>
        <v>43</v>
      </c>
      <c r="J49" s="63">
        <f t="shared" si="11"/>
        <v>62035.446227746987</v>
      </c>
      <c r="K49" s="79">
        <f t="shared" si="1"/>
        <v>274.01239180875774</v>
      </c>
      <c r="L49" s="63">
        <f t="shared" si="12"/>
        <v>-3592.6982164052329</v>
      </c>
      <c r="M49" s="80">
        <f t="shared" si="0"/>
        <v>58716.760403150511</v>
      </c>
      <c r="O49" s="20">
        <f t="shared" si="13"/>
        <v>43</v>
      </c>
      <c r="P49" s="54">
        <f t="shared" si="14"/>
        <v>22365.375</v>
      </c>
      <c r="Q49" s="63">
        <f t="shared" si="15"/>
        <v>8490.9713531108719</v>
      </c>
      <c r="R49" s="77">
        <f t="shared" si="2"/>
        <v>-3592.6982164052329</v>
      </c>
      <c r="S49" s="63">
        <f t="shared" si="16"/>
        <v>-1500</v>
      </c>
      <c r="T49" s="63"/>
      <c r="U49" s="63">
        <f t="shared" si="17"/>
        <v>-424.54856765554359</v>
      </c>
      <c r="V49" s="77">
        <f t="shared" si="20"/>
        <v>-108.9375</v>
      </c>
      <c r="W49" s="83">
        <f t="shared" si="4"/>
        <v>2864.7870690500949</v>
      </c>
      <c r="X49" s="85">
        <f t="shared" si="18"/>
        <v>104098.53146915416</v>
      </c>
      <c r="Z49" s="92">
        <f t="shared" si="19"/>
        <v>52290</v>
      </c>
      <c r="AA49" s="5">
        <f t="shared" si="5"/>
        <v>0</v>
      </c>
      <c r="AB49" s="92">
        <f t="shared" si="6"/>
        <v>52290</v>
      </c>
      <c r="AD49" s="133">
        <f t="shared" si="24"/>
        <v>-64500</v>
      </c>
      <c r="AE49" s="3">
        <f t="shared" si="8"/>
        <v>1</v>
      </c>
    </row>
    <row r="50" spans="9:31" x14ac:dyDescent="0.45">
      <c r="I50" s="20">
        <f t="shared" si="10"/>
        <v>44</v>
      </c>
      <c r="J50" s="63">
        <f t="shared" si="11"/>
        <v>58716.760403150511</v>
      </c>
      <c r="K50" s="79">
        <f t="shared" si="1"/>
        <v>259.3536588462992</v>
      </c>
      <c r="L50" s="63">
        <f t="shared" si="12"/>
        <v>-3592.6982164052329</v>
      </c>
      <c r="M50" s="80">
        <f t="shared" si="0"/>
        <v>55383.415845591575</v>
      </c>
      <c r="O50" s="20">
        <f t="shared" si="13"/>
        <v>44</v>
      </c>
      <c r="P50" s="54">
        <f t="shared" si="14"/>
        <v>22885.5</v>
      </c>
      <c r="Q50" s="63">
        <f t="shared" si="15"/>
        <v>8490.9713531108719</v>
      </c>
      <c r="R50" s="77">
        <f t="shared" si="2"/>
        <v>-3592.6982164052329</v>
      </c>
      <c r="S50" s="63">
        <f t="shared" si="16"/>
        <v>-1500</v>
      </c>
      <c r="T50" s="63"/>
      <c r="U50" s="63">
        <f t="shared" si="17"/>
        <v>-424.54856765554359</v>
      </c>
      <c r="V50" s="77">
        <f t="shared" si="20"/>
        <v>-102.75</v>
      </c>
      <c r="W50" s="83">
        <f t="shared" si="4"/>
        <v>2870.9745690500949</v>
      </c>
      <c r="X50" s="85">
        <f t="shared" si="18"/>
        <v>106969.50603820426</v>
      </c>
      <c r="Z50" s="92">
        <f t="shared" si="19"/>
        <v>49320</v>
      </c>
      <c r="AA50" s="5">
        <f t="shared" si="5"/>
        <v>0</v>
      </c>
      <c r="AB50" s="92">
        <f t="shared" si="6"/>
        <v>49320</v>
      </c>
      <c r="AD50" s="133">
        <f t="shared" si="24"/>
        <v>-66000</v>
      </c>
      <c r="AE50" s="3">
        <f t="shared" si="8"/>
        <v>1</v>
      </c>
    </row>
    <row r="51" spans="9:31" x14ac:dyDescent="0.45">
      <c r="I51" s="20">
        <f t="shared" si="10"/>
        <v>45</v>
      </c>
      <c r="J51" s="63">
        <f t="shared" si="11"/>
        <v>55383.415845591575</v>
      </c>
      <c r="K51" s="79">
        <f t="shared" si="1"/>
        <v>244.63017782891114</v>
      </c>
      <c r="L51" s="63">
        <f t="shared" si="12"/>
        <v>-3592.6982164052329</v>
      </c>
      <c r="M51" s="80">
        <f t="shared" si="0"/>
        <v>52035.347807015256</v>
      </c>
      <c r="O51" s="20">
        <f t="shared" si="13"/>
        <v>45</v>
      </c>
      <c r="P51" s="54">
        <f t="shared" si="14"/>
        <v>23405.625</v>
      </c>
      <c r="Q51" s="63">
        <f t="shared" si="15"/>
        <v>8490.9713531108719</v>
      </c>
      <c r="R51" s="77">
        <f t="shared" si="2"/>
        <v>-3592.6982164052329</v>
      </c>
      <c r="S51" s="63">
        <f t="shared" si="16"/>
        <v>-1500</v>
      </c>
      <c r="T51" s="63"/>
      <c r="U51" s="63">
        <f t="shared" si="17"/>
        <v>-424.54856765554359</v>
      </c>
      <c r="V51" s="77">
        <f t="shared" si="20"/>
        <v>-96.5625</v>
      </c>
      <c r="W51" s="83">
        <f t="shared" si="4"/>
        <v>2877.1620690500949</v>
      </c>
      <c r="X51" s="85">
        <f t="shared" si="18"/>
        <v>109846.66810725436</v>
      </c>
      <c r="Z51" s="92">
        <f t="shared" si="19"/>
        <v>46350</v>
      </c>
      <c r="AA51" s="5">
        <f t="shared" si="5"/>
        <v>0</v>
      </c>
      <c r="AB51" s="92">
        <f t="shared" si="6"/>
        <v>46350</v>
      </c>
      <c r="AD51" s="133">
        <f t="shared" si="24"/>
        <v>-67500</v>
      </c>
      <c r="AE51" s="3">
        <f t="shared" si="8"/>
        <v>1</v>
      </c>
    </row>
    <row r="52" spans="9:31" x14ac:dyDescent="0.45">
      <c r="I52" s="20">
        <f t="shared" si="10"/>
        <v>46</v>
      </c>
      <c r="J52" s="63">
        <f t="shared" si="11"/>
        <v>52035.347807015256</v>
      </c>
      <c r="K52" s="79">
        <f t="shared" si="1"/>
        <v>229.84166276252935</v>
      </c>
      <c r="L52" s="63">
        <f t="shared" si="12"/>
        <v>-3592.6982164052329</v>
      </c>
      <c r="M52" s="80">
        <f t="shared" si="0"/>
        <v>48672.491253372551</v>
      </c>
      <c r="O52" s="20">
        <f t="shared" si="13"/>
        <v>46</v>
      </c>
      <c r="P52" s="54">
        <f t="shared" si="14"/>
        <v>23925.75</v>
      </c>
      <c r="Q52" s="63">
        <f t="shared" si="15"/>
        <v>8490.9713531108719</v>
      </c>
      <c r="R52" s="77">
        <f t="shared" si="2"/>
        <v>-3592.6982164052329</v>
      </c>
      <c r="S52" s="63">
        <f t="shared" si="16"/>
        <v>-1500</v>
      </c>
      <c r="T52" s="63"/>
      <c r="U52" s="63">
        <f t="shared" si="17"/>
        <v>-424.54856765554359</v>
      </c>
      <c r="V52" s="77">
        <f t="shared" si="20"/>
        <v>-90.375</v>
      </c>
      <c r="W52" s="83">
        <f t="shared" si="4"/>
        <v>2883.3495690500949</v>
      </c>
      <c r="X52" s="85">
        <f t="shared" si="18"/>
        <v>112730.01767630446</v>
      </c>
      <c r="Z52" s="92">
        <f t="shared" si="19"/>
        <v>43380</v>
      </c>
      <c r="AA52" s="5">
        <f t="shared" si="5"/>
        <v>0</v>
      </c>
      <c r="AB52" s="92">
        <f t="shared" si="6"/>
        <v>43380</v>
      </c>
      <c r="AD52" s="133">
        <f t="shared" si="24"/>
        <v>-69000</v>
      </c>
      <c r="AE52" s="3">
        <f t="shared" si="8"/>
        <v>1</v>
      </c>
    </row>
    <row r="53" spans="9:31" x14ac:dyDescent="0.45">
      <c r="I53" s="20">
        <f t="shared" si="10"/>
        <v>47</v>
      </c>
      <c r="J53" s="63">
        <f t="shared" si="11"/>
        <v>48672.491253372551</v>
      </c>
      <c r="K53" s="79">
        <f t="shared" si="1"/>
        <v>214.98782638984534</v>
      </c>
      <c r="L53" s="63">
        <f t="shared" si="12"/>
        <v>-3592.6982164052329</v>
      </c>
      <c r="M53" s="80">
        <f t="shared" si="0"/>
        <v>45294.780863357162</v>
      </c>
      <c r="O53" s="20">
        <f t="shared" si="13"/>
        <v>47</v>
      </c>
      <c r="P53" s="54">
        <f t="shared" si="14"/>
        <v>24445.875</v>
      </c>
      <c r="Q53" s="63">
        <f t="shared" si="15"/>
        <v>8490.9713531108719</v>
      </c>
      <c r="R53" s="77">
        <f t="shared" si="2"/>
        <v>-3592.6982164052329</v>
      </c>
      <c r="S53" s="63">
        <f t="shared" si="16"/>
        <v>-1500</v>
      </c>
      <c r="T53" s="63"/>
      <c r="U53" s="63">
        <f t="shared" si="17"/>
        <v>-424.54856765554359</v>
      </c>
      <c r="V53" s="77">
        <f t="shared" si="20"/>
        <v>-84.1875</v>
      </c>
      <c r="W53" s="83">
        <f t="shared" si="4"/>
        <v>2889.5370690500949</v>
      </c>
      <c r="X53" s="85">
        <f t="shared" si="18"/>
        <v>115619.55474535456</v>
      </c>
      <c r="Z53" s="92">
        <f t="shared" si="19"/>
        <v>40410</v>
      </c>
      <c r="AA53" s="5">
        <f t="shared" si="5"/>
        <v>0</v>
      </c>
      <c r="AB53" s="92">
        <f t="shared" si="6"/>
        <v>40410</v>
      </c>
      <c r="AD53" s="133">
        <f t="shared" si="24"/>
        <v>-70500</v>
      </c>
      <c r="AE53" s="3">
        <f t="shared" si="8"/>
        <v>1</v>
      </c>
    </row>
    <row r="54" spans="9:31" x14ac:dyDescent="0.45">
      <c r="I54" s="20">
        <f t="shared" si="10"/>
        <v>48</v>
      </c>
      <c r="J54" s="63">
        <f t="shared" si="11"/>
        <v>45294.780863357162</v>
      </c>
      <c r="K54" s="79">
        <f t="shared" si="1"/>
        <v>200.06838018472655</v>
      </c>
      <c r="L54" s="63">
        <f t="shared" si="12"/>
        <v>-3592.6982164052329</v>
      </c>
      <c r="M54" s="80">
        <f t="shared" si="0"/>
        <v>41902.151027136657</v>
      </c>
      <c r="O54" s="20">
        <f t="shared" si="13"/>
        <v>48</v>
      </c>
      <c r="P54" s="54">
        <f t="shared" si="14"/>
        <v>24966</v>
      </c>
      <c r="Q54" s="63">
        <f t="shared" si="15"/>
        <v>8490.9713531108719</v>
      </c>
      <c r="R54" s="77">
        <f t="shared" si="2"/>
        <v>-3592.6982164052329</v>
      </c>
      <c r="S54" s="63">
        <f t="shared" si="16"/>
        <v>-1500</v>
      </c>
      <c r="T54" s="63">
        <f t="shared" ref="T54:T59" si="25">-T68*0.5</f>
        <v>-13500</v>
      </c>
      <c r="U54" s="63">
        <f t="shared" si="17"/>
        <v>-424.54856765554359</v>
      </c>
      <c r="V54" s="77">
        <f t="shared" si="20"/>
        <v>-78</v>
      </c>
      <c r="W54" s="83">
        <f t="shared" si="4"/>
        <v>-10604.275430949905</v>
      </c>
      <c r="X54" s="85">
        <f t="shared" si="18"/>
        <v>105015.27931440466</v>
      </c>
      <c r="Z54" s="92">
        <f t="shared" si="19"/>
        <v>37440</v>
      </c>
      <c r="AA54" s="5">
        <f t="shared" si="5"/>
        <v>0</v>
      </c>
      <c r="AB54" s="92">
        <f t="shared" si="6"/>
        <v>37440</v>
      </c>
      <c r="AD54" s="133">
        <f t="shared" si="24"/>
        <v>-72000</v>
      </c>
      <c r="AE54" s="3">
        <f t="shared" si="8"/>
        <v>1</v>
      </c>
    </row>
    <row r="55" spans="9:31" x14ac:dyDescent="0.45">
      <c r="I55" s="20">
        <f t="shared" si="10"/>
        <v>49</v>
      </c>
      <c r="J55" s="63">
        <f t="shared" si="11"/>
        <v>41902.151027136657</v>
      </c>
      <c r="K55" s="79">
        <f>J55*$C$8*30.44/365.25</f>
        <v>185.08303434661218</v>
      </c>
      <c r="L55" s="63">
        <f t="shared" si="12"/>
        <v>-3592.6982164052329</v>
      </c>
      <c r="M55" s="80">
        <f t="shared" si="0"/>
        <v>38494.53584507804</v>
      </c>
      <c r="O55" s="20">
        <f t="shared" si="13"/>
        <v>49</v>
      </c>
      <c r="P55" s="54">
        <f t="shared" si="14"/>
        <v>25486.125</v>
      </c>
      <c r="Q55" s="63">
        <f t="shared" si="15"/>
        <v>8490.9713531108719</v>
      </c>
      <c r="R55" s="77">
        <f t="shared" si="2"/>
        <v>-3592.6982164052329</v>
      </c>
      <c r="S55" s="63">
        <f t="shared" si="16"/>
        <v>-1500</v>
      </c>
      <c r="T55" s="63">
        <f t="shared" si="25"/>
        <v>0</v>
      </c>
      <c r="U55" s="63">
        <f t="shared" si="17"/>
        <v>-424.54856765554359</v>
      </c>
      <c r="V55" s="77">
        <f t="shared" si="20"/>
        <v>-71.8125</v>
      </c>
      <c r="W55" s="83">
        <f t="shared" si="4"/>
        <v>2901.9120690500949</v>
      </c>
      <c r="X55" s="85">
        <f t="shared" si="18"/>
        <v>107917.19138345476</v>
      </c>
      <c r="Z55" s="92">
        <f t="shared" si="19"/>
        <v>34470</v>
      </c>
      <c r="AA55" s="5">
        <f t="shared" si="5"/>
        <v>0</v>
      </c>
      <c r="AB55" s="92">
        <f t="shared" si="6"/>
        <v>34470</v>
      </c>
      <c r="AD55" s="133">
        <f t="shared" si="24"/>
        <v>-73500</v>
      </c>
      <c r="AE55" s="3">
        <f t="shared" si="8"/>
        <v>1</v>
      </c>
    </row>
    <row r="56" spans="9:31" x14ac:dyDescent="0.45">
      <c r="I56" s="20">
        <f t="shared" si="10"/>
        <v>50</v>
      </c>
      <c r="J56" s="63">
        <f t="shared" si="11"/>
        <v>38494.53584507804</v>
      </c>
      <c r="K56" s="79">
        <f>J56*$C$8*30.44/365.25</f>
        <v>170.03149779488379</v>
      </c>
      <c r="L56" s="63">
        <f t="shared" si="12"/>
        <v>-3592.6982164052329</v>
      </c>
      <c r="M56" s="80">
        <f t="shared" si="0"/>
        <v>35071.869126467696</v>
      </c>
      <c r="O56" s="20">
        <f t="shared" si="13"/>
        <v>50</v>
      </c>
      <c r="P56" s="54">
        <f t="shared" si="14"/>
        <v>26006.25</v>
      </c>
      <c r="Q56" s="63">
        <f t="shared" si="15"/>
        <v>8490.9713531108719</v>
      </c>
      <c r="R56" s="77">
        <f t="shared" si="2"/>
        <v>-3592.6982164052329</v>
      </c>
      <c r="S56" s="63">
        <f t="shared" si="16"/>
        <v>-1500</v>
      </c>
      <c r="T56" s="63">
        <f t="shared" si="25"/>
        <v>0</v>
      </c>
      <c r="U56" s="63">
        <f t="shared" si="17"/>
        <v>-424.54856765554359</v>
      </c>
      <c r="V56" s="77">
        <f t="shared" si="20"/>
        <v>-65.625</v>
      </c>
      <c r="W56" s="83">
        <f t="shared" si="4"/>
        <v>2908.0995690500949</v>
      </c>
      <c r="X56" s="85">
        <f t="shared" si="18"/>
        <v>110825.29095250486</v>
      </c>
      <c r="Z56" s="92">
        <f t="shared" si="19"/>
        <v>31500</v>
      </c>
      <c r="AA56" s="5">
        <f t="shared" si="5"/>
        <v>0</v>
      </c>
      <c r="AB56" s="92">
        <f t="shared" si="6"/>
        <v>31500</v>
      </c>
      <c r="AD56" s="133">
        <f t="shared" si="24"/>
        <v>-75000</v>
      </c>
      <c r="AE56" s="3">
        <f t="shared" si="8"/>
        <v>1</v>
      </c>
    </row>
    <row r="57" spans="9:31" x14ac:dyDescent="0.45">
      <c r="I57" s="20">
        <f t="shared" si="10"/>
        <v>51</v>
      </c>
      <c r="J57" s="63">
        <f t="shared" si="11"/>
        <v>35071.869126467696</v>
      </c>
      <c r="K57" s="79">
        <f t="shared" ref="K57:K66" si="26">J57*$C$8*30.44/365.25</f>
        <v>154.91347816321112</v>
      </c>
      <c r="L57" s="63">
        <f t="shared" si="12"/>
        <v>-3592.6982164052329</v>
      </c>
      <c r="M57" s="80">
        <f t="shared" si="0"/>
        <v>31634.084388225674</v>
      </c>
      <c r="O57" s="20">
        <f t="shared" si="13"/>
        <v>51</v>
      </c>
      <c r="P57" s="54">
        <f t="shared" si="14"/>
        <v>26526.375</v>
      </c>
      <c r="Q57" s="63">
        <f t="shared" si="15"/>
        <v>8490.9713531108719</v>
      </c>
      <c r="R57" s="77">
        <f t="shared" si="2"/>
        <v>-3592.6982164052329</v>
      </c>
      <c r="S57" s="63">
        <f t="shared" si="16"/>
        <v>-1500</v>
      </c>
      <c r="T57" s="63">
        <f t="shared" si="25"/>
        <v>0</v>
      </c>
      <c r="U57" s="63">
        <f t="shared" si="17"/>
        <v>-424.54856765554359</v>
      </c>
      <c r="V57" s="77">
        <f t="shared" si="20"/>
        <v>-59.4375</v>
      </c>
      <c r="W57" s="83">
        <f t="shared" si="4"/>
        <v>2914.2870690500949</v>
      </c>
      <c r="X57" s="85">
        <f t="shared" si="18"/>
        <v>113739.57802155496</v>
      </c>
      <c r="Z57" s="92">
        <f t="shared" si="19"/>
        <v>28530</v>
      </c>
      <c r="AA57" s="5">
        <f t="shared" si="5"/>
        <v>0</v>
      </c>
      <c r="AB57" s="92">
        <f t="shared" si="6"/>
        <v>28530</v>
      </c>
      <c r="AD57" s="133">
        <f t="shared" si="24"/>
        <v>-76500</v>
      </c>
      <c r="AE57" s="3">
        <f t="shared" si="8"/>
        <v>1</v>
      </c>
    </row>
    <row r="58" spans="9:31" x14ac:dyDescent="0.45">
      <c r="I58" s="20">
        <f t="shared" si="10"/>
        <v>52</v>
      </c>
      <c r="J58" s="63">
        <f t="shared" si="11"/>
        <v>31634.084388225674</v>
      </c>
      <c r="K58" s="79">
        <f t="shared" si="26"/>
        <v>139.72868179387336</v>
      </c>
      <c r="L58" s="63">
        <f t="shared" si="12"/>
        <v>-3592.6982164052329</v>
      </c>
      <c r="M58" s="80">
        <f t="shared" si="0"/>
        <v>28181.114853614316</v>
      </c>
      <c r="O58" s="20">
        <f t="shared" si="13"/>
        <v>52</v>
      </c>
      <c r="P58" s="54">
        <f t="shared" si="14"/>
        <v>27046.5</v>
      </c>
      <c r="Q58" s="63">
        <f t="shared" si="15"/>
        <v>8490.9713531108719</v>
      </c>
      <c r="R58" s="77">
        <f t="shared" si="2"/>
        <v>-3592.6982164052329</v>
      </c>
      <c r="S58" s="63">
        <f t="shared" si="16"/>
        <v>-1500</v>
      </c>
      <c r="T58" s="63">
        <f t="shared" si="25"/>
        <v>0</v>
      </c>
      <c r="U58" s="63">
        <f t="shared" si="17"/>
        <v>-424.54856765554359</v>
      </c>
      <c r="V58" s="77">
        <f t="shared" si="20"/>
        <v>-53.25</v>
      </c>
      <c r="W58" s="83">
        <f t="shared" si="4"/>
        <v>2920.4745690500949</v>
      </c>
      <c r="X58" s="85">
        <f t="shared" si="18"/>
        <v>116660.05259060506</v>
      </c>
      <c r="Z58" s="92">
        <f t="shared" si="19"/>
        <v>25560</v>
      </c>
      <c r="AA58" s="5">
        <f t="shared" si="5"/>
        <v>0</v>
      </c>
      <c r="AB58" s="92">
        <f t="shared" si="6"/>
        <v>25560</v>
      </c>
      <c r="AD58" s="133">
        <f t="shared" si="24"/>
        <v>-78000</v>
      </c>
      <c r="AE58" s="3">
        <f t="shared" si="8"/>
        <v>1</v>
      </c>
    </row>
    <row r="59" spans="9:31" x14ac:dyDescent="0.45">
      <c r="I59" s="20">
        <f t="shared" si="10"/>
        <v>53</v>
      </c>
      <c r="J59" s="63">
        <f t="shared" si="11"/>
        <v>28181.114853614316</v>
      </c>
      <c r="K59" s="79">
        <f t="shared" si="26"/>
        <v>124.47681373205489</v>
      </c>
      <c r="L59" s="63">
        <f t="shared" si="12"/>
        <v>-3592.6982164052329</v>
      </c>
      <c r="M59" s="80">
        <f t="shared" si="0"/>
        <v>24712.893450941137</v>
      </c>
      <c r="O59" s="20">
        <f t="shared" si="13"/>
        <v>53</v>
      </c>
      <c r="P59" s="54">
        <f t="shared" si="14"/>
        <v>27566.625</v>
      </c>
      <c r="Q59" s="63">
        <f t="shared" si="15"/>
        <v>8490.9713531108719</v>
      </c>
      <c r="R59" s="77">
        <f t="shared" si="2"/>
        <v>-3592.6982164052329</v>
      </c>
      <c r="S59" s="63">
        <f t="shared" si="16"/>
        <v>-1500</v>
      </c>
      <c r="T59" s="63">
        <f t="shared" si="25"/>
        <v>0</v>
      </c>
      <c r="U59" s="63">
        <f t="shared" si="17"/>
        <v>-424.54856765554359</v>
      </c>
      <c r="V59" s="77">
        <f t="shared" si="20"/>
        <v>-47.0625</v>
      </c>
      <c r="W59" s="83">
        <f t="shared" si="4"/>
        <v>2926.6620690500949</v>
      </c>
      <c r="X59" s="85">
        <f t="shared" si="18"/>
        <v>119586.71465965516</v>
      </c>
      <c r="Z59" s="92">
        <f t="shared" si="19"/>
        <v>22590</v>
      </c>
      <c r="AA59" s="5">
        <f t="shared" si="5"/>
        <v>0</v>
      </c>
      <c r="AB59" s="92">
        <f t="shared" si="6"/>
        <v>22590</v>
      </c>
      <c r="AD59" s="133">
        <f t="shared" si="24"/>
        <v>-79500</v>
      </c>
      <c r="AE59" s="3">
        <f t="shared" si="8"/>
        <v>1</v>
      </c>
    </row>
    <row r="60" spans="9:31" x14ac:dyDescent="0.45">
      <c r="I60" s="20">
        <f t="shared" si="10"/>
        <v>54</v>
      </c>
      <c r="J60" s="63">
        <f t="shared" si="11"/>
        <v>24712.893450941137</v>
      </c>
      <c r="K60" s="79">
        <f t="shared" si="26"/>
        <v>109.15757772011598</v>
      </c>
      <c r="L60" s="63">
        <f t="shared" si="12"/>
        <v>-3592.6982164052329</v>
      </c>
      <c r="M60" s="80">
        <f t="shared" si="0"/>
        <v>21229.35281225602</v>
      </c>
      <c r="O60" s="20">
        <f t="shared" si="13"/>
        <v>54</v>
      </c>
      <c r="P60" s="54">
        <f t="shared" si="14"/>
        <v>28086.75</v>
      </c>
      <c r="Q60" s="63">
        <f t="shared" si="15"/>
        <v>8490.9713531108719</v>
      </c>
      <c r="R60" s="77">
        <f t="shared" si="2"/>
        <v>-3592.6982164052329</v>
      </c>
      <c r="S60" s="63">
        <f t="shared" si="16"/>
        <v>-1500</v>
      </c>
      <c r="T60" s="63"/>
      <c r="U60" s="63">
        <f t="shared" si="17"/>
        <v>-424.54856765554359</v>
      </c>
      <c r="V60" s="77">
        <f t="shared" si="20"/>
        <v>-40.875</v>
      </c>
      <c r="W60" s="83">
        <f t="shared" si="4"/>
        <v>2932.8495690500949</v>
      </c>
      <c r="X60" s="85">
        <f t="shared" si="18"/>
        <v>122519.56422870526</v>
      </c>
      <c r="Z60" s="92">
        <f t="shared" si="19"/>
        <v>19620</v>
      </c>
      <c r="AA60" s="5">
        <f t="shared" si="5"/>
        <v>0</v>
      </c>
      <c r="AB60" s="92">
        <f t="shared" si="6"/>
        <v>19620</v>
      </c>
      <c r="AD60" s="133">
        <f t="shared" si="24"/>
        <v>-81000</v>
      </c>
      <c r="AE60" s="3">
        <f t="shared" si="8"/>
        <v>1</v>
      </c>
    </row>
    <row r="61" spans="9:31" x14ac:dyDescent="0.45">
      <c r="I61" s="20">
        <f t="shared" si="10"/>
        <v>55</v>
      </c>
      <c r="J61" s="63">
        <f t="shared" si="11"/>
        <v>21229.35281225602</v>
      </c>
      <c r="K61" s="79">
        <f t="shared" si="26"/>
        <v>93.770676191838135</v>
      </c>
      <c r="L61" s="63">
        <f t="shared" si="12"/>
        <v>-3592.6982164052329</v>
      </c>
      <c r="M61" s="80">
        <f t="shared" si="0"/>
        <v>17730.425272042627</v>
      </c>
      <c r="O61" s="20">
        <f t="shared" si="13"/>
        <v>55</v>
      </c>
      <c r="P61" s="54">
        <f t="shared" si="14"/>
        <v>28606.875</v>
      </c>
      <c r="Q61" s="63">
        <f t="shared" si="15"/>
        <v>8490.9713531108719</v>
      </c>
      <c r="R61" s="77">
        <f t="shared" si="2"/>
        <v>-3592.6982164052329</v>
      </c>
      <c r="S61" s="63">
        <f t="shared" si="16"/>
        <v>-1500</v>
      </c>
      <c r="T61" s="63">
        <f>-T75*0.5</f>
        <v>0</v>
      </c>
      <c r="U61" s="63">
        <f t="shared" si="17"/>
        <v>-424.54856765554359</v>
      </c>
      <c r="V61" s="77">
        <f t="shared" si="20"/>
        <v>-34.6875</v>
      </c>
      <c r="W61" s="83">
        <f t="shared" si="4"/>
        <v>2939.0370690500949</v>
      </c>
      <c r="X61" s="85">
        <f t="shared" si="18"/>
        <v>125458.60129775536</v>
      </c>
      <c r="Z61" s="92">
        <f t="shared" si="19"/>
        <v>16650</v>
      </c>
      <c r="AA61" s="5">
        <f t="shared" si="5"/>
        <v>0</v>
      </c>
      <c r="AB61" s="92">
        <f t="shared" si="6"/>
        <v>16650</v>
      </c>
      <c r="AD61" s="133">
        <f t="shared" si="24"/>
        <v>-82500</v>
      </c>
      <c r="AE61" s="3">
        <f t="shared" si="8"/>
        <v>1</v>
      </c>
    </row>
    <row r="62" spans="9:31" x14ac:dyDescent="0.45">
      <c r="I62" s="20">
        <f t="shared" si="10"/>
        <v>56</v>
      </c>
      <c r="J62" s="63">
        <f t="shared" si="11"/>
        <v>17730.425272042627</v>
      </c>
      <c r="K62" s="79">
        <f t="shared" si="26"/>
        <v>78.315810266644249</v>
      </c>
      <c r="L62" s="63">
        <f t="shared" si="12"/>
        <v>-3592.6982164052329</v>
      </c>
      <c r="M62" s="80">
        <f t="shared" si="0"/>
        <v>14216.042865904039</v>
      </c>
      <c r="O62" s="20">
        <f t="shared" si="13"/>
        <v>56</v>
      </c>
      <c r="P62" s="54">
        <f t="shared" si="14"/>
        <v>29127</v>
      </c>
      <c r="Q62" s="63">
        <f t="shared" si="15"/>
        <v>8490.9713531108719</v>
      </c>
      <c r="R62" s="77">
        <f t="shared" si="2"/>
        <v>-3592.6982164052329</v>
      </c>
      <c r="S62" s="63">
        <f t="shared" si="16"/>
        <v>-1500</v>
      </c>
      <c r="T62" s="63">
        <f>-T76*0.5</f>
        <v>0</v>
      </c>
      <c r="U62" s="63">
        <f t="shared" si="17"/>
        <v>-424.54856765554359</v>
      </c>
      <c r="V62" s="77">
        <f t="shared" si="20"/>
        <v>-28.5</v>
      </c>
      <c r="W62" s="83">
        <f t="shared" si="4"/>
        <v>2945.2245690500949</v>
      </c>
      <c r="X62" s="85">
        <f t="shared" si="18"/>
        <v>128403.82586680546</v>
      </c>
      <c r="Z62" s="92">
        <f t="shared" si="19"/>
        <v>13680</v>
      </c>
      <c r="AA62" s="5">
        <f t="shared" si="5"/>
        <v>0</v>
      </c>
      <c r="AB62" s="92">
        <f t="shared" si="6"/>
        <v>13680</v>
      </c>
      <c r="AD62" s="133">
        <f t="shared" si="24"/>
        <v>-84000</v>
      </c>
      <c r="AE62" s="3">
        <f t="shared" si="8"/>
        <v>1</v>
      </c>
    </row>
    <row r="63" spans="9:31" x14ac:dyDescent="0.45">
      <c r="I63" s="20">
        <f t="shared" si="10"/>
        <v>57</v>
      </c>
      <c r="J63" s="63">
        <f t="shared" si="11"/>
        <v>14216.042865904039</v>
      </c>
      <c r="K63" s="79">
        <f t="shared" si="26"/>
        <v>62.792679743792768</v>
      </c>
      <c r="L63" s="63">
        <f t="shared" si="12"/>
        <v>-3592.6982164052329</v>
      </c>
      <c r="M63" s="80">
        <f t="shared" si="0"/>
        <v>10686.137329242598</v>
      </c>
      <c r="O63" s="20">
        <f t="shared" si="13"/>
        <v>57</v>
      </c>
      <c r="P63" s="54">
        <f t="shared" si="14"/>
        <v>29647.125</v>
      </c>
      <c r="Q63" s="63">
        <f t="shared" si="15"/>
        <v>8490.9713531108719</v>
      </c>
      <c r="R63" s="77">
        <f t="shared" si="2"/>
        <v>-3592.6982164052329</v>
      </c>
      <c r="S63" s="63">
        <f>+S61</f>
        <v>-1500</v>
      </c>
      <c r="T63" s="63">
        <f>-T76*0.5</f>
        <v>0</v>
      </c>
      <c r="U63" s="63">
        <f>U61</f>
        <v>-424.54856765554359</v>
      </c>
      <c r="V63" s="77">
        <f t="shared" si="20"/>
        <v>-22.3125</v>
      </c>
      <c r="W63" s="83">
        <f t="shared" si="4"/>
        <v>2951.4120690500949</v>
      </c>
      <c r="X63" s="85">
        <f>X61+W63</f>
        <v>128410.01336680546</v>
      </c>
      <c r="Z63" s="92">
        <f t="shared" si="19"/>
        <v>10710</v>
      </c>
      <c r="AA63" s="5">
        <f t="shared" si="5"/>
        <v>0</v>
      </c>
      <c r="AB63" s="92">
        <f t="shared" si="6"/>
        <v>10710</v>
      </c>
      <c r="AD63" s="133">
        <f>IF(AD61=0,0,IF(+S63+AD61&lt;-$S$68,0,+S63+AD61))</f>
        <v>-84000</v>
      </c>
      <c r="AE63" s="3">
        <f t="shared" si="8"/>
        <v>1</v>
      </c>
    </row>
    <row r="64" spans="9:31" x14ac:dyDescent="0.45">
      <c r="I64" s="20">
        <f t="shared" si="10"/>
        <v>58</v>
      </c>
      <c r="J64" s="63">
        <f t="shared" si="11"/>
        <v>10686.137329242598</v>
      </c>
      <c r="K64" s="79">
        <f t="shared" si="26"/>
        <v>47.200983096546658</v>
      </c>
      <c r="L64" s="63">
        <f t="shared" si="12"/>
        <v>-3592.6982164052329</v>
      </c>
      <c r="M64" s="80">
        <f t="shared" si="0"/>
        <v>7140.6400959339117</v>
      </c>
      <c r="O64" s="20">
        <f t="shared" si="13"/>
        <v>58</v>
      </c>
      <c r="P64" s="54">
        <f t="shared" si="14"/>
        <v>30167.25</v>
      </c>
      <c r="Q64" s="63">
        <f t="shared" si="15"/>
        <v>8490.9713531108719</v>
      </c>
      <c r="R64" s="77">
        <f t="shared" si="2"/>
        <v>-3592.6982164052329</v>
      </c>
      <c r="S64" s="63">
        <f>+S61</f>
        <v>-1500</v>
      </c>
      <c r="T64" s="63">
        <f>-T76*0.5</f>
        <v>0</v>
      </c>
      <c r="U64" s="63">
        <f>U61</f>
        <v>-424.54856765554359</v>
      </c>
      <c r="V64" s="77">
        <f t="shared" si="20"/>
        <v>-16.125</v>
      </c>
      <c r="W64" s="83">
        <f t="shared" si="4"/>
        <v>2957.5995690500949</v>
      </c>
      <c r="X64" s="85">
        <f>X61+W64</f>
        <v>128416.20086680546</v>
      </c>
      <c r="Z64" s="92">
        <f t="shared" si="19"/>
        <v>7740</v>
      </c>
      <c r="AA64" s="5">
        <f t="shared" si="5"/>
        <v>0</v>
      </c>
      <c r="AB64" s="92">
        <f t="shared" si="6"/>
        <v>7740</v>
      </c>
      <c r="AD64" s="133">
        <f>IF(AD61=0,0,IF(+S64+AD61&lt;-$S$68,0,+S64+AD61))</f>
        <v>-84000</v>
      </c>
      <c r="AE64" s="3">
        <f t="shared" si="8"/>
        <v>1</v>
      </c>
    </row>
    <row r="65" spans="1:31" x14ac:dyDescent="0.45">
      <c r="I65" s="20">
        <f t="shared" si="10"/>
        <v>59</v>
      </c>
      <c r="J65" s="63">
        <f t="shared" si="11"/>
        <v>7140.6400959339117</v>
      </c>
      <c r="K65" s="79">
        <f t="shared" si="26"/>
        <v>31.540417466316491</v>
      </c>
      <c r="L65" s="63">
        <f t="shared" si="12"/>
        <v>-3592.6982164052329</v>
      </c>
      <c r="M65" s="80">
        <f t="shared" si="0"/>
        <v>3579.4822969949951</v>
      </c>
      <c r="O65" s="20">
        <f t="shared" si="13"/>
        <v>59</v>
      </c>
      <c r="P65" s="54">
        <f t="shared" si="14"/>
        <v>30687.375</v>
      </c>
      <c r="Q65" s="63">
        <f t="shared" si="15"/>
        <v>8490.9713531108719</v>
      </c>
      <c r="R65" s="77">
        <f t="shared" si="2"/>
        <v>-3592.6982164052329</v>
      </c>
      <c r="S65" s="63">
        <f>+S62</f>
        <v>-1500</v>
      </c>
      <c r="T65" s="63">
        <f>-T77*0.5</f>
        <v>0</v>
      </c>
      <c r="U65" s="63">
        <f>U62</f>
        <v>-424.54856765554359</v>
      </c>
      <c r="V65" s="77">
        <f t="shared" si="20"/>
        <v>-9.9375</v>
      </c>
      <c r="W65" s="83">
        <f t="shared" si="4"/>
        <v>2963.7870690500949</v>
      </c>
      <c r="X65" s="85">
        <f>X62+W65</f>
        <v>131367.61293585555</v>
      </c>
      <c r="Z65" s="92">
        <f t="shared" si="19"/>
        <v>4770</v>
      </c>
      <c r="AA65" s="5">
        <f t="shared" si="5"/>
        <v>0</v>
      </c>
      <c r="AB65" s="92">
        <f t="shared" si="6"/>
        <v>4770</v>
      </c>
      <c r="AD65" s="133">
        <f>IF(AD62=0,0,IF(+S65+AD62&lt;-$S$68,0,+S65+AD62))</f>
        <v>-85500</v>
      </c>
      <c r="AE65" s="3">
        <f t="shared" si="8"/>
        <v>1</v>
      </c>
    </row>
    <row r="66" spans="1:31" ht="14.65" thickBot="1" x14ac:dyDescent="0.5">
      <c r="I66" s="20">
        <f t="shared" si="10"/>
        <v>60</v>
      </c>
      <c r="J66" s="63">
        <f t="shared" si="11"/>
        <v>3579.4822969949951</v>
      </c>
      <c r="K66" s="79">
        <f t="shared" si="26"/>
        <v>15.810678656777455</v>
      </c>
      <c r="L66" s="63">
        <f t="shared" si="12"/>
        <v>-3592.6982164052329</v>
      </c>
      <c r="M66" s="80">
        <f t="shared" si="0"/>
        <v>2.5947592465395246</v>
      </c>
      <c r="O66" s="20">
        <f t="shared" si="13"/>
        <v>60</v>
      </c>
      <c r="P66" s="54">
        <f t="shared" si="14"/>
        <v>31207.5</v>
      </c>
      <c r="Q66" s="63">
        <f t="shared" si="15"/>
        <v>8490.9713531108719</v>
      </c>
      <c r="R66" s="77">
        <f t="shared" si="2"/>
        <v>-3592.6982164052329</v>
      </c>
      <c r="S66" s="63">
        <f>+S62</f>
        <v>-1500</v>
      </c>
      <c r="T66" s="63">
        <f>-T77*0.5</f>
        <v>0</v>
      </c>
      <c r="U66" s="63">
        <f>U62</f>
        <v>-424.54856765554359</v>
      </c>
      <c r="V66" s="77">
        <f t="shared" si="20"/>
        <v>-3.75</v>
      </c>
      <c r="W66" s="83">
        <f t="shared" si="4"/>
        <v>2969.9745690500949</v>
      </c>
      <c r="X66" s="85">
        <f>X62+W66</f>
        <v>131373.80043585555</v>
      </c>
      <c r="Z66" s="92">
        <f t="shared" si="19"/>
        <v>1800</v>
      </c>
      <c r="AA66" s="5">
        <f t="shared" si="5"/>
        <v>0</v>
      </c>
      <c r="AB66" s="92">
        <f t="shared" si="6"/>
        <v>1800</v>
      </c>
      <c r="AD66" s="133">
        <f>IF(AD62=0,0,IF(+S66+AD62&lt;-$S$68,0,+S66+AD62))</f>
        <v>-85500</v>
      </c>
      <c r="AE66" s="3">
        <f t="shared" si="8"/>
        <v>1</v>
      </c>
    </row>
    <row r="67" spans="1:31" ht="14.65" thickBot="1" x14ac:dyDescent="0.5">
      <c r="I67" s="21" t="s">
        <v>20</v>
      </c>
      <c r="J67" s="69">
        <f>C7*C11</f>
        <v>1890</v>
      </c>
      <c r="K67" s="69">
        <f>SUM(K7:K54)</f>
        <v>25351.665414587816</v>
      </c>
      <c r="L67" s="81"/>
      <c r="M67" s="82"/>
      <c r="O67" s="58"/>
      <c r="P67" s="59"/>
      <c r="Q67" s="69">
        <f t="shared" ref="Q67:V67" si="27">SUM(Q7:Q54)</f>
        <v>407566.62494932138</v>
      </c>
      <c r="R67" s="69">
        <f t="shared" si="27"/>
        <v>-172449.51438745114</v>
      </c>
      <c r="S67" s="87">
        <f t="shared" si="27"/>
        <v>-72000</v>
      </c>
      <c r="T67" s="87">
        <f t="shared" si="27"/>
        <v>-27000</v>
      </c>
      <c r="U67" s="69">
        <f t="shared" si="27"/>
        <v>-20378.331247466092</v>
      </c>
      <c r="V67" s="69">
        <f t="shared" si="27"/>
        <v>-10723.5</v>
      </c>
      <c r="W67" s="88"/>
      <c r="X67" s="82"/>
    </row>
    <row r="68" spans="1:31" x14ac:dyDescent="0.45">
      <c r="Q68" s="89">
        <f>+SUM(Q67:V67)</f>
        <v>105015.27931440415</v>
      </c>
      <c r="R68" s="89"/>
      <c r="S68" s="90">
        <f>D31</f>
        <v>90000</v>
      </c>
      <c r="T68" s="60">
        <f>D32</f>
        <v>27000</v>
      </c>
      <c r="U68" s="89"/>
      <c r="V68" s="89"/>
      <c r="W68" s="89"/>
      <c r="X68" s="89"/>
    </row>
    <row r="69" spans="1:31" ht="14.65" thickBot="1" x14ac:dyDescent="0.5">
      <c r="L69" s="129">
        <f>+PMT(C8/12,C12,(C7),,)</f>
        <v>-3592.6982164052329</v>
      </c>
      <c r="Q69" s="89"/>
      <c r="R69" s="89"/>
      <c r="S69" s="91">
        <f>S67+S68</f>
        <v>18000</v>
      </c>
      <c r="T69" s="66">
        <f>T67+T68</f>
        <v>0</v>
      </c>
      <c r="U69" s="89"/>
      <c r="V69" s="89"/>
      <c r="W69" s="89"/>
      <c r="X69" s="89"/>
    </row>
    <row r="70" spans="1:31" s="131" customFormat="1" ht="14.65" thickBot="1" x14ac:dyDescent="0.5"/>
    <row r="71" spans="1:31" s="177" customFormat="1" ht="31.15" thickBot="1" x14ac:dyDescent="0.5">
      <c r="A71" s="695" t="str">
        <f>+A3</f>
        <v>CAT950</v>
      </c>
      <c r="B71" s="696"/>
      <c r="C71" s="697"/>
      <c r="D71" s="698" t="s">
        <v>2</v>
      </c>
      <c r="E71" s="699"/>
      <c r="F71" s="699"/>
      <c r="G71" s="699"/>
      <c r="H71" s="700"/>
      <c r="I71" s="700"/>
      <c r="J71" s="700"/>
      <c r="K71" s="700"/>
      <c r="L71" s="700"/>
      <c r="M71" s="700"/>
      <c r="N71" s="700"/>
      <c r="O71" s="700"/>
      <c r="P71" s="700"/>
      <c r="Q71" s="700"/>
      <c r="R71" s="700"/>
      <c r="S71" s="700"/>
      <c r="T71" s="700"/>
      <c r="U71" s="700"/>
      <c r="V71" s="700"/>
      <c r="W71" s="700"/>
      <c r="X71" s="701"/>
    </row>
    <row r="72" spans="1:31" s="177" customFormat="1" ht="28.9" thickBot="1" x14ac:dyDescent="0.5">
      <c r="C72" s="178"/>
      <c r="D72" s="178"/>
      <c r="E72" s="179" t="s">
        <v>77</v>
      </c>
      <c r="F72" s="179" t="s">
        <v>78</v>
      </c>
      <c r="G72" s="179" t="s">
        <v>79</v>
      </c>
      <c r="H72" s="178"/>
      <c r="I72" s="180"/>
      <c r="J72" s="178"/>
      <c r="K72" s="178"/>
      <c r="L72" s="178"/>
      <c r="M72" s="178"/>
      <c r="Q72" s="181">
        <f>+C81/C80*C82</f>
        <v>388.88888888888886</v>
      </c>
      <c r="U72" s="182">
        <v>0.05</v>
      </c>
    </row>
    <row r="73" spans="1:31" s="177" customFormat="1" ht="23.65" thickBot="1" x14ac:dyDescent="0.5">
      <c r="A73" s="708" t="s">
        <v>9</v>
      </c>
      <c r="B73" s="709"/>
      <c r="C73" s="710"/>
      <c r="D73" s="178"/>
      <c r="E73" s="183">
        <f>+'Summary Equip'!AL27</f>
        <v>0</v>
      </c>
      <c r="F73" s="183">
        <f>+'Summary Equip'!AM27</f>
        <v>0</v>
      </c>
      <c r="G73" s="183">
        <f>+'Summary Equip'!AN27</f>
        <v>0</v>
      </c>
      <c r="H73" s="178"/>
      <c r="I73" s="711" t="s">
        <v>34</v>
      </c>
      <c r="J73" s="712"/>
      <c r="K73" s="712"/>
      <c r="L73" s="712"/>
      <c r="M73" s="713"/>
      <c r="O73" s="711" t="s">
        <v>35</v>
      </c>
      <c r="P73" s="714"/>
      <c r="Q73" s="712"/>
      <c r="R73" s="712"/>
      <c r="S73" s="712"/>
      <c r="T73" s="712"/>
      <c r="U73" s="712"/>
      <c r="V73" s="712"/>
      <c r="W73" s="715"/>
      <c r="X73" s="716"/>
      <c r="AA73" s="184">
        <v>0</v>
      </c>
    </row>
    <row r="74" spans="1:31" s="177" customFormat="1" ht="28.9" thickBot="1" x14ac:dyDescent="0.5">
      <c r="A74" s="185" t="s">
        <v>0</v>
      </c>
      <c r="B74" s="186" t="s">
        <v>1</v>
      </c>
      <c r="C74" s="187" t="s">
        <v>10</v>
      </c>
      <c r="D74" s="178"/>
      <c r="E74" s="178"/>
      <c r="F74" s="178"/>
      <c r="G74" s="178"/>
      <c r="H74" s="178"/>
      <c r="I74" s="188" t="s">
        <v>15</v>
      </c>
      <c r="J74" s="189" t="s">
        <v>16</v>
      </c>
      <c r="K74" s="189" t="s">
        <v>17</v>
      </c>
      <c r="L74" s="189" t="s">
        <v>18</v>
      </c>
      <c r="M74" s="190" t="s">
        <v>19</v>
      </c>
      <c r="O74" s="188" t="s">
        <v>15</v>
      </c>
      <c r="P74" s="191" t="s">
        <v>39</v>
      </c>
      <c r="Q74" s="189" t="s">
        <v>36</v>
      </c>
      <c r="R74" s="189" t="s">
        <v>37</v>
      </c>
      <c r="S74" s="189" t="s">
        <v>27</v>
      </c>
      <c r="T74" s="189" t="s">
        <v>38</v>
      </c>
      <c r="U74" s="189" t="s">
        <v>7</v>
      </c>
      <c r="V74" s="189" t="s">
        <v>41</v>
      </c>
      <c r="W74" s="190" t="s">
        <v>40</v>
      </c>
      <c r="X74" s="192" t="s">
        <v>42</v>
      </c>
      <c r="Z74" s="193" t="s">
        <v>71</v>
      </c>
      <c r="AA74" s="193" t="s">
        <v>46</v>
      </c>
      <c r="AB74" s="193" t="s">
        <v>47</v>
      </c>
    </row>
    <row r="75" spans="1:31" s="177" customFormat="1" x14ac:dyDescent="0.45">
      <c r="A75" s="194">
        <v>1</v>
      </c>
      <c r="B75" s="195" t="s">
        <v>11</v>
      </c>
      <c r="C75" s="196">
        <f>+F79*(1+'Summary Equip'!$N$3)</f>
        <v>9000</v>
      </c>
      <c r="D75" s="197"/>
      <c r="E75" s="194" t="s">
        <v>61</v>
      </c>
      <c r="F75" s="198">
        <f>+IF(G73=1,'Summary Equip'!Q29,'Summary Equip'!J27)</f>
        <v>0</v>
      </c>
      <c r="G75" s="199"/>
      <c r="H75" s="178"/>
      <c r="I75" s="200">
        <v>1</v>
      </c>
      <c r="J75" s="201">
        <f>C75</f>
        <v>9000</v>
      </c>
      <c r="K75" s="201">
        <f>J75*$C$8*30.44/365.25</f>
        <v>39.753264887063658</v>
      </c>
      <c r="L75" s="201">
        <f>L125</f>
        <v>-270.95198532036386</v>
      </c>
      <c r="M75" s="202">
        <f t="shared" ref="M75:M122" si="28">J75+K75+L75</f>
        <v>8768.8012795667</v>
      </c>
      <c r="O75" s="200">
        <v>1</v>
      </c>
      <c r="P75" s="203">
        <f>Q72</f>
        <v>388.88888888888886</v>
      </c>
      <c r="Q75" s="201">
        <f t="shared" ref="Q75:Q110" si="29">$F$110+($Q$4*$G$42)</f>
        <v>5472.5821693754215</v>
      </c>
      <c r="R75" s="201">
        <f>+L75</f>
        <v>-270.95198532036386</v>
      </c>
      <c r="S75" s="201">
        <f>-S124/C80</f>
        <v>0</v>
      </c>
      <c r="T75" s="201"/>
      <c r="U75" s="201">
        <f>-Q75*U72</f>
        <v>-273.62910846877111</v>
      </c>
      <c r="V75" s="201">
        <f>-(AB75*$C$9/12)</f>
        <v>-368.8125</v>
      </c>
      <c r="W75" s="204">
        <f>SUM(Q75:V75)</f>
        <v>4559.1885755862868</v>
      </c>
      <c r="X75" s="205">
        <f>W75</f>
        <v>4559.1885755862868</v>
      </c>
      <c r="Z75" s="206">
        <f>+$D$27-(($D$27+$D$28)*O75/$B$22)</f>
        <v>177030</v>
      </c>
      <c r="AA75" s="193">
        <f>+Z75*$AA$5</f>
        <v>0</v>
      </c>
      <c r="AB75" s="206">
        <f>+Z75+AA75</f>
        <v>177030</v>
      </c>
    </row>
    <row r="76" spans="1:31" s="177" customFormat="1" ht="28.5" x14ac:dyDescent="0.45">
      <c r="A76" s="207">
        <f>A75+1</f>
        <v>2</v>
      </c>
      <c r="B76" s="193" t="s">
        <v>3</v>
      </c>
      <c r="C76" s="208">
        <f>+C8</f>
        <v>5.2999999999999999E-2</v>
      </c>
      <c r="D76" s="178"/>
      <c r="E76" s="209" t="s">
        <v>64</v>
      </c>
      <c r="F76" s="210">
        <f>+'Summary Equip'!D27*(1-CAT950WL!E73)</f>
        <v>0</v>
      </c>
      <c r="G76" s="211"/>
      <c r="H76" s="178"/>
      <c r="I76" s="212">
        <f>I75+1</f>
        <v>2</v>
      </c>
      <c r="J76" s="213">
        <f>M75</f>
        <v>8768.8012795667</v>
      </c>
      <c r="K76" s="213">
        <f t="shared" ref="K76:K110" si="30">J76*$C$8*30.44/365.25</f>
        <v>38.732053334293084</v>
      </c>
      <c r="L76" s="213">
        <f>L75</f>
        <v>-270.95198532036386</v>
      </c>
      <c r="M76" s="214">
        <f t="shared" si="28"/>
        <v>8536.5813475806299</v>
      </c>
      <c r="O76" s="212">
        <f>O75+1</f>
        <v>2</v>
      </c>
      <c r="P76" s="215">
        <f>P75+$Q$4</f>
        <v>909.01388888888891</v>
      </c>
      <c r="Q76" s="201">
        <f t="shared" si="29"/>
        <v>5472.5821693754215</v>
      </c>
      <c r="R76" s="201">
        <f t="shared" ref="R76:R122" si="31">+L76</f>
        <v>-270.95198532036386</v>
      </c>
      <c r="S76" s="213">
        <f>+S75</f>
        <v>0</v>
      </c>
      <c r="T76" s="213"/>
      <c r="U76" s="213">
        <f>U75</f>
        <v>-273.62910846877111</v>
      </c>
      <c r="V76" s="201">
        <f t="shared" ref="V76:V82" si="32">-(AB76*$C$9/12)</f>
        <v>-362.625</v>
      </c>
      <c r="W76" s="204">
        <f t="shared" ref="W76:W122" si="33">SUM(Q76:V76)</f>
        <v>4565.3760755862868</v>
      </c>
      <c r="X76" s="216">
        <f>X75+W76</f>
        <v>9124.5646511725736</v>
      </c>
      <c r="Z76" s="206">
        <f>+$D$27-(($D$27+$D$28)*O76/$B$22)</f>
        <v>174060</v>
      </c>
      <c r="AA76" s="193">
        <f t="shared" ref="AA76:AA122" si="34">+Z76*$AA$5</f>
        <v>0</v>
      </c>
      <c r="AB76" s="206">
        <f t="shared" ref="AB76:AB122" si="35">+Z76+AA76</f>
        <v>174060</v>
      </c>
    </row>
    <row r="77" spans="1:31" s="177" customFormat="1" x14ac:dyDescent="0.45">
      <c r="A77" s="207">
        <f t="shared" ref="A77:A82" si="36">A76+1</f>
        <v>3</v>
      </c>
      <c r="B77" s="193" t="s">
        <v>4</v>
      </c>
      <c r="C77" s="208">
        <f>+C9</f>
        <v>2.5000000000000001E-2</v>
      </c>
      <c r="D77" s="178"/>
      <c r="E77" s="109" t="s">
        <v>69</v>
      </c>
      <c r="F77" s="149">
        <f>+F9</f>
        <v>9000</v>
      </c>
      <c r="G77" s="110"/>
      <c r="H77" s="178"/>
      <c r="I77" s="212">
        <f t="shared" ref="I77:I122" si="37">I76+1</f>
        <v>3</v>
      </c>
      <c r="J77" s="213">
        <f t="shared" ref="J77:J91" si="38">M76</f>
        <v>8536.5813475806299</v>
      </c>
      <c r="K77" s="213">
        <f t="shared" si="30"/>
        <v>37.706331060037733</v>
      </c>
      <c r="L77" s="213">
        <f t="shared" ref="L77:L109" si="39">L76</f>
        <v>-270.95198532036386</v>
      </c>
      <c r="M77" s="214">
        <f t="shared" si="28"/>
        <v>8303.3356933203031</v>
      </c>
      <c r="O77" s="212">
        <f t="shared" ref="O77:O122" si="40">O76+1</f>
        <v>3</v>
      </c>
      <c r="P77" s="215">
        <f t="shared" ref="P77:P122" si="41">P76+$Q$4</f>
        <v>1429.1388888888889</v>
      </c>
      <c r="Q77" s="201">
        <f t="shared" si="29"/>
        <v>5472.5821693754215</v>
      </c>
      <c r="R77" s="201">
        <f t="shared" si="31"/>
        <v>-270.95198532036386</v>
      </c>
      <c r="S77" s="213">
        <f t="shared" ref="S77:S122" si="42">+S76</f>
        <v>0</v>
      </c>
      <c r="T77" s="213"/>
      <c r="U77" s="213">
        <f t="shared" ref="U77:U122" si="43">U76</f>
        <v>-273.62910846877111</v>
      </c>
      <c r="V77" s="201">
        <f t="shared" si="32"/>
        <v>-356.4375</v>
      </c>
      <c r="W77" s="204">
        <f t="shared" si="33"/>
        <v>4571.5635755862868</v>
      </c>
      <c r="X77" s="216">
        <f t="shared" ref="X77:X122" si="44">X76+W77</f>
        <v>13696.128226758861</v>
      </c>
      <c r="Z77" s="206">
        <f t="shared" ref="Z77:Z122" si="45">+$D$27-(($D$27+$D$28)*O77/$B$22)</f>
        <v>171090</v>
      </c>
      <c r="AA77" s="193">
        <f t="shared" si="34"/>
        <v>0</v>
      </c>
      <c r="AB77" s="206">
        <f t="shared" si="35"/>
        <v>171090</v>
      </c>
    </row>
    <row r="78" spans="1:31" s="177" customFormat="1" ht="14.65" thickBot="1" x14ac:dyDescent="0.5">
      <c r="A78" s="207">
        <f t="shared" si="36"/>
        <v>4</v>
      </c>
      <c r="B78" s="193" t="s">
        <v>5</v>
      </c>
      <c r="C78" s="208">
        <f>+C10</f>
        <v>0.05</v>
      </c>
      <c r="D78" s="178"/>
      <c r="E78" s="111" t="s">
        <v>52</v>
      </c>
      <c r="F78" s="217">
        <f>(SUM(F75:F77)*G78)*(1-F73)</f>
        <v>0</v>
      </c>
      <c r="G78" s="218">
        <f>+G10</f>
        <v>0</v>
      </c>
      <c r="H78" s="178"/>
      <c r="I78" s="212">
        <f t="shared" si="37"/>
        <v>4</v>
      </c>
      <c r="J78" s="213">
        <f t="shared" si="38"/>
        <v>8303.3356933203031</v>
      </c>
      <c r="K78" s="213">
        <f t="shared" si="30"/>
        <v>36.676078140308036</v>
      </c>
      <c r="L78" s="213">
        <f t="shared" si="39"/>
        <v>-270.95198532036386</v>
      </c>
      <c r="M78" s="214">
        <f t="shared" si="28"/>
        <v>8069.0597861402475</v>
      </c>
      <c r="O78" s="212">
        <f t="shared" si="40"/>
        <v>4</v>
      </c>
      <c r="P78" s="215">
        <f t="shared" si="41"/>
        <v>1949.2638888888889</v>
      </c>
      <c r="Q78" s="201">
        <f t="shared" si="29"/>
        <v>5472.5821693754215</v>
      </c>
      <c r="R78" s="201">
        <f t="shared" si="31"/>
        <v>-270.95198532036386</v>
      </c>
      <c r="S78" s="213">
        <f t="shared" si="42"/>
        <v>0</v>
      </c>
      <c r="T78" s="213"/>
      <c r="U78" s="213">
        <f t="shared" si="43"/>
        <v>-273.62910846877111</v>
      </c>
      <c r="V78" s="201">
        <f t="shared" si="32"/>
        <v>-350.25</v>
      </c>
      <c r="W78" s="204">
        <f t="shared" si="33"/>
        <v>4577.7510755862868</v>
      </c>
      <c r="X78" s="216">
        <f t="shared" si="44"/>
        <v>18273.879302345147</v>
      </c>
      <c r="Z78" s="206">
        <f t="shared" si="45"/>
        <v>168120</v>
      </c>
      <c r="AA78" s="193">
        <f t="shared" si="34"/>
        <v>0</v>
      </c>
      <c r="AB78" s="206">
        <f t="shared" si="35"/>
        <v>168120</v>
      </c>
    </row>
    <row r="79" spans="1:31" s="177" customFormat="1" ht="14.65" thickBot="1" x14ac:dyDescent="0.5">
      <c r="A79" s="207">
        <f t="shared" si="36"/>
        <v>5</v>
      </c>
      <c r="B79" s="193" t="s">
        <v>12</v>
      </c>
      <c r="C79" s="208">
        <f>+C11</f>
        <v>0.01</v>
      </c>
      <c r="D79" s="178"/>
      <c r="E79" s="112" t="s">
        <v>28</v>
      </c>
      <c r="F79" s="219">
        <f>SUM(F75:F78)</f>
        <v>9000</v>
      </c>
      <c r="G79" s="113"/>
      <c r="H79" s="178"/>
      <c r="I79" s="212">
        <f t="shared" si="37"/>
        <v>5</v>
      </c>
      <c r="J79" s="213">
        <f t="shared" si="38"/>
        <v>8069.0597861402475</v>
      </c>
      <c r="K79" s="213">
        <f t="shared" si="30"/>
        <v>35.641274563109612</v>
      </c>
      <c r="L79" s="213">
        <f t="shared" si="39"/>
        <v>-270.95198532036386</v>
      </c>
      <c r="M79" s="214">
        <f t="shared" si="28"/>
        <v>7833.7490753829934</v>
      </c>
      <c r="O79" s="212">
        <f t="shared" si="40"/>
        <v>5</v>
      </c>
      <c r="P79" s="215">
        <f t="shared" si="41"/>
        <v>2469.3888888888887</v>
      </c>
      <c r="Q79" s="201">
        <f t="shared" si="29"/>
        <v>5472.5821693754215</v>
      </c>
      <c r="R79" s="201">
        <f t="shared" si="31"/>
        <v>-270.95198532036386</v>
      </c>
      <c r="S79" s="213">
        <f t="shared" si="42"/>
        <v>0</v>
      </c>
      <c r="T79" s="213"/>
      <c r="U79" s="213">
        <f t="shared" si="43"/>
        <v>-273.62910846877111</v>
      </c>
      <c r="V79" s="201">
        <f t="shared" si="32"/>
        <v>-344.0625</v>
      </c>
      <c r="W79" s="204">
        <f t="shared" si="33"/>
        <v>4583.9385755862868</v>
      </c>
      <c r="X79" s="216">
        <f t="shared" si="44"/>
        <v>22857.817877931433</v>
      </c>
      <c r="Z79" s="206">
        <f t="shared" si="45"/>
        <v>165150</v>
      </c>
      <c r="AA79" s="193">
        <f t="shared" si="34"/>
        <v>0</v>
      </c>
      <c r="AB79" s="206">
        <f t="shared" si="35"/>
        <v>165150</v>
      </c>
    </row>
    <row r="80" spans="1:31" s="177" customFormat="1" x14ac:dyDescent="0.45">
      <c r="A80" s="207">
        <f t="shared" si="36"/>
        <v>6</v>
      </c>
      <c r="B80" s="193" t="s">
        <v>13</v>
      </c>
      <c r="C80" s="220">
        <v>36</v>
      </c>
      <c r="D80" s="178"/>
      <c r="E80" s="178"/>
      <c r="F80" s="178"/>
      <c r="G80" s="178"/>
      <c r="H80" s="178"/>
      <c r="I80" s="212">
        <f t="shared" si="37"/>
        <v>6</v>
      </c>
      <c r="J80" s="213">
        <f t="shared" si="38"/>
        <v>7833.7490753829934</v>
      </c>
      <c r="K80" s="213">
        <f t="shared" si="30"/>
        <v>34.601900228054454</v>
      </c>
      <c r="L80" s="213">
        <f t="shared" si="39"/>
        <v>-270.95198532036386</v>
      </c>
      <c r="M80" s="214">
        <f t="shared" si="28"/>
        <v>7597.3989902906842</v>
      </c>
      <c r="O80" s="212">
        <f t="shared" si="40"/>
        <v>6</v>
      </c>
      <c r="P80" s="215">
        <f t="shared" si="41"/>
        <v>2989.5138888888887</v>
      </c>
      <c r="Q80" s="201">
        <f t="shared" si="29"/>
        <v>5472.5821693754215</v>
      </c>
      <c r="R80" s="201">
        <f t="shared" si="31"/>
        <v>-270.95198532036386</v>
      </c>
      <c r="S80" s="213">
        <f t="shared" si="42"/>
        <v>0</v>
      </c>
      <c r="T80" s="213"/>
      <c r="U80" s="213">
        <f t="shared" si="43"/>
        <v>-273.62910846877111</v>
      </c>
      <c r="V80" s="201">
        <f t="shared" si="32"/>
        <v>-337.875</v>
      </c>
      <c r="W80" s="204">
        <f t="shared" si="33"/>
        <v>4590.1260755862868</v>
      </c>
      <c r="X80" s="216">
        <f t="shared" si="44"/>
        <v>27447.943953517719</v>
      </c>
      <c r="Z80" s="206">
        <f t="shared" si="45"/>
        <v>162180</v>
      </c>
      <c r="AA80" s="193">
        <f t="shared" si="34"/>
        <v>0</v>
      </c>
      <c r="AB80" s="206">
        <f t="shared" si="35"/>
        <v>162180</v>
      </c>
    </row>
    <row r="81" spans="1:28" s="177" customFormat="1" x14ac:dyDescent="0.45">
      <c r="A81" s="207">
        <f t="shared" si="36"/>
        <v>7</v>
      </c>
      <c r="B81" s="193" t="s">
        <v>14</v>
      </c>
      <c r="C81" s="220">
        <f>+C13</f>
        <v>20000</v>
      </c>
      <c r="D81" s="178"/>
      <c r="E81" s="178"/>
      <c r="F81" s="178"/>
      <c r="G81" s="178"/>
      <c r="H81" s="178"/>
      <c r="I81" s="212">
        <f t="shared" si="37"/>
        <v>7</v>
      </c>
      <c r="J81" s="213">
        <f t="shared" si="38"/>
        <v>7597.3989902906842</v>
      </c>
      <c r="K81" s="213">
        <f t="shared" si="30"/>
        <v>33.557934945970615</v>
      </c>
      <c r="L81" s="213">
        <f t="shared" si="39"/>
        <v>-270.95198532036386</v>
      </c>
      <c r="M81" s="214">
        <f t="shared" si="28"/>
        <v>7360.0049399162908</v>
      </c>
      <c r="O81" s="212">
        <f t="shared" si="40"/>
        <v>7</v>
      </c>
      <c r="P81" s="215">
        <f t="shared" si="41"/>
        <v>3509.6388888888887</v>
      </c>
      <c r="Q81" s="201">
        <f t="shared" si="29"/>
        <v>5472.5821693754215</v>
      </c>
      <c r="R81" s="201">
        <f t="shared" si="31"/>
        <v>-270.95198532036386</v>
      </c>
      <c r="S81" s="213">
        <f t="shared" si="42"/>
        <v>0</v>
      </c>
      <c r="T81" s="213"/>
      <c r="U81" s="213">
        <f t="shared" si="43"/>
        <v>-273.62910846877111</v>
      </c>
      <c r="V81" s="201">
        <f t="shared" si="32"/>
        <v>-331.6875</v>
      </c>
      <c r="W81" s="204">
        <f t="shared" si="33"/>
        <v>4596.3135755862868</v>
      </c>
      <c r="X81" s="216">
        <f t="shared" si="44"/>
        <v>32044.257529104005</v>
      </c>
      <c r="Z81" s="206">
        <f t="shared" si="45"/>
        <v>159210</v>
      </c>
      <c r="AA81" s="193">
        <f t="shared" si="34"/>
        <v>0</v>
      </c>
      <c r="AB81" s="206">
        <f t="shared" si="35"/>
        <v>159210</v>
      </c>
    </row>
    <row r="82" spans="1:28" s="177" customFormat="1" ht="14.65" thickBot="1" x14ac:dyDescent="0.5">
      <c r="A82" s="221">
        <f t="shared" si="36"/>
        <v>8</v>
      </c>
      <c r="B82" s="222" t="s">
        <v>33</v>
      </c>
      <c r="C82" s="208">
        <v>0.7</v>
      </c>
      <c r="D82" s="178"/>
      <c r="E82" s="178"/>
      <c r="F82" s="178"/>
      <c r="G82" s="178"/>
      <c r="H82" s="178"/>
      <c r="I82" s="212">
        <f t="shared" si="37"/>
        <v>8</v>
      </c>
      <c r="J82" s="213">
        <f t="shared" si="38"/>
        <v>7360.0049399162908</v>
      </c>
      <c r="K82" s="213">
        <f t="shared" si="30"/>
        <v>32.509358438509928</v>
      </c>
      <c r="L82" s="213">
        <f t="shared" si="39"/>
        <v>-270.95198532036386</v>
      </c>
      <c r="M82" s="214">
        <f t="shared" si="28"/>
        <v>7121.5623130344366</v>
      </c>
      <c r="O82" s="212">
        <f t="shared" si="40"/>
        <v>8</v>
      </c>
      <c r="P82" s="215">
        <f t="shared" si="41"/>
        <v>4029.7638888888887</v>
      </c>
      <c r="Q82" s="201">
        <f t="shared" si="29"/>
        <v>5472.5821693754215</v>
      </c>
      <c r="R82" s="201">
        <f t="shared" si="31"/>
        <v>-270.95198532036386</v>
      </c>
      <c r="S82" s="213">
        <f t="shared" si="42"/>
        <v>0</v>
      </c>
      <c r="T82" s="213"/>
      <c r="U82" s="213">
        <f t="shared" si="43"/>
        <v>-273.62910846877111</v>
      </c>
      <c r="V82" s="201">
        <f t="shared" si="32"/>
        <v>-325.5</v>
      </c>
      <c r="W82" s="204">
        <f t="shared" si="33"/>
        <v>4602.5010755862868</v>
      </c>
      <c r="X82" s="216">
        <f t="shared" si="44"/>
        <v>36646.758604690294</v>
      </c>
      <c r="Z82" s="206">
        <f t="shared" si="45"/>
        <v>156240</v>
      </c>
      <c r="AA82" s="193">
        <f t="shared" si="34"/>
        <v>0</v>
      </c>
      <c r="AB82" s="206">
        <f t="shared" si="35"/>
        <v>156240</v>
      </c>
    </row>
    <row r="83" spans="1:28" s="177" customFormat="1" ht="14.65" thickBot="1" x14ac:dyDescent="0.5">
      <c r="C83" s="178"/>
      <c r="D83" s="178"/>
      <c r="E83" s="178"/>
      <c r="F83" s="178"/>
      <c r="G83" s="178"/>
      <c r="H83" s="178"/>
      <c r="I83" s="212">
        <f t="shared" si="37"/>
        <v>9</v>
      </c>
      <c r="J83" s="213">
        <f t="shared" si="38"/>
        <v>7121.5623130344366</v>
      </c>
      <c r="K83" s="213">
        <f t="shared" si="30"/>
        <v>31.456150337754188</v>
      </c>
      <c r="L83" s="213">
        <f t="shared" si="39"/>
        <v>-270.95198532036386</v>
      </c>
      <c r="M83" s="214">
        <f t="shared" si="28"/>
        <v>6882.0664780518273</v>
      </c>
      <c r="O83" s="212">
        <f t="shared" si="40"/>
        <v>9</v>
      </c>
      <c r="P83" s="215">
        <f t="shared" si="41"/>
        <v>4549.8888888888887</v>
      </c>
      <c r="Q83" s="201">
        <f t="shared" si="29"/>
        <v>5472.5821693754215</v>
      </c>
      <c r="R83" s="201">
        <f t="shared" si="31"/>
        <v>-270.95198532036386</v>
      </c>
      <c r="S83" s="213">
        <f t="shared" si="42"/>
        <v>0</v>
      </c>
      <c r="T83" s="213"/>
      <c r="U83" s="213">
        <f t="shared" si="43"/>
        <v>-273.62910846877111</v>
      </c>
      <c r="V83" s="201">
        <f>-(AB83*$C$9/12)</f>
        <v>-319.3125</v>
      </c>
      <c r="W83" s="204">
        <f t="shared" si="33"/>
        <v>4608.6885755862868</v>
      </c>
      <c r="X83" s="216">
        <f t="shared" si="44"/>
        <v>41255.447180276584</v>
      </c>
      <c r="Z83" s="206">
        <f t="shared" si="45"/>
        <v>153270</v>
      </c>
      <c r="AA83" s="193">
        <f t="shared" si="34"/>
        <v>0</v>
      </c>
      <c r="AB83" s="206">
        <f t="shared" si="35"/>
        <v>153270</v>
      </c>
    </row>
    <row r="84" spans="1:28" s="177" customFormat="1" ht="16.149999999999999" thickBot="1" x14ac:dyDescent="0.5">
      <c r="A84" s="717" t="s">
        <v>43</v>
      </c>
      <c r="B84" s="718"/>
      <c r="C84" s="718"/>
      <c r="D84" s="718"/>
      <c r="E84" s="719"/>
      <c r="F84" s="223"/>
      <c r="G84" s="223"/>
      <c r="H84" s="224"/>
      <c r="I84" s="212">
        <f t="shared" si="37"/>
        <v>10</v>
      </c>
      <c r="J84" s="213">
        <f t="shared" si="38"/>
        <v>6882.0664780518273</v>
      </c>
      <c r="K84" s="213">
        <f t="shared" si="30"/>
        <v>30.398290185819505</v>
      </c>
      <c r="L84" s="213">
        <f t="shared" si="39"/>
        <v>-270.95198532036386</v>
      </c>
      <c r="M84" s="214">
        <f t="shared" si="28"/>
        <v>6641.5127829172834</v>
      </c>
      <c r="O84" s="212">
        <f t="shared" si="40"/>
        <v>10</v>
      </c>
      <c r="P84" s="215">
        <f t="shared" si="41"/>
        <v>5070.0138888888887</v>
      </c>
      <c r="Q84" s="201">
        <f t="shared" si="29"/>
        <v>5472.5821693754215</v>
      </c>
      <c r="R84" s="201">
        <f t="shared" si="31"/>
        <v>-270.95198532036386</v>
      </c>
      <c r="S84" s="213">
        <f t="shared" si="42"/>
        <v>0</v>
      </c>
      <c r="T84" s="213"/>
      <c r="U84" s="213">
        <f t="shared" si="43"/>
        <v>-273.62910846877111</v>
      </c>
      <c r="V84" s="201">
        <f t="shared" ref="V84:V122" si="46">-(AB84*$C$9/12)</f>
        <v>-313.125</v>
      </c>
      <c r="W84" s="204">
        <f t="shared" si="33"/>
        <v>4614.8760755862868</v>
      </c>
      <c r="X84" s="216">
        <f t="shared" si="44"/>
        <v>45870.323255862873</v>
      </c>
      <c r="Z84" s="206">
        <f t="shared" si="45"/>
        <v>150300</v>
      </c>
      <c r="AA84" s="193">
        <f t="shared" si="34"/>
        <v>0</v>
      </c>
      <c r="AB84" s="206">
        <f t="shared" si="35"/>
        <v>150300</v>
      </c>
    </row>
    <row r="85" spans="1:28" s="177" customFormat="1" ht="14.65" thickBot="1" x14ac:dyDescent="0.5">
      <c r="A85" s="225" t="s">
        <v>44</v>
      </c>
      <c r="B85" s="226" t="s">
        <v>48</v>
      </c>
      <c r="C85" s="226" t="s">
        <v>45</v>
      </c>
      <c r="D85" s="227" t="s">
        <v>46</v>
      </c>
      <c r="E85" s="192" t="s">
        <v>47</v>
      </c>
      <c r="F85" s="223"/>
      <c r="G85" s="223"/>
      <c r="H85" s="224"/>
      <c r="I85" s="212">
        <f t="shared" si="37"/>
        <v>11</v>
      </c>
      <c r="J85" s="213">
        <f t="shared" si="38"/>
        <v>6641.5127829172834</v>
      </c>
      <c r="K85" s="213">
        <f t="shared" si="30"/>
        <v>29.335757434458895</v>
      </c>
      <c r="L85" s="213">
        <f t="shared" si="39"/>
        <v>-270.95198532036386</v>
      </c>
      <c r="M85" s="214">
        <f t="shared" si="28"/>
        <v>6399.8965550313787</v>
      </c>
      <c r="O85" s="212">
        <f t="shared" si="40"/>
        <v>11</v>
      </c>
      <c r="P85" s="215">
        <f t="shared" si="41"/>
        <v>5590.1388888888887</v>
      </c>
      <c r="Q85" s="201">
        <f t="shared" si="29"/>
        <v>5472.5821693754215</v>
      </c>
      <c r="R85" s="201">
        <f t="shared" si="31"/>
        <v>-270.95198532036386</v>
      </c>
      <c r="S85" s="213">
        <f t="shared" si="42"/>
        <v>0</v>
      </c>
      <c r="T85" s="213"/>
      <c r="U85" s="213">
        <f t="shared" si="43"/>
        <v>-273.62910846877111</v>
      </c>
      <c r="V85" s="201">
        <f t="shared" si="46"/>
        <v>-306.9375</v>
      </c>
      <c r="W85" s="204">
        <f t="shared" si="33"/>
        <v>4621.0635755862868</v>
      </c>
      <c r="X85" s="216">
        <f t="shared" si="44"/>
        <v>50491.386831449163</v>
      </c>
      <c r="Z85" s="206">
        <f t="shared" si="45"/>
        <v>147330</v>
      </c>
      <c r="AA85" s="193">
        <f t="shared" si="34"/>
        <v>0</v>
      </c>
      <c r="AB85" s="206">
        <f t="shared" si="35"/>
        <v>147330</v>
      </c>
    </row>
    <row r="86" spans="1:28" s="177" customFormat="1" x14ac:dyDescent="0.45">
      <c r="A86" s="228">
        <v>1</v>
      </c>
      <c r="B86" s="229">
        <v>12</v>
      </c>
      <c r="C86" s="230">
        <f>D$27-(D$27+D$28)*B86/60</f>
        <v>144360</v>
      </c>
      <c r="D86" s="231">
        <v>0.1</v>
      </c>
      <c r="E86" s="232">
        <f t="shared" ref="E86:E91" si="47">C86/(100%-D86)</f>
        <v>160400</v>
      </c>
      <c r="F86" s="178"/>
      <c r="G86" s="178"/>
      <c r="H86" s="178"/>
      <c r="I86" s="212">
        <f t="shared" si="37"/>
        <v>12</v>
      </c>
      <c r="J86" s="213">
        <f t="shared" si="38"/>
        <v>6399.8965550313787</v>
      </c>
      <c r="K86" s="213">
        <f t="shared" si="30"/>
        <v>28.268531444663175</v>
      </c>
      <c r="L86" s="213">
        <f t="shared" si="39"/>
        <v>-270.95198532036386</v>
      </c>
      <c r="M86" s="214">
        <f t="shared" si="28"/>
        <v>6157.2131011556785</v>
      </c>
      <c r="O86" s="212">
        <f t="shared" si="40"/>
        <v>12</v>
      </c>
      <c r="P86" s="215">
        <f t="shared" si="41"/>
        <v>6110.2638888888887</v>
      </c>
      <c r="Q86" s="201">
        <f t="shared" si="29"/>
        <v>5472.5821693754215</v>
      </c>
      <c r="R86" s="201">
        <f t="shared" si="31"/>
        <v>-270.95198532036386</v>
      </c>
      <c r="S86" s="213">
        <f t="shared" si="42"/>
        <v>0</v>
      </c>
      <c r="T86" s="213"/>
      <c r="U86" s="213">
        <f t="shared" si="43"/>
        <v>-273.62910846877111</v>
      </c>
      <c r="V86" s="201">
        <f t="shared" si="46"/>
        <v>-300.75</v>
      </c>
      <c r="W86" s="204">
        <f t="shared" si="33"/>
        <v>4627.2510755862868</v>
      </c>
      <c r="X86" s="216">
        <f t="shared" si="44"/>
        <v>55118.637907035452</v>
      </c>
      <c r="Z86" s="206">
        <f t="shared" si="45"/>
        <v>144360</v>
      </c>
      <c r="AA86" s="193">
        <f t="shared" si="34"/>
        <v>0</v>
      </c>
      <c r="AB86" s="206">
        <f t="shared" si="35"/>
        <v>144360</v>
      </c>
    </row>
    <row r="87" spans="1:28" s="177" customFormat="1" x14ac:dyDescent="0.45">
      <c r="A87" s="207">
        <f>A86+1</f>
        <v>2</v>
      </c>
      <c r="B87" s="193">
        <f>B86+12</f>
        <v>24</v>
      </c>
      <c r="C87" s="206">
        <f>D$27-(D$27+D$28)*B87/60</f>
        <v>108720</v>
      </c>
      <c r="D87" s="233">
        <f>D86</f>
        <v>0.1</v>
      </c>
      <c r="E87" s="234">
        <f t="shared" si="47"/>
        <v>120800</v>
      </c>
      <c r="F87" s="178"/>
      <c r="G87" s="178"/>
      <c r="H87" s="178"/>
      <c r="I87" s="212">
        <f t="shared" si="37"/>
        <v>13</v>
      </c>
      <c r="J87" s="213">
        <f t="shared" si="38"/>
        <v>6157.2131011556785</v>
      </c>
      <c r="K87" s="213">
        <f t="shared" si="30"/>
        <v>27.19659148626004</v>
      </c>
      <c r="L87" s="213">
        <f t="shared" si="39"/>
        <v>-270.95198532036386</v>
      </c>
      <c r="M87" s="214">
        <f t="shared" si="28"/>
        <v>5913.4577073215751</v>
      </c>
      <c r="O87" s="212">
        <f t="shared" si="40"/>
        <v>13</v>
      </c>
      <c r="P87" s="215">
        <f t="shared" si="41"/>
        <v>6630.3888888888887</v>
      </c>
      <c r="Q87" s="201">
        <f t="shared" si="29"/>
        <v>5472.5821693754215</v>
      </c>
      <c r="R87" s="201">
        <f t="shared" si="31"/>
        <v>-270.95198532036386</v>
      </c>
      <c r="S87" s="213">
        <f t="shared" si="42"/>
        <v>0</v>
      </c>
      <c r="T87" s="213"/>
      <c r="U87" s="213">
        <f t="shared" si="43"/>
        <v>-273.62910846877111</v>
      </c>
      <c r="V87" s="201">
        <f t="shared" si="46"/>
        <v>-294.5625</v>
      </c>
      <c r="W87" s="204">
        <f t="shared" si="33"/>
        <v>4633.4385755862868</v>
      </c>
      <c r="X87" s="216">
        <f t="shared" si="44"/>
        <v>59752.076482621742</v>
      </c>
      <c r="Z87" s="206">
        <f t="shared" si="45"/>
        <v>141390</v>
      </c>
      <c r="AA87" s="193">
        <f t="shared" si="34"/>
        <v>0</v>
      </c>
      <c r="AB87" s="206">
        <f t="shared" si="35"/>
        <v>141390</v>
      </c>
    </row>
    <row r="88" spans="1:28" s="177" customFormat="1" x14ac:dyDescent="0.45">
      <c r="A88" s="207">
        <f>A87+1</f>
        <v>3</v>
      </c>
      <c r="B88" s="193">
        <f>B87+12</f>
        <v>36</v>
      </c>
      <c r="C88" s="206">
        <f>D$27-(D$27+D$28)*B88/60</f>
        <v>73080</v>
      </c>
      <c r="D88" s="233">
        <f>D87</f>
        <v>0.1</v>
      </c>
      <c r="E88" s="234">
        <f t="shared" si="47"/>
        <v>81200</v>
      </c>
      <c r="F88" s="178"/>
      <c r="G88" s="178"/>
      <c r="H88" s="178"/>
      <c r="I88" s="212">
        <f t="shared" si="37"/>
        <v>14</v>
      </c>
      <c r="J88" s="213">
        <f t="shared" si="38"/>
        <v>5913.4577073215751</v>
      </c>
      <c r="K88" s="213">
        <f t="shared" si="30"/>
        <v>26.11991673751141</v>
      </c>
      <c r="L88" s="213">
        <f t="shared" si="39"/>
        <v>-270.95198532036386</v>
      </c>
      <c r="M88" s="214">
        <f t="shared" si="28"/>
        <v>5668.625638738723</v>
      </c>
      <c r="O88" s="212">
        <f t="shared" si="40"/>
        <v>14</v>
      </c>
      <c r="P88" s="215">
        <f t="shared" si="41"/>
        <v>7150.5138888888887</v>
      </c>
      <c r="Q88" s="201">
        <f t="shared" si="29"/>
        <v>5472.5821693754215</v>
      </c>
      <c r="R88" s="201">
        <f t="shared" si="31"/>
        <v>-270.95198532036386</v>
      </c>
      <c r="S88" s="213">
        <f t="shared" si="42"/>
        <v>0</v>
      </c>
      <c r="T88" s="213"/>
      <c r="U88" s="213">
        <f t="shared" si="43"/>
        <v>-273.62910846877111</v>
      </c>
      <c r="V88" s="201">
        <f t="shared" si="46"/>
        <v>-288.375</v>
      </c>
      <c r="W88" s="204">
        <f t="shared" si="33"/>
        <v>4639.6260755862868</v>
      </c>
      <c r="X88" s="216">
        <f t="shared" si="44"/>
        <v>64391.702558208031</v>
      </c>
      <c r="Z88" s="206">
        <f t="shared" si="45"/>
        <v>138420</v>
      </c>
      <c r="AA88" s="193">
        <f t="shared" si="34"/>
        <v>0</v>
      </c>
      <c r="AB88" s="206">
        <f t="shared" si="35"/>
        <v>138420</v>
      </c>
    </row>
    <row r="89" spans="1:28" s="177" customFormat="1" x14ac:dyDescent="0.45">
      <c r="A89" s="207">
        <f>A88+1</f>
        <v>4</v>
      </c>
      <c r="B89" s="193">
        <f>B88+12</f>
        <v>48</v>
      </c>
      <c r="C89" s="206">
        <f>D$27-(D$27+D$28)*B89/60</f>
        <v>37440</v>
      </c>
      <c r="D89" s="233">
        <f>D88</f>
        <v>0.1</v>
      </c>
      <c r="E89" s="234">
        <f t="shared" si="47"/>
        <v>41600</v>
      </c>
      <c r="F89" s="178"/>
      <c r="G89" s="178"/>
      <c r="H89" s="178"/>
      <c r="I89" s="212">
        <f t="shared" si="37"/>
        <v>15</v>
      </c>
      <c r="J89" s="213">
        <f t="shared" si="38"/>
        <v>5668.625638738723</v>
      </c>
      <c r="K89" s="213">
        <f t="shared" si="30"/>
        <v>25.038486284708988</v>
      </c>
      <c r="L89" s="213">
        <f t="shared" si="39"/>
        <v>-270.95198532036386</v>
      </c>
      <c r="M89" s="214">
        <f t="shared" si="28"/>
        <v>5422.7121397030678</v>
      </c>
      <c r="O89" s="212">
        <f t="shared" si="40"/>
        <v>15</v>
      </c>
      <c r="P89" s="215">
        <f t="shared" si="41"/>
        <v>7670.6388888888887</v>
      </c>
      <c r="Q89" s="201">
        <f t="shared" si="29"/>
        <v>5472.5821693754215</v>
      </c>
      <c r="R89" s="201">
        <f t="shared" si="31"/>
        <v>-270.95198532036386</v>
      </c>
      <c r="S89" s="213">
        <f t="shared" si="42"/>
        <v>0</v>
      </c>
      <c r="T89" s="213"/>
      <c r="U89" s="213">
        <f t="shared" si="43"/>
        <v>-273.62910846877111</v>
      </c>
      <c r="V89" s="201">
        <f t="shared" si="46"/>
        <v>-282.1875</v>
      </c>
      <c r="W89" s="204">
        <f t="shared" si="33"/>
        <v>4645.8135755862868</v>
      </c>
      <c r="X89" s="216">
        <f t="shared" si="44"/>
        <v>69037.516133794314</v>
      </c>
      <c r="Z89" s="206">
        <f t="shared" si="45"/>
        <v>135450</v>
      </c>
      <c r="AA89" s="193">
        <f t="shared" si="34"/>
        <v>0</v>
      </c>
      <c r="AB89" s="206">
        <f t="shared" si="35"/>
        <v>135450</v>
      </c>
    </row>
    <row r="90" spans="1:28" s="177" customFormat="1" x14ac:dyDescent="0.45">
      <c r="A90" s="207">
        <f>A89+1</f>
        <v>5</v>
      </c>
      <c r="B90" s="193">
        <f>B89+12</f>
        <v>60</v>
      </c>
      <c r="C90" s="206">
        <f>D$27-(D$27+D$28)*B90/60</f>
        <v>1800</v>
      </c>
      <c r="D90" s="233">
        <f>D89</f>
        <v>0.1</v>
      </c>
      <c r="E90" s="234">
        <f t="shared" si="47"/>
        <v>2000</v>
      </c>
      <c r="F90" s="178"/>
      <c r="G90" s="178"/>
      <c r="H90" s="178"/>
      <c r="I90" s="212">
        <f t="shared" si="37"/>
        <v>16</v>
      </c>
      <c r="J90" s="213">
        <f t="shared" si="38"/>
        <v>5422.7121397030678</v>
      </c>
      <c r="K90" s="213">
        <f t="shared" si="30"/>
        <v>23.952279121767976</v>
      </c>
      <c r="L90" s="213">
        <f t="shared" si="39"/>
        <v>-270.95198532036386</v>
      </c>
      <c r="M90" s="214">
        <f t="shared" si="28"/>
        <v>5175.7124335044718</v>
      </c>
      <c r="O90" s="212">
        <f t="shared" si="40"/>
        <v>16</v>
      </c>
      <c r="P90" s="215">
        <f t="shared" si="41"/>
        <v>8190.7638888888887</v>
      </c>
      <c r="Q90" s="201">
        <f t="shared" si="29"/>
        <v>5472.5821693754215</v>
      </c>
      <c r="R90" s="201">
        <f t="shared" si="31"/>
        <v>-270.95198532036386</v>
      </c>
      <c r="S90" s="213">
        <f t="shared" si="42"/>
        <v>0</v>
      </c>
      <c r="T90" s="213"/>
      <c r="U90" s="213">
        <f t="shared" si="43"/>
        <v>-273.62910846877111</v>
      </c>
      <c r="V90" s="201">
        <f t="shared" si="46"/>
        <v>-276</v>
      </c>
      <c r="W90" s="204">
        <f t="shared" si="33"/>
        <v>4652.0010755862868</v>
      </c>
      <c r="X90" s="216">
        <f t="shared" si="44"/>
        <v>73689.517209380603</v>
      </c>
      <c r="Z90" s="206">
        <f t="shared" si="45"/>
        <v>132480</v>
      </c>
      <c r="AA90" s="193">
        <f t="shared" si="34"/>
        <v>0</v>
      </c>
      <c r="AB90" s="206">
        <f t="shared" si="35"/>
        <v>132480</v>
      </c>
    </row>
    <row r="91" spans="1:28" s="177" customFormat="1" ht="14.65" thickBot="1" x14ac:dyDescent="0.5">
      <c r="A91" s="221">
        <f>A90+1</f>
        <v>6</v>
      </c>
      <c r="B91" s="222">
        <f>B90+12</f>
        <v>72</v>
      </c>
      <c r="C91" s="235">
        <v>1</v>
      </c>
      <c r="D91" s="236">
        <f>D90</f>
        <v>0.1</v>
      </c>
      <c r="E91" s="237">
        <f t="shared" si="47"/>
        <v>1.1111111111111112</v>
      </c>
      <c r="H91" s="178"/>
      <c r="I91" s="212">
        <f t="shared" si="37"/>
        <v>17</v>
      </c>
      <c r="J91" s="213">
        <f t="shared" si="38"/>
        <v>5175.7124335044718</v>
      </c>
      <c r="K91" s="213">
        <f t="shared" si="30"/>
        <v>22.861274149819121</v>
      </c>
      <c r="L91" s="213">
        <f t="shared" si="39"/>
        <v>-270.95198532036386</v>
      </c>
      <c r="M91" s="214">
        <f t="shared" si="28"/>
        <v>4927.6217223339272</v>
      </c>
      <c r="O91" s="212">
        <f t="shared" si="40"/>
        <v>17</v>
      </c>
      <c r="P91" s="215">
        <f t="shared" si="41"/>
        <v>8710.8888888888887</v>
      </c>
      <c r="Q91" s="201">
        <f t="shared" si="29"/>
        <v>5472.5821693754215</v>
      </c>
      <c r="R91" s="201">
        <f t="shared" si="31"/>
        <v>-270.95198532036386</v>
      </c>
      <c r="S91" s="213">
        <f t="shared" si="42"/>
        <v>0</v>
      </c>
      <c r="T91" s="213"/>
      <c r="U91" s="213">
        <f t="shared" si="43"/>
        <v>-273.62910846877111</v>
      </c>
      <c r="V91" s="201">
        <f t="shared" si="46"/>
        <v>-269.8125</v>
      </c>
      <c r="W91" s="204">
        <f t="shared" si="33"/>
        <v>4658.1885755862868</v>
      </c>
      <c r="X91" s="216">
        <f t="shared" si="44"/>
        <v>78347.705784966893</v>
      </c>
      <c r="Z91" s="206">
        <f t="shared" si="45"/>
        <v>129510</v>
      </c>
      <c r="AA91" s="193">
        <f t="shared" si="34"/>
        <v>0</v>
      </c>
      <c r="AB91" s="206">
        <f t="shared" si="35"/>
        <v>129510</v>
      </c>
    </row>
    <row r="92" spans="1:28" s="177" customFormat="1" ht="14.65" thickBot="1" x14ac:dyDescent="0.5">
      <c r="H92" s="178"/>
      <c r="I92" s="212">
        <f>I91+1</f>
        <v>18</v>
      </c>
      <c r="J92" s="213">
        <f>M91</f>
        <v>4927.6217223339272</v>
      </c>
      <c r="K92" s="213">
        <f t="shared" si="30"/>
        <v>21.765450176798826</v>
      </c>
      <c r="L92" s="213">
        <f>L91</f>
        <v>-270.95198532036386</v>
      </c>
      <c r="M92" s="214">
        <f t="shared" si="28"/>
        <v>4678.4351871903627</v>
      </c>
      <c r="O92" s="212">
        <f>O91+1</f>
        <v>18</v>
      </c>
      <c r="P92" s="215">
        <f t="shared" si="41"/>
        <v>9231.0138888888887</v>
      </c>
      <c r="Q92" s="201">
        <f t="shared" si="29"/>
        <v>5472.5821693754215</v>
      </c>
      <c r="R92" s="201">
        <f t="shared" si="31"/>
        <v>-270.95198532036386</v>
      </c>
      <c r="S92" s="213">
        <f t="shared" si="42"/>
        <v>0</v>
      </c>
      <c r="T92" s="213"/>
      <c r="U92" s="213">
        <f t="shared" si="43"/>
        <v>-273.62910846877111</v>
      </c>
      <c r="V92" s="201">
        <f t="shared" si="46"/>
        <v>-263.625</v>
      </c>
      <c r="W92" s="204">
        <f t="shared" si="33"/>
        <v>4664.3760755862868</v>
      </c>
      <c r="X92" s="216">
        <f t="shared" si="44"/>
        <v>83012.081860553182</v>
      </c>
      <c r="Z92" s="206">
        <f t="shared" si="45"/>
        <v>126540</v>
      </c>
      <c r="AA92" s="193">
        <f t="shared" si="34"/>
        <v>0</v>
      </c>
      <c r="AB92" s="206">
        <f t="shared" si="35"/>
        <v>126540</v>
      </c>
    </row>
    <row r="93" spans="1:28" s="177" customFormat="1" ht="31.15" thickBot="1" x14ac:dyDescent="0.5">
      <c r="A93" s="720" t="s">
        <v>21</v>
      </c>
      <c r="B93" s="721"/>
      <c r="C93" s="721"/>
      <c r="D93" s="721"/>
      <c r="E93" s="721"/>
      <c r="F93" s="721"/>
      <c r="G93" s="722"/>
      <c r="H93" s="178"/>
      <c r="I93" s="212">
        <f t="shared" si="37"/>
        <v>19</v>
      </c>
      <c r="J93" s="213">
        <f t="shared" ref="J93:J110" si="48">M92</f>
        <v>4678.4351871903627</v>
      </c>
      <c r="K93" s="213">
        <f t="shared" si="30"/>
        <v>20.664785917037523</v>
      </c>
      <c r="L93" s="213">
        <f t="shared" si="39"/>
        <v>-270.95198532036386</v>
      </c>
      <c r="M93" s="214">
        <f t="shared" si="28"/>
        <v>4428.1479877870361</v>
      </c>
      <c r="O93" s="212">
        <f t="shared" si="40"/>
        <v>19</v>
      </c>
      <c r="P93" s="215">
        <f t="shared" si="41"/>
        <v>9751.1388888888887</v>
      </c>
      <c r="Q93" s="201">
        <f t="shared" si="29"/>
        <v>5472.5821693754215</v>
      </c>
      <c r="R93" s="201">
        <f t="shared" si="31"/>
        <v>-270.95198532036386</v>
      </c>
      <c r="S93" s="213">
        <f t="shared" si="42"/>
        <v>0</v>
      </c>
      <c r="T93" s="213"/>
      <c r="U93" s="213">
        <f t="shared" si="43"/>
        <v>-273.62910846877111</v>
      </c>
      <c r="V93" s="201">
        <f t="shared" si="46"/>
        <v>-257.4375</v>
      </c>
      <c r="W93" s="204">
        <f t="shared" si="33"/>
        <v>4670.5635755862868</v>
      </c>
      <c r="X93" s="216">
        <f t="shared" si="44"/>
        <v>87682.645436139472</v>
      </c>
      <c r="Z93" s="206">
        <f t="shared" si="45"/>
        <v>123570</v>
      </c>
      <c r="AA93" s="193">
        <f t="shared" si="34"/>
        <v>0</v>
      </c>
      <c r="AB93" s="206">
        <f t="shared" si="35"/>
        <v>123570</v>
      </c>
    </row>
    <row r="94" spans="1:28" s="177" customFormat="1" ht="28.9" thickBot="1" x14ac:dyDescent="0.5">
      <c r="A94" s="238" t="s">
        <v>0</v>
      </c>
      <c r="B94" s="239" t="s">
        <v>1</v>
      </c>
      <c r="C94" s="240" t="s">
        <v>22</v>
      </c>
      <c r="D94" s="240" t="s">
        <v>10</v>
      </c>
      <c r="E94" s="240" t="s">
        <v>23</v>
      </c>
      <c r="F94" s="240" t="s">
        <v>24</v>
      </c>
      <c r="G94" s="241" t="s">
        <v>25</v>
      </c>
      <c r="H94" s="178"/>
      <c r="I94" s="212">
        <f t="shared" si="37"/>
        <v>20</v>
      </c>
      <c r="J94" s="213">
        <f t="shared" si="48"/>
        <v>4428.1479877870361</v>
      </c>
      <c r="K94" s="213">
        <f t="shared" si="30"/>
        <v>19.559259990846218</v>
      </c>
      <c r="L94" s="213">
        <f t="shared" si="39"/>
        <v>-270.95198532036386</v>
      </c>
      <c r="M94" s="214">
        <f t="shared" si="28"/>
        <v>4176.7552624575183</v>
      </c>
      <c r="O94" s="212">
        <f t="shared" si="40"/>
        <v>20</v>
      </c>
      <c r="P94" s="215">
        <f t="shared" si="41"/>
        <v>10271.263888888889</v>
      </c>
      <c r="Q94" s="201">
        <f t="shared" si="29"/>
        <v>5472.5821693754215</v>
      </c>
      <c r="R94" s="201">
        <f t="shared" si="31"/>
        <v>-270.95198532036386</v>
      </c>
      <c r="S94" s="213">
        <f t="shared" si="42"/>
        <v>0</v>
      </c>
      <c r="T94" s="213"/>
      <c r="U94" s="213">
        <f t="shared" si="43"/>
        <v>-273.62910846877111</v>
      </c>
      <c r="V94" s="201">
        <f t="shared" si="46"/>
        <v>-251.25</v>
      </c>
      <c r="W94" s="204">
        <f t="shared" si="33"/>
        <v>4676.7510755862868</v>
      </c>
      <c r="X94" s="216">
        <f t="shared" si="44"/>
        <v>92359.396511725761</v>
      </c>
      <c r="Z94" s="206">
        <f t="shared" si="45"/>
        <v>120600</v>
      </c>
      <c r="AA94" s="193">
        <f t="shared" si="34"/>
        <v>0</v>
      </c>
      <c r="AB94" s="206">
        <f t="shared" si="35"/>
        <v>120600</v>
      </c>
    </row>
    <row r="95" spans="1:28" s="177" customFormat="1" x14ac:dyDescent="0.45">
      <c r="A95" s="194">
        <v>1</v>
      </c>
      <c r="B95" s="195" t="s">
        <v>16</v>
      </c>
      <c r="C95" s="242">
        <v>1</v>
      </c>
      <c r="D95" s="243">
        <f>+C75*C95</f>
        <v>9000</v>
      </c>
      <c r="E95" s="244">
        <v>0.5</v>
      </c>
      <c r="F95" s="245">
        <f>E95*D95</f>
        <v>4500</v>
      </c>
      <c r="G95" s="246">
        <f>D95-F95</f>
        <v>4500</v>
      </c>
      <c r="H95" s="178"/>
      <c r="I95" s="212">
        <f t="shared" si="37"/>
        <v>21</v>
      </c>
      <c r="J95" s="213">
        <f t="shared" si="48"/>
        <v>4176.7552624575183</v>
      </c>
      <c r="K95" s="213">
        <f t="shared" si="30"/>
        <v>18.448850924101201</v>
      </c>
      <c r="L95" s="213">
        <f t="shared" si="39"/>
        <v>-270.95198532036386</v>
      </c>
      <c r="M95" s="214">
        <f t="shared" si="28"/>
        <v>3924.2521280612555</v>
      </c>
      <c r="O95" s="212">
        <f t="shared" si="40"/>
        <v>21</v>
      </c>
      <c r="P95" s="215">
        <f t="shared" si="41"/>
        <v>10791.388888888889</v>
      </c>
      <c r="Q95" s="201">
        <f t="shared" si="29"/>
        <v>5472.5821693754215</v>
      </c>
      <c r="R95" s="201">
        <f t="shared" si="31"/>
        <v>-270.95198532036386</v>
      </c>
      <c r="S95" s="213">
        <f t="shared" si="42"/>
        <v>0</v>
      </c>
      <c r="T95" s="213"/>
      <c r="U95" s="213">
        <f t="shared" si="43"/>
        <v>-273.62910846877111</v>
      </c>
      <c r="V95" s="201">
        <f t="shared" si="46"/>
        <v>-245.0625</v>
      </c>
      <c r="W95" s="204">
        <f t="shared" si="33"/>
        <v>4682.9385755862868</v>
      </c>
      <c r="X95" s="216">
        <f t="shared" si="44"/>
        <v>97042.335087312051</v>
      </c>
      <c r="Z95" s="206">
        <f t="shared" si="45"/>
        <v>117630</v>
      </c>
      <c r="AA95" s="193">
        <f t="shared" si="34"/>
        <v>0</v>
      </c>
      <c r="AB95" s="206">
        <f t="shared" si="35"/>
        <v>117630</v>
      </c>
    </row>
    <row r="96" spans="1:28" s="177" customFormat="1" x14ac:dyDescent="0.45">
      <c r="A96" s="207">
        <f>A95+1</f>
        <v>2</v>
      </c>
      <c r="B96" s="193" t="s">
        <v>12</v>
      </c>
      <c r="C96" s="247">
        <f>C79</f>
        <v>0.01</v>
      </c>
      <c r="D96" s="248">
        <f>-C96*C75</f>
        <v>-90</v>
      </c>
      <c r="E96" s="249">
        <f>E95</f>
        <v>0.5</v>
      </c>
      <c r="F96" s="213">
        <f t="shared" ref="F96:F101" si="49">E96*D96</f>
        <v>-45</v>
      </c>
      <c r="G96" s="214">
        <f>D96-F96</f>
        <v>-45</v>
      </c>
      <c r="H96" s="178"/>
      <c r="I96" s="212">
        <f t="shared" si="37"/>
        <v>22</v>
      </c>
      <c r="J96" s="213">
        <f t="shared" si="48"/>
        <v>3924.2521280612555</v>
      </c>
      <c r="K96" s="213">
        <f t="shared" si="30"/>
        <v>17.333537147826927</v>
      </c>
      <c r="L96" s="213">
        <f t="shared" si="39"/>
        <v>-270.95198532036386</v>
      </c>
      <c r="M96" s="214">
        <f t="shared" si="28"/>
        <v>3670.6336798887187</v>
      </c>
      <c r="O96" s="212">
        <f t="shared" si="40"/>
        <v>22</v>
      </c>
      <c r="P96" s="215">
        <f t="shared" si="41"/>
        <v>11311.513888888889</v>
      </c>
      <c r="Q96" s="201">
        <f t="shared" si="29"/>
        <v>5472.5821693754215</v>
      </c>
      <c r="R96" s="201">
        <f t="shared" si="31"/>
        <v>-270.95198532036386</v>
      </c>
      <c r="S96" s="213">
        <f t="shared" si="42"/>
        <v>0</v>
      </c>
      <c r="T96" s="213"/>
      <c r="U96" s="213">
        <f t="shared" si="43"/>
        <v>-273.62910846877111</v>
      </c>
      <c r="V96" s="201">
        <f t="shared" si="46"/>
        <v>-238.875</v>
      </c>
      <c r="W96" s="204">
        <f t="shared" si="33"/>
        <v>4689.1260755862868</v>
      </c>
      <c r="X96" s="216">
        <f t="shared" si="44"/>
        <v>101731.46116289834</v>
      </c>
      <c r="Z96" s="206">
        <f t="shared" si="45"/>
        <v>114660</v>
      </c>
      <c r="AA96" s="193">
        <f t="shared" si="34"/>
        <v>0</v>
      </c>
      <c r="AB96" s="206">
        <f t="shared" si="35"/>
        <v>114660</v>
      </c>
    </row>
    <row r="97" spans="1:28" s="177" customFormat="1" x14ac:dyDescent="0.45">
      <c r="A97" s="207">
        <f t="shared" ref="A97:A102" si="50">A96+1</f>
        <v>3</v>
      </c>
      <c r="B97" s="193" t="s">
        <v>17</v>
      </c>
      <c r="C97" s="250">
        <f>C76</f>
        <v>5.2999999999999999E-2</v>
      </c>
      <c r="D97" s="213">
        <f>K123</f>
        <v>754.34013484760067</v>
      </c>
      <c r="E97" s="249">
        <v>1</v>
      </c>
      <c r="F97" s="213">
        <f t="shared" si="49"/>
        <v>754.34013484760067</v>
      </c>
      <c r="G97" s="214">
        <f>D97-F97</f>
        <v>0</v>
      </c>
      <c r="H97" s="178"/>
      <c r="I97" s="212">
        <f t="shared" si="37"/>
        <v>23</v>
      </c>
      <c r="J97" s="213">
        <f t="shared" si="48"/>
        <v>3670.6336798887187</v>
      </c>
      <c r="K97" s="213">
        <f t="shared" si="30"/>
        <v>16.21329699777705</v>
      </c>
      <c r="L97" s="213">
        <f t="shared" si="39"/>
        <v>-270.95198532036386</v>
      </c>
      <c r="M97" s="214">
        <f t="shared" si="28"/>
        <v>3415.8949915661319</v>
      </c>
      <c r="O97" s="212">
        <f t="shared" si="40"/>
        <v>23</v>
      </c>
      <c r="P97" s="215">
        <f t="shared" si="41"/>
        <v>11831.638888888889</v>
      </c>
      <c r="Q97" s="201">
        <f t="shared" si="29"/>
        <v>5472.5821693754215</v>
      </c>
      <c r="R97" s="201">
        <f t="shared" si="31"/>
        <v>-270.95198532036386</v>
      </c>
      <c r="S97" s="213">
        <f t="shared" si="42"/>
        <v>0</v>
      </c>
      <c r="T97" s="213"/>
      <c r="U97" s="213">
        <f t="shared" si="43"/>
        <v>-273.62910846877111</v>
      </c>
      <c r="V97" s="201">
        <f t="shared" si="46"/>
        <v>-232.6875</v>
      </c>
      <c r="W97" s="204">
        <f t="shared" si="33"/>
        <v>4695.3135755862868</v>
      </c>
      <c r="X97" s="216">
        <f t="shared" si="44"/>
        <v>106426.77473848463</v>
      </c>
      <c r="Z97" s="206">
        <f t="shared" si="45"/>
        <v>111690</v>
      </c>
      <c r="AA97" s="193">
        <f t="shared" si="34"/>
        <v>0</v>
      </c>
      <c r="AB97" s="206">
        <f t="shared" si="35"/>
        <v>111690</v>
      </c>
    </row>
    <row r="98" spans="1:28" s="177" customFormat="1" x14ac:dyDescent="0.45">
      <c r="A98" s="207">
        <f t="shared" si="50"/>
        <v>4</v>
      </c>
      <c r="B98" s="193" t="s">
        <v>6</v>
      </c>
      <c r="C98" s="249">
        <f>C77</f>
        <v>2.5000000000000001E-2</v>
      </c>
      <c r="D98" s="213">
        <f>-V123</f>
        <v>10723.5</v>
      </c>
      <c r="E98" s="249">
        <v>1</v>
      </c>
      <c r="F98" s="213">
        <f t="shared" si="49"/>
        <v>10723.5</v>
      </c>
      <c r="G98" s="214">
        <f>D98-F98</f>
        <v>0</v>
      </c>
      <c r="H98" s="178"/>
      <c r="I98" s="212">
        <f t="shared" si="37"/>
        <v>24</v>
      </c>
      <c r="J98" s="213">
        <f t="shared" si="48"/>
        <v>3415.8949915661319</v>
      </c>
      <c r="K98" s="213">
        <f t="shared" si="30"/>
        <v>15.088108714013613</v>
      </c>
      <c r="L98" s="213">
        <f t="shared" si="39"/>
        <v>-270.95198532036386</v>
      </c>
      <c r="M98" s="214">
        <f t="shared" si="28"/>
        <v>3160.0311149597819</v>
      </c>
      <c r="O98" s="212">
        <f t="shared" si="40"/>
        <v>24</v>
      </c>
      <c r="P98" s="215">
        <f t="shared" si="41"/>
        <v>12351.763888888889</v>
      </c>
      <c r="Q98" s="201">
        <f t="shared" si="29"/>
        <v>5472.5821693754215</v>
      </c>
      <c r="R98" s="201">
        <f t="shared" si="31"/>
        <v>-270.95198532036386</v>
      </c>
      <c r="S98" s="213">
        <f t="shared" si="42"/>
        <v>0</v>
      </c>
      <c r="T98" s="213"/>
      <c r="U98" s="213">
        <f t="shared" si="43"/>
        <v>-273.62910846877111</v>
      </c>
      <c r="V98" s="201">
        <f t="shared" si="46"/>
        <v>-226.5</v>
      </c>
      <c r="W98" s="204">
        <f t="shared" si="33"/>
        <v>4701.5010755862868</v>
      </c>
      <c r="X98" s="216">
        <f t="shared" si="44"/>
        <v>111128.27581407092</v>
      </c>
      <c r="Z98" s="206">
        <f t="shared" si="45"/>
        <v>108720</v>
      </c>
      <c r="AA98" s="193">
        <f t="shared" si="34"/>
        <v>0</v>
      </c>
      <c r="AB98" s="206">
        <f t="shared" si="35"/>
        <v>108720</v>
      </c>
    </row>
    <row r="99" spans="1:28" s="177" customFormat="1" x14ac:dyDescent="0.45">
      <c r="A99" s="207">
        <f t="shared" si="50"/>
        <v>5</v>
      </c>
      <c r="B99" s="193" t="s">
        <v>27</v>
      </c>
      <c r="C99" s="247">
        <f>+C31</f>
        <v>0.5</v>
      </c>
      <c r="D99" s="251">
        <f>C99*('Summary Equip'!$J$27)*(1+'Summary Equip'!$N$3)</f>
        <v>0</v>
      </c>
      <c r="E99" s="249">
        <v>0</v>
      </c>
      <c r="F99" s="213">
        <f t="shared" si="49"/>
        <v>0</v>
      </c>
      <c r="G99" s="214">
        <f>D99</f>
        <v>0</v>
      </c>
      <c r="H99" s="178"/>
      <c r="I99" s="212">
        <f t="shared" si="37"/>
        <v>25</v>
      </c>
      <c r="J99" s="213">
        <f t="shared" si="48"/>
        <v>3160.0311149597819</v>
      </c>
      <c r="K99" s="213">
        <f t="shared" si="30"/>
        <v>13.957950440484368</v>
      </c>
      <c r="L99" s="213">
        <f t="shared" si="39"/>
        <v>-270.95198532036386</v>
      </c>
      <c r="M99" s="214">
        <f t="shared" si="28"/>
        <v>2903.0370800799024</v>
      </c>
      <c r="O99" s="212">
        <f t="shared" si="40"/>
        <v>25</v>
      </c>
      <c r="P99" s="215">
        <f t="shared" si="41"/>
        <v>12871.888888888889</v>
      </c>
      <c r="Q99" s="201">
        <f t="shared" si="29"/>
        <v>5472.5821693754215</v>
      </c>
      <c r="R99" s="201">
        <f t="shared" si="31"/>
        <v>-270.95198532036386</v>
      </c>
      <c r="S99" s="213">
        <f t="shared" si="42"/>
        <v>0</v>
      </c>
      <c r="T99" s="213"/>
      <c r="U99" s="213">
        <f t="shared" si="43"/>
        <v>-273.62910846877111</v>
      </c>
      <c r="V99" s="201">
        <f t="shared" si="46"/>
        <v>-220.3125</v>
      </c>
      <c r="W99" s="204">
        <f t="shared" si="33"/>
        <v>4707.6885755862868</v>
      </c>
      <c r="X99" s="216">
        <f t="shared" si="44"/>
        <v>115835.96438965721</v>
      </c>
      <c r="Z99" s="206">
        <f t="shared" si="45"/>
        <v>105750</v>
      </c>
      <c r="AA99" s="193">
        <f t="shared" si="34"/>
        <v>0</v>
      </c>
      <c r="AB99" s="206">
        <f t="shared" si="35"/>
        <v>105750</v>
      </c>
    </row>
    <row r="100" spans="1:28" s="177" customFormat="1" ht="28.5" x14ac:dyDescent="0.45">
      <c r="A100" s="207">
        <f t="shared" si="50"/>
        <v>6</v>
      </c>
      <c r="B100" s="193" t="s">
        <v>81</v>
      </c>
      <c r="C100" s="247">
        <f>+C32</f>
        <v>0.15</v>
      </c>
      <c r="D100" s="251">
        <f>C100*('Summary Equip'!$J$27)*(1+'Summary Equip'!$N$3)</f>
        <v>0</v>
      </c>
      <c r="E100" s="249">
        <v>0</v>
      </c>
      <c r="F100" s="213">
        <f t="shared" si="49"/>
        <v>0</v>
      </c>
      <c r="G100" s="214">
        <f>D100</f>
        <v>0</v>
      </c>
      <c r="H100" s="178"/>
      <c r="I100" s="212">
        <f t="shared" si="37"/>
        <v>26</v>
      </c>
      <c r="J100" s="213">
        <f t="shared" si="48"/>
        <v>2903.0370800799024</v>
      </c>
      <c r="K100" s="213">
        <f t="shared" si="30"/>
        <v>12.822800224598243</v>
      </c>
      <c r="L100" s="213">
        <f t="shared" si="39"/>
        <v>-270.95198532036386</v>
      </c>
      <c r="M100" s="214">
        <f t="shared" si="28"/>
        <v>2644.9078949841369</v>
      </c>
      <c r="O100" s="212">
        <f t="shared" si="40"/>
        <v>26</v>
      </c>
      <c r="P100" s="215">
        <f t="shared" si="41"/>
        <v>13392.013888888889</v>
      </c>
      <c r="Q100" s="201">
        <f t="shared" si="29"/>
        <v>5472.5821693754215</v>
      </c>
      <c r="R100" s="201">
        <f t="shared" si="31"/>
        <v>-270.95198532036386</v>
      </c>
      <c r="S100" s="213">
        <f t="shared" si="42"/>
        <v>0</v>
      </c>
      <c r="T100" s="213"/>
      <c r="U100" s="213">
        <f t="shared" si="43"/>
        <v>-273.62910846877111</v>
      </c>
      <c r="V100" s="201">
        <f t="shared" si="46"/>
        <v>-214.125</v>
      </c>
      <c r="W100" s="204">
        <f t="shared" si="33"/>
        <v>4713.8760755862868</v>
      </c>
      <c r="X100" s="216">
        <f t="shared" si="44"/>
        <v>120549.8404652435</v>
      </c>
      <c r="Z100" s="206">
        <f t="shared" si="45"/>
        <v>102780</v>
      </c>
      <c r="AA100" s="193">
        <f t="shared" si="34"/>
        <v>0</v>
      </c>
      <c r="AB100" s="206">
        <f t="shared" si="35"/>
        <v>102780</v>
      </c>
    </row>
    <row r="101" spans="1:28" s="177" customFormat="1" ht="14.65" thickBot="1" x14ac:dyDescent="0.5">
      <c r="A101" s="221">
        <f t="shared" si="50"/>
        <v>7</v>
      </c>
      <c r="B101" s="222" t="s">
        <v>32</v>
      </c>
      <c r="C101" s="247">
        <f>+C33</f>
        <v>0.03</v>
      </c>
      <c r="D101" s="251">
        <f>C101*('Summary Equip'!$J$27)*(1+'Summary Equip'!$N$3)</f>
        <v>0</v>
      </c>
      <c r="E101" s="252">
        <v>0</v>
      </c>
      <c r="F101" s="253">
        <f t="shared" si="49"/>
        <v>0</v>
      </c>
      <c r="G101" s="254">
        <f>D101</f>
        <v>0</v>
      </c>
      <c r="H101" s="178"/>
      <c r="I101" s="212">
        <f t="shared" si="37"/>
        <v>27</v>
      </c>
      <c r="J101" s="213">
        <f t="shared" si="48"/>
        <v>2644.9078949841369</v>
      </c>
      <c r="K101" s="213">
        <f t="shared" si="30"/>
        <v>11.682636016798925</v>
      </c>
      <c r="L101" s="213">
        <f t="shared" si="39"/>
        <v>-270.95198532036386</v>
      </c>
      <c r="M101" s="214">
        <f t="shared" si="28"/>
        <v>2385.638545680572</v>
      </c>
      <c r="O101" s="212">
        <f t="shared" si="40"/>
        <v>27</v>
      </c>
      <c r="P101" s="215">
        <f t="shared" si="41"/>
        <v>13912.138888888889</v>
      </c>
      <c r="Q101" s="201">
        <f t="shared" si="29"/>
        <v>5472.5821693754215</v>
      </c>
      <c r="R101" s="201">
        <f t="shared" si="31"/>
        <v>-270.95198532036386</v>
      </c>
      <c r="S101" s="213">
        <f t="shared" si="42"/>
        <v>0</v>
      </c>
      <c r="T101" s="213"/>
      <c r="U101" s="213">
        <f t="shared" si="43"/>
        <v>-273.62910846877111</v>
      </c>
      <c r="V101" s="201">
        <f t="shared" si="46"/>
        <v>-207.9375</v>
      </c>
      <c r="W101" s="204">
        <f t="shared" si="33"/>
        <v>4720.0635755862868</v>
      </c>
      <c r="X101" s="216">
        <f t="shared" si="44"/>
        <v>125269.90404082979</v>
      </c>
      <c r="Z101" s="206">
        <f t="shared" si="45"/>
        <v>99810</v>
      </c>
      <c r="AA101" s="193">
        <f t="shared" si="34"/>
        <v>0</v>
      </c>
      <c r="AB101" s="206">
        <f t="shared" si="35"/>
        <v>99810</v>
      </c>
    </row>
    <row r="102" spans="1:28" s="177" customFormat="1" ht="14.65" thickBot="1" x14ac:dyDescent="0.5">
      <c r="A102" s="255">
        <f t="shared" si="50"/>
        <v>8</v>
      </c>
      <c r="B102" s="256" t="s">
        <v>8</v>
      </c>
      <c r="C102" s="257"/>
      <c r="D102" s="258"/>
      <c r="E102" s="259"/>
      <c r="F102" s="260">
        <f>SUM(F95:F101)</f>
        <v>15932.8401348476</v>
      </c>
      <c r="G102" s="261">
        <f>SUM(G95:G101)</f>
        <v>4455</v>
      </c>
      <c r="H102" s="178"/>
      <c r="I102" s="212">
        <f t="shared" si="37"/>
        <v>28</v>
      </c>
      <c r="J102" s="213">
        <f t="shared" si="48"/>
        <v>2385.638545680572</v>
      </c>
      <c r="K102" s="213">
        <f t="shared" si="30"/>
        <v>10.537435670136563</v>
      </c>
      <c r="L102" s="213">
        <f t="shared" si="39"/>
        <v>-270.95198532036386</v>
      </c>
      <c r="M102" s="214">
        <f t="shared" si="28"/>
        <v>2125.2239960303446</v>
      </c>
      <c r="O102" s="212">
        <f t="shared" si="40"/>
        <v>28</v>
      </c>
      <c r="P102" s="215">
        <f t="shared" si="41"/>
        <v>14432.263888888889</v>
      </c>
      <c r="Q102" s="201">
        <f t="shared" si="29"/>
        <v>5472.5821693754215</v>
      </c>
      <c r="R102" s="201">
        <f t="shared" si="31"/>
        <v>-270.95198532036386</v>
      </c>
      <c r="S102" s="213">
        <f t="shared" si="42"/>
        <v>0</v>
      </c>
      <c r="T102" s="213"/>
      <c r="U102" s="213">
        <f t="shared" si="43"/>
        <v>-273.62910846877111</v>
      </c>
      <c r="V102" s="201">
        <f t="shared" si="46"/>
        <v>-201.75</v>
      </c>
      <c r="W102" s="204">
        <f t="shared" si="33"/>
        <v>4726.2510755862868</v>
      </c>
      <c r="X102" s="216">
        <f t="shared" si="44"/>
        <v>129996.15511641608</v>
      </c>
      <c r="Z102" s="206">
        <f t="shared" si="45"/>
        <v>96840</v>
      </c>
      <c r="AA102" s="193">
        <f t="shared" si="34"/>
        <v>0</v>
      </c>
      <c r="AB102" s="206">
        <f t="shared" si="35"/>
        <v>96840</v>
      </c>
    </row>
    <row r="103" spans="1:28" s="177" customFormat="1" ht="14.65" thickBot="1" x14ac:dyDescent="0.5">
      <c r="A103" s="262">
        <f>A102+1</f>
        <v>9</v>
      </c>
      <c r="B103" s="263" t="s">
        <v>7</v>
      </c>
      <c r="C103" s="264">
        <f>+C35</f>
        <v>0.05</v>
      </c>
      <c r="D103" s="265"/>
      <c r="E103" s="266"/>
      <c r="F103" s="267">
        <f>F104-F102</f>
        <v>838.57053341303254</v>
      </c>
      <c r="G103" s="268">
        <f>G104-G102</f>
        <v>234.4736842105267</v>
      </c>
      <c r="H103" s="178"/>
      <c r="I103" s="212">
        <f t="shared" si="37"/>
        <v>29</v>
      </c>
      <c r="J103" s="213">
        <f t="shared" si="48"/>
        <v>2125.2239960303446</v>
      </c>
      <c r="K103" s="213">
        <f t="shared" si="30"/>
        <v>9.3871769398375786</v>
      </c>
      <c r="L103" s="213">
        <f t="shared" si="39"/>
        <v>-270.95198532036386</v>
      </c>
      <c r="M103" s="214">
        <f t="shared" si="28"/>
        <v>1863.6591876498183</v>
      </c>
      <c r="O103" s="212">
        <f t="shared" si="40"/>
        <v>29</v>
      </c>
      <c r="P103" s="215">
        <f t="shared" si="41"/>
        <v>14952.388888888889</v>
      </c>
      <c r="Q103" s="201">
        <f t="shared" si="29"/>
        <v>5472.5821693754215</v>
      </c>
      <c r="R103" s="201">
        <f t="shared" si="31"/>
        <v>-270.95198532036386</v>
      </c>
      <c r="S103" s="213">
        <f t="shared" si="42"/>
        <v>0</v>
      </c>
      <c r="T103" s="213"/>
      <c r="U103" s="213">
        <f t="shared" si="43"/>
        <v>-273.62910846877111</v>
      </c>
      <c r="V103" s="201">
        <f t="shared" si="46"/>
        <v>-195.5625</v>
      </c>
      <c r="W103" s="204">
        <f t="shared" si="33"/>
        <v>4732.4385755862868</v>
      </c>
      <c r="X103" s="216">
        <f t="shared" si="44"/>
        <v>134728.59369200235</v>
      </c>
      <c r="Z103" s="206">
        <f t="shared" si="45"/>
        <v>93870</v>
      </c>
      <c r="AA103" s="193">
        <f t="shared" si="34"/>
        <v>0</v>
      </c>
      <c r="AB103" s="206">
        <f t="shared" si="35"/>
        <v>93870</v>
      </c>
    </row>
    <row r="104" spans="1:28" s="177" customFormat="1" ht="14.65" thickBot="1" x14ac:dyDescent="0.5">
      <c r="A104" s="269">
        <f>A103+1</f>
        <v>10</v>
      </c>
      <c r="B104" s="270" t="s">
        <v>28</v>
      </c>
      <c r="C104" s="271"/>
      <c r="D104" s="272"/>
      <c r="E104" s="273"/>
      <c r="F104" s="274">
        <f>F102/(100%-C103)</f>
        <v>16771.410668260633</v>
      </c>
      <c r="G104" s="275">
        <f>G102/(100%-C103)</f>
        <v>4689.4736842105267</v>
      </c>
      <c r="H104" s="178"/>
      <c r="I104" s="212">
        <f t="shared" si="37"/>
        <v>30</v>
      </c>
      <c r="J104" s="213">
        <f t="shared" si="48"/>
        <v>1863.6591876498183</v>
      </c>
      <c r="K104" s="213">
        <f t="shared" si="30"/>
        <v>8.2318374828725673</v>
      </c>
      <c r="L104" s="213">
        <f t="shared" si="39"/>
        <v>-270.95198532036386</v>
      </c>
      <c r="M104" s="214">
        <f t="shared" si="28"/>
        <v>1600.9390398123269</v>
      </c>
      <c r="O104" s="212">
        <f t="shared" si="40"/>
        <v>30</v>
      </c>
      <c r="P104" s="215">
        <f t="shared" si="41"/>
        <v>15472.513888888889</v>
      </c>
      <c r="Q104" s="201">
        <f t="shared" si="29"/>
        <v>5472.5821693754215</v>
      </c>
      <c r="R104" s="201">
        <f t="shared" si="31"/>
        <v>-270.95198532036386</v>
      </c>
      <c r="S104" s="213">
        <f t="shared" si="42"/>
        <v>0</v>
      </c>
      <c r="T104" s="213">
        <f>-T124*0.5</f>
        <v>0</v>
      </c>
      <c r="U104" s="213">
        <f t="shared" si="43"/>
        <v>-273.62910846877111</v>
      </c>
      <c r="V104" s="201">
        <f t="shared" si="46"/>
        <v>-189.375</v>
      </c>
      <c r="W104" s="204">
        <f t="shared" si="33"/>
        <v>4738.6260755862868</v>
      </c>
      <c r="X104" s="216">
        <f t="shared" si="44"/>
        <v>139467.21976758863</v>
      </c>
      <c r="Z104" s="206">
        <f t="shared" si="45"/>
        <v>90900</v>
      </c>
      <c r="AA104" s="193">
        <f t="shared" si="34"/>
        <v>0</v>
      </c>
      <c r="AB104" s="206">
        <f t="shared" si="35"/>
        <v>90900</v>
      </c>
    </row>
    <row r="105" spans="1:28" s="177" customFormat="1" x14ac:dyDescent="0.45">
      <c r="C105" s="178"/>
      <c r="D105" s="178"/>
      <c r="E105" s="178"/>
      <c r="F105" s="178"/>
      <c r="G105" s="178"/>
      <c r="H105" s="178"/>
      <c r="I105" s="212">
        <f t="shared" si="37"/>
        <v>31</v>
      </c>
      <c r="J105" s="213">
        <f t="shared" si="48"/>
        <v>1600.9390398123269</v>
      </c>
      <c r="K105" s="213">
        <f t="shared" si="30"/>
        <v>7.071394857522308</v>
      </c>
      <c r="L105" s="213">
        <f t="shared" si="39"/>
        <v>-270.95198532036386</v>
      </c>
      <c r="M105" s="214">
        <f t="shared" si="28"/>
        <v>1337.0584493494853</v>
      </c>
      <c r="O105" s="212">
        <f t="shared" si="40"/>
        <v>31</v>
      </c>
      <c r="P105" s="215">
        <f t="shared" si="41"/>
        <v>15992.638888888889</v>
      </c>
      <c r="Q105" s="201">
        <f t="shared" si="29"/>
        <v>5472.5821693754215</v>
      </c>
      <c r="R105" s="201">
        <f t="shared" si="31"/>
        <v>-270.95198532036386</v>
      </c>
      <c r="S105" s="213">
        <f t="shared" si="42"/>
        <v>0</v>
      </c>
      <c r="T105" s="213"/>
      <c r="U105" s="213">
        <f t="shared" si="43"/>
        <v>-273.62910846877111</v>
      </c>
      <c r="V105" s="201">
        <f t="shared" si="46"/>
        <v>-183.1875</v>
      </c>
      <c r="W105" s="204">
        <f t="shared" si="33"/>
        <v>4744.8135755862868</v>
      </c>
      <c r="X105" s="216">
        <f t="shared" si="44"/>
        <v>144212.0333431749</v>
      </c>
      <c r="Z105" s="206">
        <f t="shared" si="45"/>
        <v>87930</v>
      </c>
      <c r="AA105" s="193">
        <f t="shared" si="34"/>
        <v>0</v>
      </c>
      <c r="AB105" s="206">
        <f t="shared" si="35"/>
        <v>87930</v>
      </c>
    </row>
    <row r="106" spans="1:28" s="177" customFormat="1" x14ac:dyDescent="0.45">
      <c r="C106" s="178"/>
      <c r="D106" s="178"/>
      <c r="E106" s="178"/>
      <c r="F106" s="178"/>
      <c r="G106" s="178"/>
      <c r="H106" s="178"/>
      <c r="I106" s="212">
        <f t="shared" si="37"/>
        <v>32</v>
      </c>
      <c r="J106" s="213">
        <f t="shared" si="48"/>
        <v>1337.0584493494853</v>
      </c>
      <c r="K106" s="213">
        <f t="shared" si="30"/>
        <v>5.9058265229418518</v>
      </c>
      <c r="L106" s="213">
        <f t="shared" si="39"/>
        <v>-270.95198532036386</v>
      </c>
      <c r="M106" s="214">
        <f t="shared" si="28"/>
        <v>1072.0122905520634</v>
      </c>
      <c r="O106" s="212">
        <f t="shared" si="40"/>
        <v>32</v>
      </c>
      <c r="P106" s="215">
        <f t="shared" si="41"/>
        <v>16512.763888888891</v>
      </c>
      <c r="Q106" s="201">
        <f t="shared" si="29"/>
        <v>5472.5821693754215</v>
      </c>
      <c r="R106" s="201">
        <f t="shared" si="31"/>
        <v>-270.95198532036386</v>
      </c>
      <c r="S106" s="213">
        <f t="shared" si="42"/>
        <v>0</v>
      </c>
      <c r="T106" s="213"/>
      <c r="U106" s="213">
        <f t="shared" si="43"/>
        <v>-273.62910846877111</v>
      </c>
      <c r="V106" s="201">
        <f t="shared" si="46"/>
        <v>-177</v>
      </c>
      <c r="W106" s="204">
        <f t="shared" si="33"/>
        <v>4751.0010755862868</v>
      </c>
      <c r="X106" s="216">
        <f t="shared" si="44"/>
        <v>148963.03441876118</v>
      </c>
      <c r="Z106" s="206">
        <f t="shared" si="45"/>
        <v>84960</v>
      </c>
      <c r="AA106" s="193">
        <f t="shared" si="34"/>
        <v>0</v>
      </c>
      <c r="AB106" s="206">
        <f t="shared" si="35"/>
        <v>84960</v>
      </c>
    </row>
    <row r="107" spans="1:28" s="177" customFormat="1" x14ac:dyDescent="0.45">
      <c r="C107" s="178"/>
      <c r="D107" s="178"/>
      <c r="E107" s="178"/>
      <c r="F107" s="178"/>
      <c r="G107" s="178"/>
      <c r="H107" s="178"/>
      <c r="I107" s="212">
        <f t="shared" si="37"/>
        <v>33</v>
      </c>
      <c r="J107" s="213">
        <f t="shared" si="48"/>
        <v>1072.0122905520634</v>
      </c>
      <c r="K107" s="213">
        <f t="shared" si="30"/>
        <v>4.7351098387226696</v>
      </c>
      <c r="L107" s="213">
        <f t="shared" si="39"/>
        <v>-270.95198532036386</v>
      </c>
      <c r="M107" s="214">
        <f t="shared" si="28"/>
        <v>805.79541507042211</v>
      </c>
      <c r="O107" s="212">
        <f t="shared" si="40"/>
        <v>33</v>
      </c>
      <c r="P107" s="215">
        <f t="shared" si="41"/>
        <v>17032.888888888891</v>
      </c>
      <c r="Q107" s="201">
        <f t="shared" si="29"/>
        <v>5472.5821693754215</v>
      </c>
      <c r="R107" s="201">
        <f t="shared" si="31"/>
        <v>-270.95198532036386</v>
      </c>
      <c r="S107" s="213">
        <f t="shared" si="42"/>
        <v>0</v>
      </c>
      <c r="T107" s="213"/>
      <c r="U107" s="213">
        <f t="shared" si="43"/>
        <v>-273.62910846877111</v>
      </c>
      <c r="V107" s="201">
        <f t="shared" si="46"/>
        <v>-170.8125</v>
      </c>
      <c r="W107" s="204">
        <f t="shared" si="33"/>
        <v>4757.1885755862868</v>
      </c>
      <c r="X107" s="216">
        <f t="shared" si="44"/>
        <v>153720.22299434745</v>
      </c>
      <c r="Z107" s="206">
        <f t="shared" si="45"/>
        <v>81990</v>
      </c>
      <c r="AA107" s="193">
        <f t="shared" si="34"/>
        <v>0</v>
      </c>
      <c r="AB107" s="206">
        <f t="shared" si="35"/>
        <v>81990</v>
      </c>
    </row>
    <row r="108" spans="1:28" s="177" customFormat="1" ht="14.65" thickBot="1" x14ac:dyDescent="0.5">
      <c r="C108" s="178"/>
      <c r="D108" s="178"/>
      <c r="E108" s="178"/>
      <c r="F108" s="178"/>
      <c r="G108" s="178"/>
      <c r="H108" s="178"/>
      <c r="I108" s="212">
        <f t="shared" si="37"/>
        <v>34</v>
      </c>
      <c r="J108" s="213">
        <f t="shared" si="48"/>
        <v>805.79541507042211</v>
      </c>
      <c r="K108" s="213">
        <f t="shared" si="30"/>
        <v>3.5592220644528774</v>
      </c>
      <c r="L108" s="213">
        <f t="shared" si="39"/>
        <v>-270.95198532036386</v>
      </c>
      <c r="M108" s="214">
        <f t="shared" si="28"/>
        <v>538.40265181451116</v>
      </c>
      <c r="O108" s="212">
        <f t="shared" si="40"/>
        <v>34</v>
      </c>
      <c r="P108" s="215">
        <f t="shared" si="41"/>
        <v>17553.013888888891</v>
      </c>
      <c r="Q108" s="201">
        <f t="shared" si="29"/>
        <v>5472.5821693754215</v>
      </c>
      <c r="R108" s="201">
        <f t="shared" si="31"/>
        <v>-270.95198532036386</v>
      </c>
      <c r="S108" s="213">
        <f t="shared" si="42"/>
        <v>0</v>
      </c>
      <c r="T108" s="213"/>
      <c r="U108" s="213">
        <f t="shared" si="43"/>
        <v>-273.62910846877111</v>
      </c>
      <c r="V108" s="201">
        <f t="shared" si="46"/>
        <v>-164.625</v>
      </c>
      <c r="W108" s="204">
        <f t="shared" si="33"/>
        <v>4763.3760755862868</v>
      </c>
      <c r="X108" s="216">
        <f t="shared" si="44"/>
        <v>158483.59906993373</v>
      </c>
      <c r="Z108" s="206">
        <f t="shared" si="45"/>
        <v>79020</v>
      </c>
      <c r="AA108" s="193">
        <f t="shared" si="34"/>
        <v>0</v>
      </c>
      <c r="AB108" s="206">
        <f t="shared" si="35"/>
        <v>79020</v>
      </c>
    </row>
    <row r="109" spans="1:28" s="177" customFormat="1" ht="31.15" thickBot="1" x14ac:dyDescent="0.5">
      <c r="A109" s="723" t="s">
        <v>29</v>
      </c>
      <c r="B109" s="724"/>
      <c r="C109" s="724"/>
      <c r="D109" s="724"/>
      <c r="E109" s="724"/>
      <c r="F109" s="724"/>
      <c r="G109" s="725"/>
      <c r="H109" s="178"/>
      <c r="I109" s="212">
        <f t="shared" si="37"/>
        <v>35</v>
      </c>
      <c r="J109" s="213">
        <f t="shared" si="48"/>
        <v>538.40265181451116</v>
      </c>
      <c r="K109" s="213">
        <f t="shared" si="30"/>
        <v>2.3781403592755299</v>
      </c>
      <c r="L109" s="213">
        <f t="shared" si="39"/>
        <v>-270.95198532036386</v>
      </c>
      <c r="M109" s="214">
        <f t="shared" si="28"/>
        <v>269.82880685342286</v>
      </c>
      <c r="O109" s="212">
        <f t="shared" si="40"/>
        <v>35</v>
      </c>
      <c r="P109" s="215">
        <f t="shared" si="41"/>
        <v>18073.138888888891</v>
      </c>
      <c r="Q109" s="201">
        <f t="shared" si="29"/>
        <v>5472.5821693754215</v>
      </c>
      <c r="R109" s="201">
        <f t="shared" si="31"/>
        <v>-270.95198532036386</v>
      </c>
      <c r="S109" s="213">
        <f t="shared" si="42"/>
        <v>0</v>
      </c>
      <c r="T109" s="213"/>
      <c r="U109" s="213">
        <f t="shared" si="43"/>
        <v>-273.62910846877111</v>
      </c>
      <c r="V109" s="201">
        <f t="shared" si="46"/>
        <v>-158.4375</v>
      </c>
      <c r="W109" s="204">
        <f t="shared" si="33"/>
        <v>4769.5635755862868</v>
      </c>
      <c r="X109" s="216">
        <f t="shared" si="44"/>
        <v>163253.16264552</v>
      </c>
      <c r="Z109" s="206">
        <f t="shared" si="45"/>
        <v>76050</v>
      </c>
      <c r="AA109" s="193">
        <f t="shared" si="34"/>
        <v>0</v>
      </c>
      <c r="AB109" s="206">
        <f t="shared" si="35"/>
        <v>76050</v>
      </c>
    </row>
    <row r="110" spans="1:28" s="177" customFormat="1" ht="18" x14ac:dyDescent="0.45">
      <c r="A110" s="276">
        <v>1</v>
      </c>
      <c r="B110" s="702" t="s">
        <v>30</v>
      </c>
      <c r="C110" s="703"/>
      <c r="D110" s="703"/>
      <c r="E110" s="704"/>
      <c r="F110" s="277">
        <f>F104/C80/C82</f>
        <v>665.53216937542197</v>
      </c>
      <c r="G110" s="278">
        <f>G104/C81/C82</f>
        <v>0.33496240601503763</v>
      </c>
      <c r="H110" s="178"/>
      <c r="I110" s="279">
        <f t="shared" si="37"/>
        <v>36</v>
      </c>
      <c r="J110" s="280">
        <f t="shared" si="48"/>
        <v>269.82880685342286</v>
      </c>
      <c r="K110" s="280">
        <f t="shared" si="30"/>
        <v>1.1918417814449396</v>
      </c>
      <c r="L110" s="280">
        <f>L109</f>
        <v>-270.95198532036386</v>
      </c>
      <c r="M110" s="281">
        <f t="shared" si="28"/>
        <v>6.8663314503965012E-2</v>
      </c>
      <c r="O110" s="279">
        <f t="shared" si="40"/>
        <v>36</v>
      </c>
      <c r="P110" s="215">
        <f t="shared" si="41"/>
        <v>18593.263888888891</v>
      </c>
      <c r="Q110" s="201">
        <f t="shared" si="29"/>
        <v>5472.5821693754215</v>
      </c>
      <c r="R110" s="201">
        <f t="shared" si="31"/>
        <v>-270.95198532036386</v>
      </c>
      <c r="S110" s="213">
        <f t="shared" si="42"/>
        <v>0</v>
      </c>
      <c r="T110" s="213"/>
      <c r="U110" s="213">
        <f t="shared" si="43"/>
        <v>-273.62910846877111</v>
      </c>
      <c r="V110" s="201">
        <f t="shared" si="46"/>
        <v>-152.25</v>
      </c>
      <c r="W110" s="204">
        <f t="shared" si="33"/>
        <v>4775.7510755862868</v>
      </c>
      <c r="X110" s="216">
        <f t="shared" si="44"/>
        <v>168028.91372110628</v>
      </c>
      <c r="Z110" s="206">
        <f t="shared" si="45"/>
        <v>73080</v>
      </c>
      <c r="AA110" s="193">
        <f t="shared" si="34"/>
        <v>0</v>
      </c>
      <c r="AB110" s="206">
        <f t="shared" si="35"/>
        <v>73080</v>
      </c>
    </row>
    <row r="111" spans="1:28" s="177" customFormat="1" ht="18.399999999999999" thickBot="1" x14ac:dyDescent="0.5">
      <c r="A111" s="282">
        <f>A110+1</f>
        <v>2</v>
      </c>
      <c r="B111" s="705" t="s">
        <v>31</v>
      </c>
      <c r="C111" s="706"/>
      <c r="D111" s="706"/>
      <c r="E111" s="707"/>
      <c r="F111" s="283"/>
      <c r="G111" s="284">
        <f>(G104+F104)/C81/C82</f>
        <v>1.5329203108907972</v>
      </c>
      <c r="H111" s="178"/>
      <c r="I111" s="279">
        <f t="shared" si="37"/>
        <v>37</v>
      </c>
      <c r="J111" s="280"/>
      <c r="K111" s="280"/>
      <c r="L111" s="280"/>
      <c r="M111" s="281">
        <f t="shared" si="28"/>
        <v>0</v>
      </c>
      <c r="O111" s="279">
        <f t="shared" si="40"/>
        <v>37</v>
      </c>
      <c r="P111" s="215">
        <f t="shared" si="41"/>
        <v>19113.388888888891</v>
      </c>
      <c r="Q111" s="213">
        <f t="shared" ref="Q111:Q122" si="51">$F$42+($Q$4*$G$42)</f>
        <v>8490.9713531108719</v>
      </c>
      <c r="R111" s="201">
        <f t="shared" si="31"/>
        <v>0</v>
      </c>
      <c r="S111" s="213">
        <f t="shared" si="42"/>
        <v>0</v>
      </c>
      <c r="T111" s="213"/>
      <c r="U111" s="213">
        <f t="shared" si="43"/>
        <v>-273.62910846877111</v>
      </c>
      <c r="V111" s="201">
        <f t="shared" si="46"/>
        <v>-146.0625</v>
      </c>
      <c r="W111" s="204">
        <f t="shared" si="33"/>
        <v>8071.2797446421009</v>
      </c>
      <c r="X111" s="216">
        <f t="shared" si="44"/>
        <v>176100.19346574837</v>
      </c>
      <c r="Z111" s="206">
        <f t="shared" si="45"/>
        <v>70110</v>
      </c>
      <c r="AA111" s="193">
        <f t="shared" si="34"/>
        <v>0</v>
      </c>
      <c r="AB111" s="206">
        <f t="shared" si="35"/>
        <v>70110</v>
      </c>
    </row>
    <row r="112" spans="1:28" s="177" customFormat="1" x14ac:dyDescent="0.45">
      <c r="I112" s="279">
        <f t="shared" si="37"/>
        <v>38</v>
      </c>
      <c r="J112" s="280"/>
      <c r="K112" s="280"/>
      <c r="L112" s="280"/>
      <c r="M112" s="281">
        <f t="shared" si="28"/>
        <v>0</v>
      </c>
      <c r="O112" s="279">
        <f t="shared" si="40"/>
        <v>38</v>
      </c>
      <c r="P112" s="215">
        <f t="shared" si="41"/>
        <v>19633.513888888891</v>
      </c>
      <c r="Q112" s="213">
        <f t="shared" si="51"/>
        <v>8490.9713531108719</v>
      </c>
      <c r="R112" s="201">
        <f t="shared" si="31"/>
        <v>0</v>
      </c>
      <c r="S112" s="213">
        <f t="shared" si="42"/>
        <v>0</v>
      </c>
      <c r="T112" s="213"/>
      <c r="U112" s="213">
        <f t="shared" si="43"/>
        <v>-273.62910846877111</v>
      </c>
      <c r="V112" s="201">
        <f t="shared" si="46"/>
        <v>-139.875</v>
      </c>
      <c r="W112" s="204">
        <f t="shared" si="33"/>
        <v>8077.4672446421009</v>
      </c>
      <c r="X112" s="216">
        <f t="shared" si="44"/>
        <v>184177.66071039045</v>
      </c>
      <c r="Z112" s="206">
        <f t="shared" si="45"/>
        <v>67140</v>
      </c>
      <c r="AA112" s="193">
        <f t="shared" si="34"/>
        <v>0</v>
      </c>
      <c r="AB112" s="206">
        <f t="shared" si="35"/>
        <v>67140</v>
      </c>
    </row>
    <row r="113" spans="9:28" s="177" customFormat="1" x14ac:dyDescent="0.45">
      <c r="I113" s="279">
        <f t="shared" si="37"/>
        <v>39</v>
      </c>
      <c r="J113" s="280"/>
      <c r="K113" s="280"/>
      <c r="L113" s="280"/>
      <c r="M113" s="281">
        <f t="shared" si="28"/>
        <v>0</v>
      </c>
      <c r="O113" s="279">
        <f t="shared" si="40"/>
        <v>39</v>
      </c>
      <c r="P113" s="215">
        <f t="shared" si="41"/>
        <v>20153.638888888891</v>
      </c>
      <c r="Q113" s="213">
        <f t="shared" si="51"/>
        <v>8490.9713531108719</v>
      </c>
      <c r="R113" s="201">
        <f t="shared" si="31"/>
        <v>0</v>
      </c>
      <c r="S113" s="213">
        <f t="shared" si="42"/>
        <v>0</v>
      </c>
      <c r="T113" s="213"/>
      <c r="U113" s="213">
        <f t="shared" si="43"/>
        <v>-273.62910846877111</v>
      </c>
      <c r="V113" s="201">
        <f t="shared" si="46"/>
        <v>-133.6875</v>
      </c>
      <c r="W113" s="204">
        <f t="shared" si="33"/>
        <v>8083.6547446421009</v>
      </c>
      <c r="X113" s="216">
        <f t="shared" si="44"/>
        <v>192261.31545503254</v>
      </c>
      <c r="Z113" s="206">
        <f t="shared" si="45"/>
        <v>64170</v>
      </c>
      <c r="AA113" s="193">
        <f t="shared" si="34"/>
        <v>0</v>
      </c>
      <c r="AB113" s="206">
        <f t="shared" si="35"/>
        <v>64170</v>
      </c>
    </row>
    <row r="114" spans="9:28" s="177" customFormat="1" x14ac:dyDescent="0.45">
      <c r="I114" s="279">
        <f t="shared" si="37"/>
        <v>40</v>
      </c>
      <c r="J114" s="280"/>
      <c r="K114" s="280"/>
      <c r="L114" s="280"/>
      <c r="M114" s="281">
        <f t="shared" si="28"/>
        <v>0</v>
      </c>
      <c r="O114" s="279">
        <f t="shared" si="40"/>
        <v>40</v>
      </c>
      <c r="P114" s="215">
        <f t="shared" si="41"/>
        <v>20673.763888888891</v>
      </c>
      <c r="Q114" s="213">
        <f t="shared" si="51"/>
        <v>8490.9713531108719</v>
      </c>
      <c r="R114" s="201">
        <f t="shared" si="31"/>
        <v>0</v>
      </c>
      <c r="S114" s="213">
        <f t="shared" si="42"/>
        <v>0</v>
      </c>
      <c r="T114" s="213"/>
      <c r="U114" s="213">
        <f t="shared" si="43"/>
        <v>-273.62910846877111</v>
      </c>
      <c r="V114" s="201">
        <f t="shared" si="46"/>
        <v>-127.5</v>
      </c>
      <c r="W114" s="204">
        <f t="shared" si="33"/>
        <v>8089.8422446421009</v>
      </c>
      <c r="X114" s="216">
        <f t="shared" si="44"/>
        <v>200351.15769967463</v>
      </c>
      <c r="Z114" s="206">
        <f t="shared" si="45"/>
        <v>61200</v>
      </c>
      <c r="AA114" s="193">
        <f t="shared" si="34"/>
        <v>0</v>
      </c>
      <c r="AB114" s="206">
        <f t="shared" si="35"/>
        <v>61200</v>
      </c>
    </row>
    <row r="115" spans="9:28" s="177" customFormat="1" x14ac:dyDescent="0.45">
      <c r="I115" s="279">
        <f t="shared" si="37"/>
        <v>41</v>
      </c>
      <c r="J115" s="280"/>
      <c r="K115" s="280"/>
      <c r="L115" s="280"/>
      <c r="M115" s="281">
        <f t="shared" si="28"/>
        <v>0</v>
      </c>
      <c r="O115" s="279">
        <f t="shared" si="40"/>
        <v>41</v>
      </c>
      <c r="P115" s="215">
        <f t="shared" si="41"/>
        <v>21193.888888888891</v>
      </c>
      <c r="Q115" s="213">
        <f t="shared" si="51"/>
        <v>8490.9713531108719</v>
      </c>
      <c r="R115" s="201">
        <f t="shared" si="31"/>
        <v>0</v>
      </c>
      <c r="S115" s="213">
        <f t="shared" si="42"/>
        <v>0</v>
      </c>
      <c r="T115" s="213"/>
      <c r="U115" s="213">
        <f t="shared" si="43"/>
        <v>-273.62910846877111</v>
      </c>
      <c r="V115" s="201">
        <f t="shared" si="46"/>
        <v>-121.3125</v>
      </c>
      <c r="W115" s="204">
        <f t="shared" si="33"/>
        <v>8096.0297446421009</v>
      </c>
      <c r="X115" s="216">
        <f t="shared" si="44"/>
        <v>208447.18744431672</v>
      </c>
      <c r="Z115" s="206">
        <f t="shared" si="45"/>
        <v>58230</v>
      </c>
      <c r="AA115" s="193">
        <f t="shared" si="34"/>
        <v>0</v>
      </c>
      <c r="AB115" s="206">
        <f t="shared" si="35"/>
        <v>58230</v>
      </c>
    </row>
    <row r="116" spans="9:28" s="177" customFormat="1" x14ac:dyDescent="0.45">
      <c r="I116" s="279">
        <f t="shared" si="37"/>
        <v>42</v>
      </c>
      <c r="J116" s="280"/>
      <c r="K116" s="280"/>
      <c r="L116" s="280"/>
      <c r="M116" s="281">
        <f t="shared" si="28"/>
        <v>0</v>
      </c>
      <c r="O116" s="279">
        <f t="shared" si="40"/>
        <v>42</v>
      </c>
      <c r="P116" s="215">
        <f t="shared" si="41"/>
        <v>21714.013888888891</v>
      </c>
      <c r="Q116" s="213">
        <f t="shared" si="51"/>
        <v>8490.9713531108719</v>
      </c>
      <c r="R116" s="201">
        <f t="shared" si="31"/>
        <v>0</v>
      </c>
      <c r="S116" s="213">
        <f t="shared" si="42"/>
        <v>0</v>
      </c>
      <c r="T116" s="213"/>
      <c r="U116" s="213">
        <f t="shared" si="43"/>
        <v>-273.62910846877111</v>
      </c>
      <c r="V116" s="201">
        <f t="shared" si="46"/>
        <v>-115.125</v>
      </c>
      <c r="W116" s="204">
        <f t="shared" si="33"/>
        <v>8102.2172446421009</v>
      </c>
      <c r="X116" s="216">
        <f t="shared" si="44"/>
        <v>216549.40468895881</v>
      </c>
      <c r="Z116" s="206">
        <f t="shared" si="45"/>
        <v>55260</v>
      </c>
      <c r="AA116" s="193">
        <f t="shared" si="34"/>
        <v>0</v>
      </c>
      <c r="AB116" s="206">
        <f t="shared" si="35"/>
        <v>55260</v>
      </c>
    </row>
    <row r="117" spans="9:28" s="177" customFormat="1" x14ac:dyDescent="0.45">
      <c r="I117" s="279">
        <f t="shared" si="37"/>
        <v>43</v>
      </c>
      <c r="J117" s="280"/>
      <c r="K117" s="280"/>
      <c r="L117" s="280"/>
      <c r="M117" s="281">
        <f t="shared" si="28"/>
        <v>0</v>
      </c>
      <c r="O117" s="279">
        <f t="shared" si="40"/>
        <v>43</v>
      </c>
      <c r="P117" s="215">
        <f t="shared" si="41"/>
        <v>22234.138888888891</v>
      </c>
      <c r="Q117" s="213">
        <f t="shared" si="51"/>
        <v>8490.9713531108719</v>
      </c>
      <c r="R117" s="201">
        <f t="shared" si="31"/>
        <v>0</v>
      </c>
      <c r="S117" s="213">
        <f t="shared" si="42"/>
        <v>0</v>
      </c>
      <c r="T117" s="213"/>
      <c r="U117" s="213">
        <f t="shared" si="43"/>
        <v>-273.62910846877111</v>
      </c>
      <c r="V117" s="201">
        <f t="shared" si="46"/>
        <v>-108.9375</v>
      </c>
      <c r="W117" s="204">
        <f t="shared" si="33"/>
        <v>8108.4047446421009</v>
      </c>
      <c r="X117" s="216">
        <f t="shared" si="44"/>
        <v>224657.80943360089</v>
      </c>
      <c r="Z117" s="206">
        <f t="shared" si="45"/>
        <v>52290</v>
      </c>
      <c r="AA117" s="193">
        <f t="shared" si="34"/>
        <v>0</v>
      </c>
      <c r="AB117" s="206">
        <f t="shared" si="35"/>
        <v>52290</v>
      </c>
    </row>
    <row r="118" spans="9:28" s="177" customFormat="1" x14ac:dyDescent="0.45">
      <c r="I118" s="279">
        <f t="shared" si="37"/>
        <v>44</v>
      </c>
      <c r="J118" s="280"/>
      <c r="K118" s="280"/>
      <c r="L118" s="280"/>
      <c r="M118" s="281">
        <f t="shared" si="28"/>
        <v>0</v>
      </c>
      <c r="O118" s="279">
        <f t="shared" si="40"/>
        <v>44</v>
      </c>
      <c r="P118" s="215">
        <f t="shared" si="41"/>
        <v>22754.263888888891</v>
      </c>
      <c r="Q118" s="213">
        <f t="shared" si="51"/>
        <v>8490.9713531108719</v>
      </c>
      <c r="R118" s="201">
        <f t="shared" si="31"/>
        <v>0</v>
      </c>
      <c r="S118" s="213">
        <f t="shared" si="42"/>
        <v>0</v>
      </c>
      <c r="T118" s="213"/>
      <c r="U118" s="213">
        <f t="shared" si="43"/>
        <v>-273.62910846877111</v>
      </c>
      <c r="V118" s="201">
        <f t="shared" si="46"/>
        <v>-102.75</v>
      </c>
      <c r="W118" s="204">
        <f t="shared" si="33"/>
        <v>8114.5922446421009</v>
      </c>
      <c r="X118" s="216">
        <f t="shared" si="44"/>
        <v>232772.40167824298</v>
      </c>
      <c r="Z118" s="206">
        <f t="shared" si="45"/>
        <v>49320</v>
      </c>
      <c r="AA118" s="193">
        <f t="shared" si="34"/>
        <v>0</v>
      </c>
      <c r="AB118" s="206">
        <f t="shared" si="35"/>
        <v>49320</v>
      </c>
    </row>
    <row r="119" spans="9:28" s="177" customFormat="1" x14ac:dyDescent="0.45">
      <c r="I119" s="279">
        <f t="shared" si="37"/>
        <v>45</v>
      </c>
      <c r="J119" s="280"/>
      <c r="K119" s="280"/>
      <c r="L119" s="280"/>
      <c r="M119" s="281">
        <f t="shared" si="28"/>
        <v>0</v>
      </c>
      <c r="O119" s="279">
        <f t="shared" si="40"/>
        <v>45</v>
      </c>
      <c r="P119" s="215">
        <f t="shared" si="41"/>
        <v>23274.388888888891</v>
      </c>
      <c r="Q119" s="213">
        <f t="shared" si="51"/>
        <v>8490.9713531108719</v>
      </c>
      <c r="R119" s="201">
        <f t="shared" si="31"/>
        <v>0</v>
      </c>
      <c r="S119" s="213">
        <f t="shared" si="42"/>
        <v>0</v>
      </c>
      <c r="T119" s="213"/>
      <c r="U119" s="213">
        <f t="shared" si="43"/>
        <v>-273.62910846877111</v>
      </c>
      <c r="V119" s="201">
        <f t="shared" si="46"/>
        <v>-96.5625</v>
      </c>
      <c r="W119" s="204">
        <f t="shared" si="33"/>
        <v>8120.7797446421009</v>
      </c>
      <c r="X119" s="216">
        <f t="shared" si="44"/>
        <v>240893.18142288507</v>
      </c>
      <c r="Z119" s="206">
        <f t="shared" si="45"/>
        <v>46350</v>
      </c>
      <c r="AA119" s="193">
        <f t="shared" si="34"/>
        <v>0</v>
      </c>
      <c r="AB119" s="206">
        <f t="shared" si="35"/>
        <v>46350</v>
      </c>
    </row>
    <row r="120" spans="9:28" s="177" customFormat="1" x14ac:dyDescent="0.45">
      <c r="I120" s="279">
        <f t="shared" si="37"/>
        <v>46</v>
      </c>
      <c r="J120" s="280"/>
      <c r="K120" s="280"/>
      <c r="L120" s="280"/>
      <c r="M120" s="281">
        <f t="shared" si="28"/>
        <v>0</v>
      </c>
      <c r="O120" s="279">
        <f t="shared" si="40"/>
        <v>46</v>
      </c>
      <c r="P120" s="215">
        <f t="shared" si="41"/>
        <v>23794.513888888891</v>
      </c>
      <c r="Q120" s="213">
        <f t="shared" si="51"/>
        <v>8490.9713531108719</v>
      </c>
      <c r="R120" s="201">
        <f t="shared" si="31"/>
        <v>0</v>
      </c>
      <c r="S120" s="213">
        <f t="shared" si="42"/>
        <v>0</v>
      </c>
      <c r="T120" s="213"/>
      <c r="U120" s="213">
        <f t="shared" si="43"/>
        <v>-273.62910846877111</v>
      </c>
      <c r="V120" s="201">
        <f t="shared" si="46"/>
        <v>-90.375</v>
      </c>
      <c r="W120" s="204">
        <f t="shared" si="33"/>
        <v>8126.9672446421009</v>
      </c>
      <c r="X120" s="216">
        <f t="shared" si="44"/>
        <v>249020.14866752716</v>
      </c>
      <c r="Z120" s="206">
        <f t="shared" si="45"/>
        <v>43380</v>
      </c>
      <c r="AA120" s="193">
        <f t="shared" si="34"/>
        <v>0</v>
      </c>
      <c r="AB120" s="206">
        <f t="shared" si="35"/>
        <v>43380</v>
      </c>
    </row>
    <row r="121" spans="9:28" s="177" customFormat="1" x14ac:dyDescent="0.45">
      <c r="I121" s="279">
        <f t="shared" si="37"/>
        <v>47</v>
      </c>
      <c r="J121" s="280"/>
      <c r="K121" s="280"/>
      <c r="L121" s="280"/>
      <c r="M121" s="281">
        <f t="shared" si="28"/>
        <v>0</v>
      </c>
      <c r="O121" s="279">
        <f t="shared" si="40"/>
        <v>47</v>
      </c>
      <c r="P121" s="215">
        <f t="shared" si="41"/>
        <v>24314.638888888891</v>
      </c>
      <c r="Q121" s="213">
        <f t="shared" si="51"/>
        <v>8490.9713531108719</v>
      </c>
      <c r="R121" s="201">
        <f t="shared" si="31"/>
        <v>0</v>
      </c>
      <c r="S121" s="213">
        <f t="shared" si="42"/>
        <v>0</v>
      </c>
      <c r="T121" s="213"/>
      <c r="U121" s="213">
        <f t="shared" si="43"/>
        <v>-273.62910846877111</v>
      </c>
      <c r="V121" s="201">
        <f t="shared" si="46"/>
        <v>-84.1875</v>
      </c>
      <c r="W121" s="204">
        <f t="shared" si="33"/>
        <v>8133.1547446421009</v>
      </c>
      <c r="X121" s="216">
        <f t="shared" si="44"/>
        <v>257153.30341216925</v>
      </c>
      <c r="Z121" s="206">
        <f t="shared" si="45"/>
        <v>40410</v>
      </c>
      <c r="AA121" s="193">
        <f t="shared" si="34"/>
        <v>0</v>
      </c>
      <c r="AB121" s="206">
        <f t="shared" si="35"/>
        <v>40410</v>
      </c>
    </row>
    <row r="122" spans="9:28" s="177" customFormat="1" ht="14.65" thickBot="1" x14ac:dyDescent="0.5">
      <c r="I122" s="279">
        <f t="shared" si="37"/>
        <v>48</v>
      </c>
      <c r="J122" s="280"/>
      <c r="K122" s="280"/>
      <c r="L122" s="280"/>
      <c r="M122" s="281">
        <f t="shared" si="28"/>
        <v>0</v>
      </c>
      <c r="O122" s="279">
        <f t="shared" si="40"/>
        <v>48</v>
      </c>
      <c r="P122" s="215">
        <f t="shared" si="41"/>
        <v>24834.763888888891</v>
      </c>
      <c r="Q122" s="213">
        <f t="shared" si="51"/>
        <v>8490.9713531108719</v>
      </c>
      <c r="R122" s="201">
        <f t="shared" si="31"/>
        <v>0</v>
      </c>
      <c r="S122" s="213">
        <f t="shared" si="42"/>
        <v>0</v>
      </c>
      <c r="T122" s="213">
        <f>-T124*0.5</f>
        <v>0</v>
      </c>
      <c r="U122" s="213">
        <f t="shared" si="43"/>
        <v>-273.62910846877111</v>
      </c>
      <c r="V122" s="201">
        <f t="shared" si="46"/>
        <v>-78</v>
      </c>
      <c r="W122" s="204">
        <f t="shared" si="33"/>
        <v>8139.3422446421009</v>
      </c>
      <c r="X122" s="285">
        <f t="shared" si="44"/>
        <v>265292.64565681136</v>
      </c>
      <c r="Z122" s="206">
        <f t="shared" si="45"/>
        <v>37440</v>
      </c>
      <c r="AA122" s="193">
        <f t="shared" si="34"/>
        <v>0</v>
      </c>
      <c r="AB122" s="206">
        <f t="shared" si="35"/>
        <v>37440</v>
      </c>
    </row>
    <row r="123" spans="9:28" s="177" customFormat="1" ht="14.65" thickBot="1" x14ac:dyDescent="0.5">
      <c r="I123" s="286" t="s">
        <v>20</v>
      </c>
      <c r="J123" s="267">
        <f>C75*C79</f>
        <v>90</v>
      </c>
      <c r="K123" s="267">
        <f>SUM(K75:K122)</f>
        <v>754.34013484760067</v>
      </c>
      <c r="L123" s="287">
        <f>+SUM(L75:L122)</f>
        <v>-9754.2714715330967</v>
      </c>
      <c r="M123" s="288"/>
      <c r="O123" s="289"/>
      <c r="P123" s="290"/>
      <c r="Q123" s="287"/>
      <c r="R123" s="267">
        <f>SUM(R75:R122)</f>
        <v>-9754.2714715330967</v>
      </c>
      <c r="S123" s="291">
        <f>SUM(S75:S122)</f>
        <v>0</v>
      </c>
      <c r="T123" s="291">
        <f>SUM(T75:T122)</f>
        <v>0</v>
      </c>
      <c r="U123" s="267">
        <f>SUM(U75:U122)</f>
        <v>-13134.197206501007</v>
      </c>
      <c r="V123" s="267">
        <f>SUM(V75:V122)</f>
        <v>-10723.5</v>
      </c>
      <c r="W123" s="292"/>
      <c r="X123" s="288"/>
    </row>
    <row r="124" spans="9:28" s="177" customFormat="1" x14ac:dyDescent="0.45">
      <c r="Q124" s="293"/>
      <c r="R124" s="293"/>
      <c r="S124" s="294">
        <f>D99</f>
        <v>0</v>
      </c>
      <c r="T124" s="246">
        <f>D100</f>
        <v>0</v>
      </c>
      <c r="U124" s="293"/>
      <c r="V124" s="293"/>
      <c r="W124" s="293"/>
      <c r="X124" s="293"/>
    </row>
    <row r="125" spans="9:28" s="177" customFormat="1" ht="14.65" thickBot="1" x14ac:dyDescent="0.5">
      <c r="L125" s="295">
        <f>+PMT(C76/12,C80,(C75),,)</f>
        <v>-270.95198532036386</v>
      </c>
      <c r="Q125" s="293"/>
      <c r="R125" s="293"/>
      <c r="S125" s="296">
        <f>S123+S124</f>
        <v>0</v>
      </c>
      <c r="T125" s="254">
        <f>T123+T124</f>
        <v>0</v>
      </c>
      <c r="U125" s="293"/>
      <c r="V125" s="293"/>
      <c r="W125" s="293"/>
      <c r="X125" s="293"/>
    </row>
    <row r="126" spans="9:28" s="177" customFormat="1" x14ac:dyDescent="0.45"/>
    <row r="127" spans="9:28" s="177" customFormat="1" x14ac:dyDescent="0.45"/>
    <row r="128" spans="9:28" s="177" customFormat="1" x14ac:dyDescent="0.45"/>
    <row r="129" s="177" customFormat="1" x14ac:dyDescent="0.45"/>
    <row r="130" s="177" customFormat="1" x14ac:dyDescent="0.45"/>
  </sheetData>
  <mergeCells count="21">
    <mergeCell ref="B110:E110"/>
    <mergeCell ref="B111:E111"/>
    <mergeCell ref="A73:C73"/>
    <mergeCell ref="I73:M73"/>
    <mergeCell ref="O73:X73"/>
    <mergeCell ref="A84:E84"/>
    <mergeCell ref="A93:G93"/>
    <mergeCell ref="A109:G109"/>
    <mergeCell ref="A71:C71"/>
    <mergeCell ref="D71:X71"/>
    <mergeCell ref="A1:X1"/>
    <mergeCell ref="A3:C3"/>
    <mergeCell ref="D3:X3"/>
    <mergeCell ref="A5:C5"/>
    <mergeCell ref="I5:M5"/>
    <mergeCell ref="O5:X5"/>
    <mergeCell ref="A16:E16"/>
    <mergeCell ref="A25:G25"/>
    <mergeCell ref="A41:G41"/>
    <mergeCell ref="B42:E42"/>
    <mergeCell ref="B43:E43"/>
  </mergeCells>
  <printOptions horizontalCentered="1"/>
  <pageMargins left="0.70866141732283505" right="0.70866141732283505" top="0.74803149606299202" bottom="0.74803149606299202" header="0.31496062992126" footer="0.31496062992126"/>
  <headerFooter>
    <oddHeader>&amp;R&amp;A</oddHeader>
    <oddFooter>&amp;L&amp;D&amp;C&amp;P&amp;R&amp;A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E263-BABB-E94C-BA7C-8567072FBEF0}">
  <sheetPr>
    <tabColor theme="9" tint="-0.249977111117893"/>
    <pageSetUpPr fitToPage="1"/>
  </sheetPr>
  <dimension ref="A1:AE130"/>
  <sheetViews>
    <sheetView zoomScale="99" workbookViewId="0">
      <selection activeCell="A2" sqref="A2"/>
    </sheetView>
  </sheetViews>
  <sheetFormatPr defaultColWidth="9.1328125" defaultRowHeight="14.25" x14ac:dyDescent="0.45"/>
  <cols>
    <col min="1" max="1" width="6.265625" style="3" customWidth="1"/>
    <col min="2" max="2" width="18.265625" style="3" bestFit="1" customWidth="1"/>
    <col min="3" max="4" width="15" style="3" bestFit="1" customWidth="1"/>
    <col min="5" max="5" width="14" style="3" bestFit="1" customWidth="1"/>
    <col min="6" max="6" width="17.3984375" style="3" bestFit="1" customWidth="1"/>
    <col min="7" max="7" width="15.1328125" style="3" bestFit="1" customWidth="1"/>
    <col min="8" max="8" width="9.1328125" style="3"/>
    <col min="9" max="9" width="7.3984375" style="3" bestFit="1" customWidth="1"/>
    <col min="10" max="10" width="15" style="3" bestFit="1" customWidth="1"/>
    <col min="11" max="12" width="14" style="3" bestFit="1" customWidth="1"/>
    <col min="13" max="13" width="15" style="3" bestFit="1" customWidth="1"/>
    <col min="14" max="16" width="9.1328125" style="3"/>
    <col min="17" max="19" width="15.86328125" style="3" bestFit="1" customWidth="1"/>
    <col min="20" max="21" width="14.73046875" style="3" customWidth="1"/>
    <col min="22" max="22" width="13.265625" style="3" bestFit="1" customWidth="1"/>
    <col min="23" max="23" width="14.86328125" style="3" bestFit="1" customWidth="1"/>
    <col min="24" max="24" width="15.1328125" style="3" bestFit="1" customWidth="1"/>
    <col min="25" max="25" width="9.1328125" style="3"/>
    <col min="26" max="26" width="22" style="3" customWidth="1"/>
    <col min="27" max="27" width="9.1328125" style="3"/>
    <col min="28" max="29" width="16.265625" style="3" customWidth="1"/>
    <col min="30" max="30" width="16.3984375" style="3" customWidth="1"/>
    <col min="31" max="16384" width="9.1328125" style="3"/>
  </cols>
  <sheetData>
    <row r="1" spans="1:31" ht="62.25" customHeight="1" thickBot="1" x14ac:dyDescent="0.5">
      <c r="A1" s="676">
        <f>+ASSUMPTIONS!B1</f>
        <v>0</v>
      </c>
      <c r="B1" s="677"/>
      <c r="C1" s="677"/>
      <c r="D1" s="677"/>
      <c r="E1" s="677"/>
      <c r="F1" s="677"/>
      <c r="G1" s="677"/>
      <c r="H1" s="677"/>
      <c r="I1" s="677"/>
      <c r="J1" s="677"/>
      <c r="K1" s="677"/>
      <c r="L1" s="677"/>
      <c r="M1" s="677"/>
      <c r="N1" s="677"/>
      <c r="O1" s="677"/>
      <c r="P1" s="677"/>
      <c r="Q1" s="677"/>
      <c r="R1" s="677"/>
      <c r="S1" s="677"/>
      <c r="T1" s="677"/>
      <c r="U1" s="677"/>
      <c r="V1" s="677"/>
      <c r="W1" s="677"/>
      <c r="X1" s="678"/>
    </row>
    <row r="2" spans="1:31" ht="16.149999999999999" thickBot="1" x14ac:dyDescent="0.5">
      <c r="A2" s="2"/>
      <c r="B2" s="2"/>
      <c r="C2" s="10"/>
      <c r="D2" s="10"/>
      <c r="E2" s="10"/>
      <c r="F2" s="10"/>
      <c r="G2" s="10"/>
      <c r="H2" s="10"/>
      <c r="I2" s="13"/>
      <c r="J2" s="10"/>
      <c r="K2" s="10"/>
      <c r="L2" s="10"/>
      <c r="M2" s="10"/>
      <c r="S2" s="145"/>
    </row>
    <row r="3" spans="1:31" ht="32.25" customHeight="1" thickBot="1" x14ac:dyDescent="0.5">
      <c r="A3" s="679" t="s">
        <v>190</v>
      </c>
      <c r="B3" s="680"/>
      <c r="C3" s="681"/>
      <c r="D3" s="682" t="s">
        <v>2</v>
      </c>
      <c r="E3" s="683"/>
      <c r="F3" s="683"/>
      <c r="G3" s="683"/>
      <c r="H3" s="683"/>
      <c r="I3" s="683"/>
      <c r="J3" s="683"/>
      <c r="K3" s="683"/>
      <c r="L3" s="683"/>
      <c r="M3" s="683"/>
      <c r="N3" s="683"/>
      <c r="O3" s="683"/>
      <c r="P3" s="683"/>
      <c r="Q3" s="683"/>
      <c r="R3" s="683"/>
      <c r="S3" s="683"/>
      <c r="T3" s="683"/>
      <c r="U3" s="683"/>
      <c r="V3" s="683"/>
      <c r="W3" s="683"/>
      <c r="X3" s="684"/>
    </row>
    <row r="4" spans="1:31" ht="14.65" thickBot="1" x14ac:dyDescent="0.5">
      <c r="C4" s="11"/>
      <c r="D4" s="11"/>
      <c r="E4" s="11"/>
      <c r="F4" s="11"/>
      <c r="G4" s="11"/>
      <c r="H4" s="11"/>
      <c r="I4" s="12"/>
      <c r="J4" s="11"/>
      <c r="K4" s="11"/>
      <c r="L4" s="11"/>
      <c r="M4" s="11"/>
      <c r="Q4" s="368">
        <f>+'Summary Equip'!AC14</f>
        <v>375</v>
      </c>
      <c r="U4" s="57">
        <v>0.05</v>
      </c>
    </row>
    <row r="5" spans="1:31" ht="23.25" customHeight="1" thickBot="1" x14ac:dyDescent="0.5">
      <c r="A5" s="685" t="s">
        <v>9</v>
      </c>
      <c r="B5" s="686"/>
      <c r="C5" s="687"/>
      <c r="D5" s="11"/>
      <c r="E5" s="11"/>
      <c r="F5" s="11"/>
      <c r="G5" s="11"/>
      <c r="H5" s="11"/>
      <c r="I5" s="688" t="s">
        <v>34</v>
      </c>
      <c r="J5" s="689"/>
      <c r="K5" s="689"/>
      <c r="L5" s="689"/>
      <c r="M5" s="690"/>
      <c r="O5" s="688" t="s">
        <v>35</v>
      </c>
      <c r="P5" s="691"/>
      <c r="Q5" s="689"/>
      <c r="R5" s="689"/>
      <c r="S5" s="689"/>
      <c r="T5" s="689"/>
      <c r="U5" s="689"/>
      <c r="V5" s="689"/>
      <c r="W5" s="692"/>
      <c r="X5" s="693"/>
      <c r="AA5" s="145">
        <v>0</v>
      </c>
    </row>
    <row r="6" spans="1:31" ht="28.9" thickBot="1" x14ac:dyDescent="0.5">
      <c r="A6" s="29" t="s">
        <v>0</v>
      </c>
      <c r="B6" s="28" t="s">
        <v>1</v>
      </c>
      <c r="C6" s="50" t="s">
        <v>10</v>
      </c>
      <c r="D6" s="11"/>
      <c r="E6" s="11"/>
      <c r="F6" s="11"/>
      <c r="G6" s="11"/>
      <c r="H6" s="11"/>
      <c r="I6" s="16" t="s">
        <v>15</v>
      </c>
      <c r="J6" s="17" t="s">
        <v>70</v>
      </c>
      <c r="K6" s="17" t="s">
        <v>17</v>
      </c>
      <c r="L6" s="17" t="s">
        <v>18</v>
      </c>
      <c r="M6" s="18" t="s">
        <v>19</v>
      </c>
      <c r="O6" s="16" t="s">
        <v>15</v>
      </c>
      <c r="P6" s="52" t="s">
        <v>39</v>
      </c>
      <c r="Q6" s="17" t="s">
        <v>36</v>
      </c>
      <c r="R6" s="17" t="s">
        <v>37</v>
      </c>
      <c r="S6" s="17" t="s">
        <v>27</v>
      </c>
      <c r="T6" s="17" t="s">
        <v>38</v>
      </c>
      <c r="U6" s="17" t="s">
        <v>7</v>
      </c>
      <c r="V6" s="17" t="s">
        <v>41</v>
      </c>
      <c r="W6" s="18" t="s">
        <v>40</v>
      </c>
      <c r="X6" s="55" t="s">
        <v>42</v>
      </c>
      <c r="Z6" s="5" t="s">
        <v>71</v>
      </c>
      <c r="AA6" s="5" t="s">
        <v>46</v>
      </c>
      <c r="AB6" s="5" t="s">
        <v>47</v>
      </c>
    </row>
    <row r="7" spans="1:31" x14ac:dyDescent="0.45">
      <c r="A7" s="8">
        <v>1</v>
      </c>
      <c r="B7" s="9" t="s">
        <v>11</v>
      </c>
      <c r="C7" s="152">
        <f>+F11*(1+'Summary Equip'!$N$3)</f>
        <v>114450</v>
      </c>
      <c r="D7" s="11"/>
      <c r="E7" s="8" t="s">
        <v>61</v>
      </c>
      <c r="F7" s="150">
        <f>+'Summary Equip'!J16</f>
        <v>109000</v>
      </c>
      <c r="G7" s="106"/>
      <c r="H7" s="383">
        <v>1</v>
      </c>
      <c r="I7" s="15">
        <v>1</v>
      </c>
      <c r="J7" s="77">
        <f>C7</f>
        <v>114450</v>
      </c>
      <c r="K7" s="77">
        <f>J7*$C$8*30.44/365.25</f>
        <v>505.52901848049277</v>
      </c>
      <c r="L7" s="77">
        <f>+L69</f>
        <v>-2175.578364378724</v>
      </c>
      <c r="M7" s="78">
        <f t="shared" ref="M7:M66" si="0">J7+K7+L7</f>
        <v>112779.95065410176</v>
      </c>
      <c r="O7" s="15">
        <v>1</v>
      </c>
      <c r="P7" s="53">
        <f>Q4</f>
        <v>375</v>
      </c>
      <c r="Q7" s="77">
        <f>$F$42+($Q$4*$G$42)</f>
        <v>4562.7391195787386</v>
      </c>
      <c r="R7" s="77">
        <f>+L7</f>
        <v>-2175.578364378724</v>
      </c>
      <c r="S7" s="77">
        <f>+IF(R7=0,,-S68/C12)</f>
        <v>-908.33333333333337</v>
      </c>
      <c r="T7" s="77"/>
      <c r="U7" s="77">
        <f>-Q7*U4</f>
        <v>-228.13695597893695</v>
      </c>
      <c r="V7" s="77">
        <f>-(AB7*$C$9/12)</f>
        <v>-223.33645833333335</v>
      </c>
      <c r="W7" s="83">
        <f>SUM(Q7:V7)</f>
        <v>1027.3540075544108</v>
      </c>
      <c r="X7" s="84">
        <f>W7</f>
        <v>1027.3540075544108</v>
      </c>
      <c r="Z7" s="92">
        <f>+$D$27-(($D$27+$D$28)*O7/$B$22)</f>
        <v>107201.5</v>
      </c>
      <c r="AA7" s="5">
        <f>+Z7*$AA$5</f>
        <v>0</v>
      </c>
      <c r="AB7" s="92">
        <f>+Z7+AA7</f>
        <v>107201.5</v>
      </c>
      <c r="AC7" s="132"/>
      <c r="AD7" s="132">
        <f>+S7</f>
        <v>-908.33333333333337</v>
      </c>
      <c r="AE7" s="3">
        <f>+IF(AD7=0,0,1)</f>
        <v>1</v>
      </c>
    </row>
    <row r="8" spans="1:31" ht="28.5" x14ac:dyDescent="0.45">
      <c r="A8" s="4">
        <f>A7+1</f>
        <v>2</v>
      </c>
      <c r="B8" s="5" t="s">
        <v>3</v>
      </c>
      <c r="C8" s="156">
        <f>+'Summary Equip'!R16</f>
        <v>5.2999999999999999E-2</v>
      </c>
      <c r="D8" s="11"/>
      <c r="E8" s="107" t="s">
        <v>64</v>
      </c>
      <c r="F8" s="311">
        <f>+'Summary Equip'!D16</f>
        <v>0</v>
      </c>
      <c r="G8" s="108"/>
      <c r="H8" s="383">
        <f>+'Summary Equip'!C14</f>
        <v>1</v>
      </c>
      <c r="I8" s="14">
        <f>I7+1</f>
        <v>2</v>
      </c>
      <c r="J8" s="63">
        <f>+IF(M7&lt;0,,M7)</f>
        <v>112779.95065410176</v>
      </c>
      <c r="K8" s="63">
        <f t="shared" ref="K8:K54" si="1">J8*$C$8*30.44/365.25</f>
        <v>498.1523613669417</v>
      </c>
      <c r="L8" s="63">
        <f>IF(M7&lt;0,,L7)</f>
        <v>-2175.578364378724</v>
      </c>
      <c r="M8" s="65">
        <f t="shared" si="0"/>
        <v>111102.52465108997</v>
      </c>
      <c r="O8" s="14">
        <f>O7+1</f>
        <v>2</v>
      </c>
      <c r="P8" s="54">
        <f>P7+$Q$4</f>
        <v>750</v>
      </c>
      <c r="Q8" s="63">
        <f>$F$42+($Q$4*$G$42)</f>
        <v>4562.7391195787386</v>
      </c>
      <c r="R8" s="77">
        <f t="shared" ref="R8:R66" si="2">+L8</f>
        <v>-2175.578364378724</v>
      </c>
      <c r="S8" s="63">
        <f>+IF(R8=0,,S7)</f>
        <v>-908.33333333333337</v>
      </c>
      <c r="T8" s="63"/>
      <c r="U8" s="63">
        <f>U7</f>
        <v>-228.13695597893695</v>
      </c>
      <c r="V8" s="77">
        <f t="shared" ref="V8:V14" si="3">-(AB8*$C$9/12)</f>
        <v>-219.58958333333337</v>
      </c>
      <c r="W8" s="83">
        <f t="shared" ref="W8:W66" si="4">SUM(Q8:V8)</f>
        <v>1031.1008825544109</v>
      </c>
      <c r="X8" s="85">
        <f>X7+W8</f>
        <v>2058.4548901088219</v>
      </c>
      <c r="Z8" s="92">
        <f>+$D$27-(($D$27+$D$28)*O8/$B$22)</f>
        <v>105403</v>
      </c>
      <c r="AA8" s="5">
        <f t="shared" ref="AA8:AA66" si="5">+Z8*$AA$5</f>
        <v>0</v>
      </c>
      <c r="AB8" s="92">
        <f t="shared" ref="AB8:AB66" si="6">+Z8+AA8</f>
        <v>105403</v>
      </c>
      <c r="AD8" s="133">
        <f t="shared" ref="AD8:AD62" si="7">IF(AD7=0,0,IF(+S8+AD7&lt;-$S$68,0,+S8+AD7))</f>
        <v>-1816.6666666666667</v>
      </c>
      <c r="AE8" s="3">
        <f t="shared" ref="AE8:AE66" si="8">+IF(AD8=0,0,1)</f>
        <v>1</v>
      </c>
    </row>
    <row r="9" spans="1:31" x14ac:dyDescent="0.45">
      <c r="A9" s="4">
        <f t="shared" ref="A9:A14" si="9">A8+1</f>
        <v>3</v>
      </c>
      <c r="B9" s="5" t="s">
        <v>4</v>
      </c>
      <c r="C9" s="157">
        <f>+'Summary Equip'!S16</f>
        <v>2.5000000000000001E-2</v>
      </c>
      <c r="D9" s="11"/>
      <c r="E9" s="109" t="s">
        <v>69</v>
      </c>
      <c r="F9" s="339">
        <f>+'Summary Equip'!F16</f>
        <v>5450</v>
      </c>
      <c r="G9" s="110"/>
      <c r="H9" s="383">
        <f>+'Summary Equip'!E14</f>
        <v>1</v>
      </c>
      <c r="I9" s="14">
        <f t="shared" ref="I9:I66" si="10">I8+1</f>
        <v>3</v>
      </c>
      <c r="J9" s="63">
        <f t="shared" ref="J9:J66" si="11">+IF(M8&lt;0,,M8)</f>
        <v>111102.52465108997</v>
      </c>
      <c r="K9" s="63">
        <f t="shared" si="1"/>
        <v>490.74312134181105</v>
      </c>
      <c r="L9" s="63">
        <f t="shared" ref="L9:L66" si="12">IF(M8&lt;0,,L8)</f>
        <v>-2175.578364378724</v>
      </c>
      <c r="M9" s="65">
        <f t="shared" si="0"/>
        <v>109417.68940805306</v>
      </c>
      <c r="O9" s="14">
        <f t="shared" ref="O9:O66" si="13">O8+1</f>
        <v>3</v>
      </c>
      <c r="P9" s="54">
        <f t="shared" ref="P9:P66" si="14">P8+$Q$4</f>
        <v>1125</v>
      </c>
      <c r="Q9" s="63">
        <f t="shared" ref="Q9:Q66" si="15">$F$42+($Q$4*$G$42)</f>
        <v>4562.7391195787386</v>
      </c>
      <c r="R9" s="77">
        <f t="shared" si="2"/>
        <v>-2175.578364378724</v>
      </c>
      <c r="S9" s="63">
        <f t="shared" ref="S9:S62" si="16">+S8</f>
        <v>-908.33333333333337</v>
      </c>
      <c r="T9" s="63"/>
      <c r="U9" s="63">
        <f t="shared" ref="U9:U62" si="17">U8</f>
        <v>-228.13695597893695</v>
      </c>
      <c r="V9" s="77">
        <f t="shared" si="3"/>
        <v>-215.84270833333335</v>
      </c>
      <c r="W9" s="83">
        <f t="shared" si="4"/>
        <v>1034.8477575544109</v>
      </c>
      <c r="X9" s="85">
        <f t="shared" ref="X9:X62" si="18">X8+W9</f>
        <v>3093.3026476632331</v>
      </c>
      <c r="Z9" s="92">
        <f t="shared" ref="Z9:Z66" si="19">+$D$27-(($D$27+$D$28)*O9/$B$22)</f>
        <v>103604.5</v>
      </c>
      <c r="AA9" s="5">
        <f t="shared" si="5"/>
        <v>0</v>
      </c>
      <c r="AB9" s="92">
        <f t="shared" si="6"/>
        <v>103604.5</v>
      </c>
      <c r="AD9" s="133">
        <f t="shared" si="7"/>
        <v>-2725</v>
      </c>
      <c r="AE9" s="3">
        <f t="shared" si="8"/>
        <v>1</v>
      </c>
    </row>
    <row r="10" spans="1:31" ht="14.65" thickBot="1" x14ac:dyDescent="0.5">
      <c r="A10" s="4">
        <f t="shared" si="9"/>
        <v>4</v>
      </c>
      <c r="B10" s="5" t="s">
        <v>5</v>
      </c>
      <c r="C10" s="158">
        <f>+'Summary Equip'!T16</f>
        <v>0.05</v>
      </c>
      <c r="D10" s="11"/>
      <c r="E10" s="111" t="s">
        <v>52</v>
      </c>
      <c r="F10" s="312">
        <f>SUM(F7:F8)*G10</f>
        <v>0</v>
      </c>
      <c r="G10" s="151">
        <f>+'Summary Equip'!H16</f>
        <v>0</v>
      </c>
      <c r="H10" s="383">
        <f>+'Summary Equip'!G14</f>
        <v>0</v>
      </c>
      <c r="I10" s="14">
        <f t="shared" si="10"/>
        <v>4</v>
      </c>
      <c r="J10" s="63">
        <f t="shared" si="11"/>
        <v>109417.68940805306</v>
      </c>
      <c r="K10" s="63">
        <f t="shared" si="1"/>
        <v>483.30115448542136</v>
      </c>
      <c r="L10" s="63">
        <f t="shared" si="12"/>
        <v>-2175.578364378724</v>
      </c>
      <c r="M10" s="65">
        <f t="shared" si="0"/>
        <v>107725.41219815976</v>
      </c>
      <c r="O10" s="14">
        <f t="shared" si="13"/>
        <v>4</v>
      </c>
      <c r="P10" s="54">
        <f t="shared" si="14"/>
        <v>1500</v>
      </c>
      <c r="Q10" s="63">
        <f t="shared" si="15"/>
        <v>4562.7391195787386</v>
      </c>
      <c r="R10" s="77">
        <f t="shared" si="2"/>
        <v>-2175.578364378724</v>
      </c>
      <c r="S10" s="63">
        <f t="shared" si="16"/>
        <v>-908.33333333333337</v>
      </c>
      <c r="T10" s="63"/>
      <c r="U10" s="63">
        <f t="shared" si="17"/>
        <v>-228.13695597893695</v>
      </c>
      <c r="V10" s="77">
        <f t="shared" si="3"/>
        <v>-212.09583333333333</v>
      </c>
      <c r="W10" s="83">
        <f t="shared" si="4"/>
        <v>1038.594632554411</v>
      </c>
      <c r="X10" s="85">
        <f t="shared" si="18"/>
        <v>4131.897280217644</v>
      </c>
      <c r="Z10" s="92">
        <f t="shared" si="19"/>
        <v>101806</v>
      </c>
      <c r="AA10" s="5">
        <f t="shared" si="5"/>
        <v>0</v>
      </c>
      <c r="AB10" s="92">
        <f t="shared" si="6"/>
        <v>101806</v>
      </c>
      <c r="AD10" s="133">
        <f t="shared" si="7"/>
        <v>-3633.3333333333335</v>
      </c>
      <c r="AE10" s="3">
        <f t="shared" si="8"/>
        <v>1</v>
      </c>
    </row>
    <row r="11" spans="1:31" ht="14.65" thickBot="1" x14ac:dyDescent="0.5">
      <c r="A11" s="4">
        <f t="shared" si="9"/>
        <v>5</v>
      </c>
      <c r="B11" s="5" t="s">
        <v>12</v>
      </c>
      <c r="C11" s="159">
        <f>+'Summary Equip'!U16</f>
        <v>0.01</v>
      </c>
      <c r="D11" s="11"/>
      <c r="E11" s="112" t="s">
        <v>28</v>
      </c>
      <c r="F11" s="313">
        <f>SUMPRODUCT(F7:F10,H7:H10)</f>
        <v>114450</v>
      </c>
      <c r="G11" s="113"/>
      <c r="H11" s="11"/>
      <c r="I11" s="14">
        <f t="shared" si="10"/>
        <v>5</v>
      </c>
      <c r="J11" s="63">
        <f t="shared" si="11"/>
        <v>107725.41219815976</v>
      </c>
      <c r="K11" s="63">
        <f t="shared" si="1"/>
        <v>475.82631624239582</v>
      </c>
      <c r="L11" s="63">
        <f t="shared" si="12"/>
        <v>-2175.578364378724</v>
      </c>
      <c r="M11" s="65">
        <f t="shared" si="0"/>
        <v>106025.66015002342</v>
      </c>
      <c r="O11" s="14">
        <f t="shared" si="13"/>
        <v>5</v>
      </c>
      <c r="P11" s="54">
        <f t="shared" si="14"/>
        <v>1875</v>
      </c>
      <c r="Q11" s="63">
        <f t="shared" si="15"/>
        <v>4562.7391195787386</v>
      </c>
      <c r="R11" s="77">
        <f t="shared" si="2"/>
        <v>-2175.578364378724</v>
      </c>
      <c r="S11" s="63">
        <f t="shared" si="16"/>
        <v>-908.33333333333337</v>
      </c>
      <c r="T11" s="63"/>
      <c r="U11" s="63">
        <f t="shared" si="17"/>
        <v>-228.13695597893695</v>
      </c>
      <c r="V11" s="77">
        <f t="shared" si="3"/>
        <v>-208.34895833333334</v>
      </c>
      <c r="W11" s="83">
        <f t="shared" si="4"/>
        <v>1042.341507554411</v>
      </c>
      <c r="X11" s="85">
        <f t="shared" si="18"/>
        <v>5174.2387877720548</v>
      </c>
      <c r="Z11" s="92">
        <f t="shared" si="19"/>
        <v>100007.5</v>
      </c>
      <c r="AA11" s="5">
        <f t="shared" si="5"/>
        <v>0</v>
      </c>
      <c r="AB11" s="92">
        <f t="shared" si="6"/>
        <v>100007.5</v>
      </c>
      <c r="AD11" s="133">
        <f t="shared" si="7"/>
        <v>-4541.666666666667</v>
      </c>
      <c r="AE11" s="3">
        <f t="shared" si="8"/>
        <v>1</v>
      </c>
    </row>
    <row r="12" spans="1:31" x14ac:dyDescent="0.45">
      <c r="A12" s="4">
        <f t="shared" si="9"/>
        <v>6</v>
      </c>
      <c r="B12" s="5" t="s">
        <v>13</v>
      </c>
      <c r="C12" s="160">
        <f>+'Summary Equip'!V16</f>
        <v>60</v>
      </c>
      <c r="D12" s="11"/>
      <c r="E12" s="11"/>
      <c r="F12" s="11"/>
      <c r="G12" s="11"/>
      <c r="H12" s="11"/>
      <c r="I12" s="14">
        <f t="shared" si="10"/>
        <v>6</v>
      </c>
      <c r="J12" s="63">
        <f t="shared" si="11"/>
        <v>106025.66015002342</v>
      </c>
      <c r="K12" s="63">
        <f t="shared" si="1"/>
        <v>468.31846141885228</v>
      </c>
      <c r="L12" s="63">
        <f t="shared" si="12"/>
        <v>-2175.578364378724</v>
      </c>
      <c r="M12" s="65">
        <f t="shared" si="0"/>
        <v>104318.40024706355</v>
      </c>
      <c r="O12" s="14">
        <f t="shared" si="13"/>
        <v>6</v>
      </c>
      <c r="P12" s="54">
        <f t="shared" si="14"/>
        <v>2250</v>
      </c>
      <c r="Q12" s="63">
        <f t="shared" si="15"/>
        <v>4562.7391195787386</v>
      </c>
      <c r="R12" s="77">
        <f t="shared" si="2"/>
        <v>-2175.578364378724</v>
      </c>
      <c r="S12" s="63">
        <f t="shared" si="16"/>
        <v>-908.33333333333337</v>
      </c>
      <c r="T12" s="63"/>
      <c r="U12" s="63">
        <f t="shared" si="17"/>
        <v>-228.13695597893695</v>
      </c>
      <c r="V12" s="77">
        <f t="shared" si="3"/>
        <v>-204.60208333333333</v>
      </c>
      <c r="W12" s="83">
        <f t="shared" si="4"/>
        <v>1046.0883825544111</v>
      </c>
      <c r="X12" s="85">
        <f t="shared" si="18"/>
        <v>6220.3271703264654</v>
      </c>
      <c r="Z12" s="92">
        <f t="shared" si="19"/>
        <v>98209</v>
      </c>
      <c r="AA12" s="5">
        <f t="shared" si="5"/>
        <v>0</v>
      </c>
      <c r="AB12" s="92">
        <f t="shared" si="6"/>
        <v>98209</v>
      </c>
      <c r="AD12" s="133">
        <f t="shared" si="7"/>
        <v>-5450</v>
      </c>
      <c r="AE12" s="3">
        <f t="shared" si="8"/>
        <v>1</v>
      </c>
    </row>
    <row r="13" spans="1:31" x14ac:dyDescent="0.45">
      <c r="A13" s="4">
        <f t="shared" si="9"/>
        <v>7</v>
      </c>
      <c r="B13" s="5" t="s">
        <v>14</v>
      </c>
      <c r="C13" s="161">
        <f>+'Summary Equip'!W16</f>
        <v>18000</v>
      </c>
      <c r="D13" s="176">
        <f>+C13*C14</f>
        <v>16200</v>
      </c>
      <c r="E13" s="11"/>
      <c r="F13" s="11"/>
      <c r="G13" s="11"/>
      <c r="H13" s="11"/>
      <c r="I13" s="14">
        <f t="shared" si="10"/>
        <v>7</v>
      </c>
      <c r="J13" s="63">
        <f t="shared" si="11"/>
        <v>104318.40024706355</v>
      </c>
      <c r="K13" s="63">
        <f t="shared" si="1"/>
        <v>460.77744417958269</v>
      </c>
      <c r="L13" s="63">
        <f t="shared" si="12"/>
        <v>-2175.578364378724</v>
      </c>
      <c r="M13" s="65">
        <f t="shared" si="0"/>
        <v>102603.59932686439</v>
      </c>
      <c r="O13" s="14">
        <f t="shared" si="13"/>
        <v>7</v>
      </c>
      <c r="P13" s="54">
        <f t="shared" si="14"/>
        <v>2625</v>
      </c>
      <c r="Q13" s="63">
        <f t="shared" si="15"/>
        <v>4562.7391195787386</v>
      </c>
      <c r="R13" s="77">
        <f t="shared" si="2"/>
        <v>-2175.578364378724</v>
      </c>
      <c r="S13" s="63">
        <f t="shared" si="16"/>
        <v>-908.33333333333337</v>
      </c>
      <c r="T13" s="63"/>
      <c r="U13" s="63">
        <f t="shared" si="17"/>
        <v>-228.13695597893695</v>
      </c>
      <c r="V13" s="77">
        <f t="shared" si="3"/>
        <v>-200.85520833333337</v>
      </c>
      <c r="W13" s="83">
        <f t="shared" si="4"/>
        <v>1049.8352575544109</v>
      </c>
      <c r="X13" s="85">
        <f t="shared" si="18"/>
        <v>7270.1624278808758</v>
      </c>
      <c r="Z13" s="92">
        <f t="shared" si="19"/>
        <v>96410.5</v>
      </c>
      <c r="AA13" s="5">
        <f t="shared" si="5"/>
        <v>0</v>
      </c>
      <c r="AB13" s="92">
        <f t="shared" si="6"/>
        <v>96410.5</v>
      </c>
      <c r="AD13" s="133">
        <f t="shared" si="7"/>
        <v>-6358.333333333333</v>
      </c>
      <c r="AE13" s="3">
        <f t="shared" si="8"/>
        <v>1</v>
      </c>
    </row>
    <row r="14" spans="1:31" ht="14.65" thickBot="1" x14ac:dyDescent="0.5">
      <c r="A14" s="6">
        <f t="shared" si="9"/>
        <v>8</v>
      </c>
      <c r="B14" s="7"/>
      <c r="C14" s="162">
        <f>+'Summary Equip'!X16</f>
        <v>0.9</v>
      </c>
      <c r="D14" s="337">
        <f>+D13/C12</f>
        <v>270</v>
      </c>
      <c r="E14" s="11"/>
      <c r="F14" s="11"/>
      <c r="G14" s="11"/>
      <c r="H14" s="11"/>
      <c r="I14" s="14">
        <f t="shared" si="10"/>
        <v>8</v>
      </c>
      <c r="J14" s="63">
        <f t="shared" si="11"/>
        <v>102603.59932686439</v>
      </c>
      <c r="K14" s="63">
        <f t="shared" si="1"/>
        <v>453.20311804522072</v>
      </c>
      <c r="L14" s="63">
        <f t="shared" si="12"/>
        <v>-2175.578364378724</v>
      </c>
      <c r="M14" s="65">
        <f t="shared" si="0"/>
        <v>100881.22408053088</v>
      </c>
      <c r="O14" s="14">
        <f t="shared" si="13"/>
        <v>8</v>
      </c>
      <c r="P14" s="54">
        <f t="shared" si="14"/>
        <v>3000</v>
      </c>
      <c r="Q14" s="63">
        <f t="shared" si="15"/>
        <v>4562.7391195787386</v>
      </c>
      <c r="R14" s="77">
        <f t="shared" si="2"/>
        <v>-2175.578364378724</v>
      </c>
      <c r="S14" s="63">
        <f t="shared" si="16"/>
        <v>-908.33333333333337</v>
      </c>
      <c r="T14" s="63"/>
      <c r="U14" s="63">
        <f t="shared" si="17"/>
        <v>-228.13695597893695</v>
      </c>
      <c r="V14" s="77">
        <f t="shared" si="3"/>
        <v>-197.10833333333335</v>
      </c>
      <c r="W14" s="83">
        <f t="shared" si="4"/>
        <v>1053.5821325544109</v>
      </c>
      <c r="X14" s="85">
        <f t="shared" si="18"/>
        <v>8323.744560435287</v>
      </c>
      <c r="Z14" s="92">
        <f t="shared" si="19"/>
        <v>94612</v>
      </c>
      <c r="AA14" s="5">
        <f t="shared" si="5"/>
        <v>0</v>
      </c>
      <c r="AB14" s="92">
        <f t="shared" si="6"/>
        <v>94612</v>
      </c>
      <c r="AD14" s="133">
        <f t="shared" si="7"/>
        <v>-7266.6666666666661</v>
      </c>
      <c r="AE14" s="3">
        <f t="shared" si="8"/>
        <v>1</v>
      </c>
    </row>
    <row r="15" spans="1:31" ht="14.65" thickBot="1" x14ac:dyDescent="0.5">
      <c r="C15" s="11"/>
      <c r="D15" s="11"/>
      <c r="E15" s="11"/>
      <c r="F15" s="11"/>
      <c r="G15" s="11"/>
      <c r="H15" s="11"/>
      <c r="I15" s="14">
        <f t="shared" si="10"/>
        <v>9</v>
      </c>
      <c r="J15" s="63">
        <f t="shared" si="11"/>
        <v>100881.22408053088</v>
      </c>
      <c r="K15" s="63">
        <f t="shared" si="1"/>
        <v>445.59533588939661</v>
      </c>
      <c r="L15" s="63">
        <f t="shared" si="12"/>
        <v>-2175.578364378724</v>
      </c>
      <c r="M15" s="65">
        <f t="shared" si="0"/>
        <v>99151.241052041543</v>
      </c>
      <c r="O15" s="14">
        <f t="shared" si="13"/>
        <v>9</v>
      </c>
      <c r="P15" s="54">
        <f t="shared" si="14"/>
        <v>3375</v>
      </c>
      <c r="Q15" s="63">
        <f t="shared" si="15"/>
        <v>4562.7391195787386</v>
      </c>
      <c r="R15" s="77">
        <f t="shared" si="2"/>
        <v>-2175.578364378724</v>
      </c>
      <c r="S15" s="63">
        <f t="shared" si="16"/>
        <v>-908.33333333333337</v>
      </c>
      <c r="T15" s="63"/>
      <c r="U15" s="63">
        <f t="shared" si="17"/>
        <v>-228.13695597893695</v>
      </c>
      <c r="V15" s="77">
        <f>-(AB15*$C$9/12)</f>
        <v>-193.36145833333333</v>
      </c>
      <c r="W15" s="83">
        <f t="shared" si="4"/>
        <v>1057.329007554411</v>
      </c>
      <c r="X15" s="85">
        <f t="shared" si="18"/>
        <v>9381.073567989697</v>
      </c>
      <c r="Z15" s="92">
        <f t="shared" si="19"/>
        <v>92813.5</v>
      </c>
      <c r="AA15" s="5">
        <f t="shared" si="5"/>
        <v>0</v>
      </c>
      <c r="AB15" s="92">
        <f t="shared" si="6"/>
        <v>92813.5</v>
      </c>
      <c r="AD15" s="133">
        <f t="shared" si="7"/>
        <v>-8174.9999999999991</v>
      </c>
      <c r="AE15" s="3">
        <f t="shared" si="8"/>
        <v>1</v>
      </c>
    </row>
    <row r="16" spans="1:31" ht="16.149999999999999" thickBot="1" x14ac:dyDescent="0.5">
      <c r="A16" s="661" t="s">
        <v>43</v>
      </c>
      <c r="B16" s="662"/>
      <c r="C16" s="662"/>
      <c r="D16" s="662"/>
      <c r="E16" s="663"/>
      <c r="F16" s="1"/>
      <c r="G16" s="1"/>
      <c r="H16" s="117"/>
      <c r="I16" s="14">
        <f t="shared" si="10"/>
        <v>10</v>
      </c>
      <c r="J16" s="63">
        <f t="shared" si="11"/>
        <v>99151.241052041543</v>
      </c>
      <c r="K16" s="63">
        <f t="shared" si="1"/>
        <v>437.95394993587865</v>
      </c>
      <c r="L16" s="63">
        <f t="shared" si="12"/>
        <v>-2175.578364378724</v>
      </c>
      <c r="M16" s="65">
        <f t="shared" si="0"/>
        <v>97413.616637598694</v>
      </c>
      <c r="O16" s="14">
        <f t="shared" si="13"/>
        <v>10</v>
      </c>
      <c r="P16" s="54">
        <f t="shared" si="14"/>
        <v>3750</v>
      </c>
      <c r="Q16" s="63">
        <f t="shared" si="15"/>
        <v>4562.7391195787386</v>
      </c>
      <c r="R16" s="77">
        <f t="shared" si="2"/>
        <v>-2175.578364378724</v>
      </c>
      <c r="S16" s="63">
        <f t="shared" si="16"/>
        <v>-908.33333333333337</v>
      </c>
      <c r="T16" s="63"/>
      <c r="U16" s="63">
        <f t="shared" si="17"/>
        <v>-228.13695597893695</v>
      </c>
      <c r="V16" s="77">
        <f t="shared" ref="V16:V66" si="20">-(AB16*$C$9/12)</f>
        <v>-189.61458333333334</v>
      </c>
      <c r="W16" s="83">
        <f t="shared" si="4"/>
        <v>1061.075882554411</v>
      </c>
      <c r="X16" s="85">
        <f t="shared" si="18"/>
        <v>10442.149450544108</v>
      </c>
      <c r="Z16" s="92">
        <f t="shared" si="19"/>
        <v>91015</v>
      </c>
      <c r="AA16" s="5">
        <f t="shared" si="5"/>
        <v>0</v>
      </c>
      <c r="AB16" s="92">
        <f t="shared" si="6"/>
        <v>91015</v>
      </c>
      <c r="AD16" s="133">
        <f t="shared" si="7"/>
        <v>-9083.3333333333321</v>
      </c>
      <c r="AE16" s="3">
        <f t="shared" si="8"/>
        <v>1</v>
      </c>
    </row>
    <row r="17" spans="1:31" ht="14.65" thickBot="1" x14ac:dyDescent="0.5">
      <c r="A17" s="97" t="s">
        <v>44</v>
      </c>
      <c r="B17" s="98" t="s">
        <v>48</v>
      </c>
      <c r="C17" s="98" t="s">
        <v>45</v>
      </c>
      <c r="D17" s="99" t="s">
        <v>46</v>
      </c>
      <c r="E17" s="55" t="s">
        <v>47</v>
      </c>
      <c r="F17" s="1"/>
      <c r="G17" s="1"/>
      <c r="H17" s="117"/>
      <c r="I17" s="14">
        <f t="shared" si="10"/>
        <v>11</v>
      </c>
      <c r="J17" s="63">
        <f t="shared" si="11"/>
        <v>97413.616637598694</v>
      </c>
      <c r="K17" s="63">
        <f t="shared" si="1"/>
        <v>430.2788117557036</v>
      </c>
      <c r="L17" s="63">
        <f t="shared" si="12"/>
        <v>-2175.578364378724</v>
      </c>
      <c r="M17" s="65">
        <f t="shared" si="0"/>
        <v>95668.317084975672</v>
      </c>
      <c r="O17" s="14">
        <f t="shared" si="13"/>
        <v>11</v>
      </c>
      <c r="P17" s="54">
        <f t="shared" si="14"/>
        <v>4125</v>
      </c>
      <c r="Q17" s="63">
        <f t="shared" si="15"/>
        <v>4562.7391195787386</v>
      </c>
      <c r="R17" s="77">
        <f t="shared" si="2"/>
        <v>-2175.578364378724</v>
      </c>
      <c r="S17" s="63">
        <f t="shared" si="16"/>
        <v>-908.33333333333337</v>
      </c>
      <c r="T17" s="63"/>
      <c r="U17" s="63">
        <f t="shared" si="17"/>
        <v>-228.13695597893695</v>
      </c>
      <c r="V17" s="77">
        <f t="shared" si="20"/>
        <v>-185.86770833333333</v>
      </c>
      <c r="W17" s="83">
        <f t="shared" si="4"/>
        <v>1064.8227575544111</v>
      </c>
      <c r="X17" s="85">
        <f t="shared" si="18"/>
        <v>11506.972208098519</v>
      </c>
      <c r="Z17" s="92">
        <f t="shared" si="19"/>
        <v>89216.5</v>
      </c>
      <c r="AA17" s="5">
        <f t="shared" si="5"/>
        <v>0</v>
      </c>
      <c r="AB17" s="92">
        <f t="shared" si="6"/>
        <v>89216.5</v>
      </c>
      <c r="AD17" s="133">
        <f t="shared" si="7"/>
        <v>-9991.6666666666661</v>
      </c>
      <c r="AE17" s="3">
        <f t="shared" si="8"/>
        <v>1</v>
      </c>
    </row>
    <row r="18" spans="1:31" x14ac:dyDescent="0.45">
      <c r="A18" s="94">
        <v>1</v>
      </c>
      <c r="B18" s="95">
        <v>12</v>
      </c>
      <c r="C18" s="96">
        <f>D$27-(D$27+D$28)*B18/60</f>
        <v>87418</v>
      </c>
      <c r="D18" s="100">
        <v>0.1</v>
      </c>
      <c r="E18" s="103">
        <f t="shared" ref="E18:E23" si="21">C18/(100%-D18)</f>
        <v>97131.111111111109</v>
      </c>
      <c r="F18" s="11"/>
      <c r="G18" s="11"/>
      <c r="H18" s="11"/>
      <c r="I18" s="14">
        <f t="shared" si="10"/>
        <v>12</v>
      </c>
      <c r="J18" s="63">
        <f t="shared" si="11"/>
        <v>95668.317084975672</v>
      </c>
      <c r="K18" s="63">
        <f t="shared" si="1"/>
        <v>422.56977226429285</v>
      </c>
      <c r="L18" s="63">
        <f t="shared" si="12"/>
        <v>-2175.578364378724</v>
      </c>
      <c r="M18" s="65">
        <f t="shared" si="0"/>
        <v>93915.308492861237</v>
      </c>
      <c r="O18" s="14">
        <f t="shared" si="13"/>
        <v>12</v>
      </c>
      <c r="P18" s="54">
        <f t="shared" si="14"/>
        <v>4500</v>
      </c>
      <c r="Q18" s="63">
        <f t="shared" si="15"/>
        <v>4562.7391195787386</v>
      </c>
      <c r="R18" s="77">
        <f t="shared" si="2"/>
        <v>-2175.578364378724</v>
      </c>
      <c r="S18" s="63">
        <f t="shared" si="16"/>
        <v>-908.33333333333337</v>
      </c>
      <c r="T18" s="63"/>
      <c r="U18" s="63">
        <f t="shared" si="17"/>
        <v>-228.13695597893695</v>
      </c>
      <c r="V18" s="77">
        <f t="shared" si="20"/>
        <v>-182.12083333333337</v>
      </c>
      <c r="W18" s="83">
        <f t="shared" si="4"/>
        <v>1068.5696325544109</v>
      </c>
      <c r="X18" s="85">
        <f t="shared" si="18"/>
        <v>12575.54184065293</v>
      </c>
      <c r="Z18" s="92">
        <f t="shared" si="19"/>
        <v>87418</v>
      </c>
      <c r="AA18" s="5">
        <f t="shared" si="5"/>
        <v>0</v>
      </c>
      <c r="AB18" s="92">
        <f t="shared" si="6"/>
        <v>87418</v>
      </c>
      <c r="AD18" s="133">
        <f t="shared" si="7"/>
        <v>-10900</v>
      </c>
      <c r="AE18" s="3">
        <f t="shared" si="8"/>
        <v>1</v>
      </c>
    </row>
    <row r="19" spans="1:31" x14ac:dyDescent="0.45">
      <c r="A19" s="4">
        <f>A18+1</f>
        <v>2</v>
      </c>
      <c r="B19" s="5">
        <f>B18+12</f>
        <v>24</v>
      </c>
      <c r="C19" s="92">
        <f>D$27-(D$27+D$28)*B19/60</f>
        <v>65836</v>
      </c>
      <c r="D19" s="101">
        <f>D18</f>
        <v>0.1</v>
      </c>
      <c r="E19" s="104">
        <f t="shared" si="21"/>
        <v>73151.111111111109</v>
      </c>
      <c r="F19" s="11"/>
      <c r="G19" s="11"/>
      <c r="H19" s="11"/>
      <c r="I19" s="14">
        <f t="shared" si="10"/>
        <v>13</v>
      </c>
      <c r="J19" s="63">
        <f t="shared" si="11"/>
        <v>93915.308492861237</v>
      </c>
      <c r="K19" s="63">
        <f t="shared" si="1"/>
        <v>414.82668171855687</v>
      </c>
      <c r="L19" s="63">
        <f t="shared" si="12"/>
        <v>-2175.578364378724</v>
      </c>
      <c r="M19" s="65">
        <f t="shared" si="0"/>
        <v>92154.556810201058</v>
      </c>
      <c r="O19" s="14">
        <f t="shared" si="13"/>
        <v>13</v>
      </c>
      <c r="P19" s="54">
        <f t="shared" si="14"/>
        <v>4875</v>
      </c>
      <c r="Q19" s="63">
        <f t="shared" si="15"/>
        <v>4562.7391195787386</v>
      </c>
      <c r="R19" s="77">
        <f t="shared" si="2"/>
        <v>-2175.578364378724</v>
      </c>
      <c r="S19" s="63">
        <f t="shared" si="16"/>
        <v>-908.33333333333337</v>
      </c>
      <c r="T19" s="63"/>
      <c r="U19" s="63">
        <f t="shared" si="17"/>
        <v>-228.13695597893695</v>
      </c>
      <c r="V19" s="77">
        <f t="shared" si="20"/>
        <v>-178.37395833333335</v>
      </c>
      <c r="W19" s="83">
        <f t="shared" si="4"/>
        <v>1072.3165075544109</v>
      </c>
      <c r="X19" s="85">
        <f t="shared" si="18"/>
        <v>13647.858348207341</v>
      </c>
      <c r="Z19" s="92">
        <f t="shared" si="19"/>
        <v>85619.5</v>
      </c>
      <c r="AA19" s="5">
        <f t="shared" si="5"/>
        <v>0</v>
      </c>
      <c r="AB19" s="92">
        <f t="shared" si="6"/>
        <v>85619.5</v>
      </c>
      <c r="AD19" s="133">
        <f t="shared" si="7"/>
        <v>-11808.333333333334</v>
      </c>
      <c r="AE19" s="3">
        <f t="shared" si="8"/>
        <v>1</v>
      </c>
    </row>
    <row r="20" spans="1:31" x14ac:dyDescent="0.45">
      <c r="A20" s="4">
        <f>A19+1</f>
        <v>3</v>
      </c>
      <c r="B20" s="5">
        <f>B19+12</f>
        <v>36</v>
      </c>
      <c r="C20" s="92">
        <f>D$27-(D$27+D$28)*B20/60</f>
        <v>44254</v>
      </c>
      <c r="D20" s="101">
        <f>D19</f>
        <v>0.1</v>
      </c>
      <c r="E20" s="104">
        <f t="shared" si="21"/>
        <v>49171.111111111109</v>
      </c>
      <c r="F20" s="11"/>
      <c r="G20" s="11"/>
      <c r="H20" s="11"/>
      <c r="I20" s="14">
        <f t="shared" si="10"/>
        <v>14</v>
      </c>
      <c r="J20" s="63">
        <f t="shared" si="11"/>
        <v>92154.556810201058</v>
      </c>
      <c r="K20" s="63">
        <f t="shared" si="1"/>
        <v>407.04938971398656</v>
      </c>
      <c r="L20" s="63">
        <f t="shared" si="12"/>
        <v>-2175.578364378724</v>
      </c>
      <c r="M20" s="65">
        <f t="shared" si="0"/>
        <v>90386.027835536312</v>
      </c>
      <c r="O20" s="14">
        <f t="shared" si="13"/>
        <v>14</v>
      </c>
      <c r="P20" s="54">
        <f t="shared" si="14"/>
        <v>5250</v>
      </c>
      <c r="Q20" s="63">
        <f t="shared" si="15"/>
        <v>4562.7391195787386</v>
      </c>
      <c r="R20" s="77">
        <f t="shared" si="2"/>
        <v>-2175.578364378724</v>
      </c>
      <c r="S20" s="63">
        <f t="shared" si="16"/>
        <v>-908.33333333333337</v>
      </c>
      <c r="T20" s="63"/>
      <c r="U20" s="63">
        <f t="shared" si="17"/>
        <v>-228.13695597893695</v>
      </c>
      <c r="V20" s="77">
        <f t="shared" si="20"/>
        <v>-174.62708333333333</v>
      </c>
      <c r="W20" s="83">
        <f t="shared" si="4"/>
        <v>1076.063382554411</v>
      </c>
      <c r="X20" s="85">
        <f t="shared" si="18"/>
        <v>14723.921730761751</v>
      </c>
      <c r="Z20" s="92">
        <f t="shared" si="19"/>
        <v>83821</v>
      </c>
      <c r="AA20" s="5">
        <f t="shared" si="5"/>
        <v>0</v>
      </c>
      <c r="AB20" s="92">
        <f t="shared" si="6"/>
        <v>83821</v>
      </c>
      <c r="AD20" s="133">
        <f t="shared" si="7"/>
        <v>-12716.666666666668</v>
      </c>
      <c r="AE20" s="3">
        <f t="shared" si="8"/>
        <v>1</v>
      </c>
    </row>
    <row r="21" spans="1:31" x14ac:dyDescent="0.45">
      <c r="A21" s="4">
        <f>A20+1</f>
        <v>4</v>
      </c>
      <c r="B21" s="5">
        <f>B20+12</f>
        <v>48</v>
      </c>
      <c r="C21" s="92">
        <f>D$27-(D$27+D$28)*B21/60</f>
        <v>22672</v>
      </c>
      <c r="D21" s="101">
        <f>D20</f>
        <v>0.1</v>
      </c>
      <c r="E21" s="104">
        <f t="shared" si="21"/>
        <v>25191.111111111109</v>
      </c>
      <c r="F21" s="11"/>
      <c r="G21" s="11"/>
      <c r="H21" s="11"/>
      <c r="I21" s="14">
        <f t="shared" si="10"/>
        <v>15</v>
      </c>
      <c r="J21" s="63">
        <f t="shared" si="11"/>
        <v>90386.027835536312</v>
      </c>
      <c r="K21" s="63">
        <f t="shared" si="1"/>
        <v>399.23774518173155</v>
      </c>
      <c r="L21" s="63">
        <f t="shared" si="12"/>
        <v>-2175.578364378724</v>
      </c>
      <c r="M21" s="65">
        <f t="shared" si="0"/>
        <v>88609.687216339313</v>
      </c>
      <c r="O21" s="14">
        <f t="shared" si="13"/>
        <v>15</v>
      </c>
      <c r="P21" s="54">
        <f t="shared" si="14"/>
        <v>5625</v>
      </c>
      <c r="Q21" s="63">
        <f t="shared" si="15"/>
        <v>4562.7391195787386</v>
      </c>
      <c r="R21" s="77">
        <f t="shared" si="2"/>
        <v>-2175.578364378724</v>
      </c>
      <c r="S21" s="63">
        <f t="shared" si="16"/>
        <v>-908.33333333333337</v>
      </c>
      <c r="T21" s="63"/>
      <c r="U21" s="63">
        <f t="shared" si="17"/>
        <v>-228.13695597893695</v>
      </c>
      <c r="V21" s="77">
        <f t="shared" si="20"/>
        <v>-170.88020833333334</v>
      </c>
      <c r="W21" s="83">
        <f t="shared" si="4"/>
        <v>1079.810257554411</v>
      </c>
      <c r="X21" s="85">
        <f t="shared" si="18"/>
        <v>15803.731988316162</v>
      </c>
      <c r="Z21" s="92">
        <f t="shared" si="19"/>
        <v>82022.5</v>
      </c>
      <c r="AA21" s="5">
        <f t="shared" si="5"/>
        <v>0</v>
      </c>
      <c r="AB21" s="92">
        <f t="shared" si="6"/>
        <v>82022.5</v>
      </c>
      <c r="AD21" s="133">
        <f t="shared" si="7"/>
        <v>-13625.000000000002</v>
      </c>
      <c r="AE21" s="3">
        <f t="shared" si="8"/>
        <v>1</v>
      </c>
    </row>
    <row r="22" spans="1:31" x14ac:dyDescent="0.45">
      <c r="A22" s="4">
        <f>A21+1</f>
        <v>5</v>
      </c>
      <c r="B22" s="5">
        <f>B21+12</f>
        <v>60</v>
      </c>
      <c r="C22" s="92">
        <f>D$27-(D$27+D$28)*B22/60</f>
        <v>1090</v>
      </c>
      <c r="D22" s="101">
        <f>D21</f>
        <v>0.1</v>
      </c>
      <c r="E22" s="104">
        <f t="shared" si="21"/>
        <v>1211.1111111111111</v>
      </c>
      <c r="F22" s="11"/>
      <c r="G22" s="11"/>
      <c r="H22" s="11"/>
      <c r="I22" s="14">
        <f t="shared" si="10"/>
        <v>16</v>
      </c>
      <c r="J22" s="63">
        <f t="shared" si="11"/>
        <v>88609.687216339313</v>
      </c>
      <c r="K22" s="63">
        <f t="shared" si="1"/>
        <v>391.39159638566611</v>
      </c>
      <c r="L22" s="63">
        <f t="shared" si="12"/>
        <v>-2175.578364378724</v>
      </c>
      <c r="M22" s="65">
        <f t="shared" si="0"/>
        <v>86825.500448346254</v>
      </c>
      <c r="O22" s="14">
        <f t="shared" si="13"/>
        <v>16</v>
      </c>
      <c r="P22" s="54">
        <f t="shared" si="14"/>
        <v>6000</v>
      </c>
      <c r="Q22" s="63">
        <f t="shared" si="15"/>
        <v>4562.7391195787386</v>
      </c>
      <c r="R22" s="77">
        <f t="shared" si="2"/>
        <v>-2175.578364378724</v>
      </c>
      <c r="S22" s="63">
        <f t="shared" si="16"/>
        <v>-908.33333333333337</v>
      </c>
      <c r="T22" s="63"/>
      <c r="U22" s="63">
        <f t="shared" si="17"/>
        <v>-228.13695597893695</v>
      </c>
      <c r="V22" s="77">
        <f t="shared" si="20"/>
        <v>-167.13333333333335</v>
      </c>
      <c r="W22" s="83">
        <f t="shared" si="4"/>
        <v>1083.5571325544108</v>
      </c>
      <c r="X22" s="85">
        <f t="shared" si="18"/>
        <v>16887.289120870573</v>
      </c>
      <c r="Z22" s="92">
        <f t="shared" si="19"/>
        <v>80224</v>
      </c>
      <c r="AA22" s="5">
        <f t="shared" si="5"/>
        <v>0</v>
      </c>
      <c r="AB22" s="92">
        <f t="shared" si="6"/>
        <v>80224</v>
      </c>
      <c r="AD22" s="133">
        <f t="shared" si="7"/>
        <v>-14533.333333333336</v>
      </c>
      <c r="AE22" s="3">
        <f t="shared" si="8"/>
        <v>1</v>
      </c>
    </row>
    <row r="23" spans="1:31" ht="14.65" thickBot="1" x14ac:dyDescent="0.5">
      <c r="A23" s="6">
        <f>A22+1</f>
        <v>6</v>
      </c>
      <c r="B23" s="7">
        <f>B22+12</f>
        <v>72</v>
      </c>
      <c r="C23" s="93">
        <v>1</v>
      </c>
      <c r="D23" s="102">
        <f>D22</f>
        <v>0.1</v>
      </c>
      <c r="E23" s="105">
        <f t="shared" si="21"/>
        <v>1.1111111111111112</v>
      </c>
      <c r="H23" s="11"/>
      <c r="I23" s="14">
        <f t="shared" si="10"/>
        <v>17</v>
      </c>
      <c r="J23" s="63">
        <f t="shared" si="11"/>
        <v>86825.500448346254</v>
      </c>
      <c r="K23" s="63">
        <f t="shared" si="1"/>
        <v>383.51079091944138</v>
      </c>
      <c r="L23" s="63">
        <f t="shared" si="12"/>
        <v>-2175.578364378724</v>
      </c>
      <c r="M23" s="65">
        <f t="shared" si="0"/>
        <v>85033.432874886974</v>
      </c>
      <c r="O23" s="14">
        <f t="shared" si="13"/>
        <v>17</v>
      </c>
      <c r="P23" s="54">
        <f t="shared" si="14"/>
        <v>6375</v>
      </c>
      <c r="Q23" s="63">
        <f t="shared" si="15"/>
        <v>4562.7391195787386</v>
      </c>
      <c r="R23" s="77">
        <f t="shared" si="2"/>
        <v>-2175.578364378724</v>
      </c>
      <c r="S23" s="63">
        <f t="shared" si="16"/>
        <v>-908.33333333333337</v>
      </c>
      <c r="T23" s="63"/>
      <c r="U23" s="63">
        <f t="shared" si="17"/>
        <v>-228.13695597893695</v>
      </c>
      <c r="V23" s="77">
        <f t="shared" si="20"/>
        <v>-163.38645833333334</v>
      </c>
      <c r="W23" s="83">
        <f t="shared" si="4"/>
        <v>1087.3040075544109</v>
      </c>
      <c r="X23" s="85">
        <f t="shared" si="18"/>
        <v>17974.593128424985</v>
      </c>
      <c r="Z23" s="92">
        <f t="shared" si="19"/>
        <v>78425.5</v>
      </c>
      <c r="AA23" s="5">
        <f t="shared" si="5"/>
        <v>0</v>
      </c>
      <c r="AB23" s="92">
        <f t="shared" si="6"/>
        <v>78425.5</v>
      </c>
      <c r="AD23" s="133">
        <f t="shared" si="7"/>
        <v>-15441.66666666667</v>
      </c>
      <c r="AE23" s="3">
        <f t="shared" si="8"/>
        <v>1</v>
      </c>
    </row>
    <row r="24" spans="1:31" ht="14.65" thickBot="1" x14ac:dyDescent="0.5">
      <c r="H24" s="11"/>
      <c r="I24" s="14">
        <f>I23+1</f>
        <v>18</v>
      </c>
      <c r="J24" s="63">
        <f t="shared" si="11"/>
        <v>85033.432874886974</v>
      </c>
      <c r="K24" s="63">
        <f t="shared" si="1"/>
        <v>375.5951757035254</v>
      </c>
      <c r="L24" s="63">
        <f t="shared" si="12"/>
        <v>-2175.578364378724</v>
      </c>
      <c r="M24" s="65">
        <f t="shared" si="0"/>
        <v>83233.449686211767</v>
      </c>
      <c r="O24" s="14">
        <f>O23+1</f>
        <v>18</v>
      </c>
      <c r="P24" s="54">
        <f t="shared" si="14"/>
        <v>6750</v>
      </c>
      <c r="Q24" s="63">
        <f t="shared" si="15"/>
        <v>4562.7391195787386</v>
      </c>
      <c r="R24" s="77">
        <f t="shared" si="2"/>
        <v>-2175.578364378724</v>
      </c>
      <c r="S24" s="63">
        <f t="shared" si="16"/>
        <v>-908.33333333333337</v>
      </c>
      <c r="T24" s="63"/>
      <c r="U24" s="63">
        <f t="shared" si="17"/>
        <v>-228.13695597893695</v>
      </c>
      <c r="V24" s="77">
        <f t="shared" si="20"/>
        <v>-159.63958333333335</v>
      </c>
      <c r="W24" s="83">
        <f t="shared" si="4"/>
        <v>1091.0508825544109</v>
      </c>
      <c r="X24" s="85">
        <f t="shared" si="18"/>
        <v>19065.644010979395</v>
      </c>
      <c r="Z24" s="92">
        <f t="shared" si="19"/>
        <v>76627</v>
      </c>
      <c r="AA24" s="5">
        <f t="shared" si="5"/>
        <v>0</v>
      </c>
      <c r="AB24" s="92">
        <f t="shared" si="6"/>
        <v>76627</v>
      </c>
      <c r="AD24" s="133">
        <f t="shared" si="7"/>
        <v>-16350.000000000004</v>
      </c>
      <c r="AE24" s="3">
        <f t="shared" si="8"/>
        <v>1</v>
      </c>
    </row>
    <row r="25" spans="1:31" ht="32.25" customHeight="1" thickBot="1" x14ac:dyDescent="0.5">
      <c r="A25" s="664" t="s">
        <v>21</v>
      </c>
      <c r="B25" s="665"/>
      <c r="C25" s="665"/>
      <c r="D25" s="665"/>
      <c r="E25" s="665"/>
      <c r="F25" s="665"/>
      <c r="G25" s="666"/>
      <c r="H25" s="11"/>
      <c r="I25" s="14">
        <f t="shared" si="10"/>
        <v>19</v>
      </c>
      <c r="J25" s="63">
        <f t="shared" si="11"/>
        <v>83233.449686211767</v>
      </c>
      <c r="K25" s="63">
        <f t="shared" si="1"/>
        <v>367.64459698222907</v>
      </c>
      <c r="L25" s="63">
        <f t="shared" si="12"/>
        <v>-2175.578364378724</v>
      </c>
      <c r="M25" s="65">
        <f t="shared" si="0"/>
        <v>81425.515918815261</v>
      </c>
      <c r="O25" s="14">
        <f t="shared" si="13"/>
        <v>19</v>
      </c>
      <c r="P25" s="54">
        <f t="shared" si="14"/>
        <v>7125</v>
      </c>
      <c r="Q25" s="63">
        <f t="shared" si="15"/>
        <v>4562.7391195787386</v>
      </c>
      <c r="R25" s="77">
        <f t="shared" si="2"/>
        <v>-2175.578364378724</v>
      </c>
      <c r="S25" s="63">
        <f t="shared" si="16"/>
        <v>-908.33333333333337</v>
      </c>
      <c r="T25" s="63"/>
      <c r="U25" s="63">
        <f t="shared" si="17"/>
        <v>-228.13695597893695</v>
      </c>
      <c r="V25" s="77">
        <f t="shared" si="20"/>
        <v>-155.89270833333333</v>
      </c>
      <c r="W25" s="83">
        <f t="shared" si="4"/>
        <v>1094.797757554411</v>
      </c>
      <c r="X25" s="85">
        <f t="shared" si="18"/>
        <v>20160.441768533805</v>
      </c>
      <c r="Z25" s="92">
        <f t="shared" si="19"/>
        <v>74828.5</v>
      </c>
      <c r="AA25" s="5">
        <f t="shared" si="5"/>
        <v>0</v>
      </c>
      <c r="AB25" s="92">
        <f t="shared" si="6"/>
        <v>74828.5</v>
      </c>
      <c r="AD25" s="133">
        <f t="shared" si="7"/>
        <v>-17258.333333333336</v>
      </c>
      <c r="AE25" s="3">
        <f t="shared" si="8"/>
        <v>1</v>
      </c>
    </row>
    <row r="26" spans="1:31" ht="28.9" thickBot="1" x14ac:dyDescent="0.5">
      <c r="A26" s="26" t="s">
        <v>0</v>
      </c>
      <c r="B26" s="27" t="s">
        <v>1</v>
      </c>
      <c r="C26" s="43" t="s">
        <v>22</v>
      </c>
      <c r="D26" s="43" t="s">
        <v>10</v>
      </c>
      <c r="E26" s="43" t="s">
        <v>23</v>
      </c>
      <c r="F26" s="43" t="s">
        <v>24</v>
      </c>
      <c r="G26" s="44" t="s">
        <v>25</v>
      </c>
      <c r="H26" s="11"/>
      <c r="I26" s="14">
        <f t="shared" si="10"/>
        <v>20</v>
      </c>
      <c r="J26" s="63">
        <f t="shared" si="11"/>
        <v>81425.515918815261</v>
      </c>
      <c r="K26" s="63">
        <f t="shared" si="1"/>
        <v>359.65890032072019</v>
      </c>
      <c r="L26" s="63">
        <f t="shared" si="12"/>
        <v>-2175.578364378724</v>
      </c>
      <c r="M26" s="65">
        <f t="shared" si="0"/>
        <v>79609.596454757251</v>
      </c>
      <c r="O26" s="14">
        <f t="shared" si="13"/>
        <v>20</v>
      </c>
      <c r="P26" s="54">
        <f t="shared" si="14"/>
        <v>7500</v>
      </c>
      <c r="Q26" s="63">
        <f t="shared" si="15"/>
        <v>4562.7391195787386</v>
      </c>
      <c r="R26" s="77">
        <f t="shared" si="2"/>
        <v>-2175.578364378724</v>
      </c>
      <c r="S26" s="63">
        <f t="shared" si="16"/>
        <v>-908.33333333333337</v>
      </c>
      <c r="T26" s="63"/>
      <c r="U26" s="63">
        <f t="shared" si="17"/>
        <v>-228.13695597893695</v>
      </c>
      <c r="V26" s="77">
        <f t="shared" si="20"/>
        <v>-152.14583333333334</v>
      </c>
      <c r="W26" s="83">
        <f t="shared" si="4"/>
        <v>1098.544632554411</v>
      </c>
      <c r="X26" s="85">
        <f t="shared" si="18"/>
        <v>21258.986401088216</v>
      </c>
      <c r="Z26" s="92">
        <f t="shared" si="19"/>
        <v>73030</v>
      </c>
      <c r="AA26" s="5">
        <f t="shared" si="5"/>
        <v>0</v>
      </c>
      <c r="AB26" s="92">
        <f t="shared" si="6"/>
        <v>73030</v>
      </c>
      <c r="AD26" s="133">
        <f t="shared" si="7"/>
        <v>-18166.666666666668</v>
      </c>
      <c r="AE26" s="3">
        <f t="shared" si="8"/>
        <v>1</v>
      </c>
    </row>
    <row r="27" spans="1:31" x14ac:dyDescent="0.45">
      <c r="A27" s="8">
        <v>1</v>
      </c>
      <c r="B27" s="9" t="s">
        <v>16</v>
      </c>
      <c r="C27" s="48">
        <v>1</v>
      </c>
      <c r="D27" s="153">
        <f>+F7</f>
        <v>109000</v>
      </c>
      <c r="E27" s="342">
        <f>+'Summary Equip'!AE16</f>
        <v>0.8</v>
      </c>
      <c r="F27" s="62">
        <f>E27*D27</f>
        <v>87200</v>
      </c>
      <c r="G27" s="60">
        <f>D27-F27</f>
        <v>21800</v>
      </c>
      <c r="H27" s="11"/>
      <c r="I27" s="14">
        <f t="shared" si="10"/>
        <v>21</v>
      </c>
      <c r="J27" s="63">
        <f t="shared" si="11"/>
        <v>79609.596454757251</v>
      </c>
      <c r="K27" s="63">
        <f t="shared" si="1"/>
        <v>351.63793060202318</v>
      </c>
      <c r="L27" s="63">
        <f t="shared" si="12"/>
        <v>-2175.578364378724</v>
      </c>
      <c r="M27" s="65">
        <f t="shared" si="0"/>
        <v>77785.656020980547</v>
      </c>
      <c r="O27" s="14">
        <f t="shared" si="13"/>
        <v>21</v>
      </c>
      <c r="P27" s="54">
        <f t="shared" si="14"/>
        <v>7875</v>
      </c>
      <c r="Q27" s="63">
        <f t="shared" si="15"/>
        <v>4562.7391195787386</v>
      </c>
      <c r="R27" s="77">
        <f t="shared" si="2"/>
        <v>-2175.578364378724</v>
      </c>
      <c r="S27" s="63">
        <f t="shared" si="16"/>
        <v>-908.33333333333337</v>
      </c>
      <c r="T27" s="63"/>
      <c r="U27" s="63">
        <f t="shared" si="17"/>
        <v>-228.13695597893695</v>
      </c>
      <c r="V27" s="77">
        <f t="shared" si="20"/>
        <v>-148.39895833333335</v>
      </c>
      <c r="W27" s="83">
        <f t="shared" si="4"/>
        <v>1102.2915075544108</v>
      </c>
      <c r="X27" s="85">
        <f t="shared" si="18"/>
        <v>22361.277908642627</v>
      </c>
      <c r="Z27" s="92">
        <f t="shared" si="19"/>
        <v>71231.5</v>
      </c>
      <c r="AA27" s="5">
        <f t="shared" si="5"/>
        <v>0</v>
      </c>
      <c r="AB27" s="92">
        <f t="shared" si="6"/>
        <v>71231.5</v>
      </c>
      <c r="AD27" s="133">
        <f t="shared" si="7"/>
        <v>-19075</v>
      </c>
      <c r="AE27" s="3">
        <f t="shared" si="8"/>
        <v>1</v>
      </c>
    </row>
    <row r="28" spans="1:31" x14ac:dyDescent="0.45">
      <c r="A28" s="4">
        <f>A27+1</f>
        <v>2</v>
      </c>
      <c r="B28" s="5" t="s">
        <v>12</v>
      </c>
      <c r="C28" s="19">
        <f>C11</f>
        <v>0.01</v>
      </c>
      <c r="D28" s="300">
        <f>-C28*D27</f>
        <v>-1090</v>
      </c>
      <c r="E28" s="23">
        <f>E27</f>
        <v>0.8</v>
      </c>
      <c r="F28" s="63">
        <f t="shared" ref="F28:F33" si="22">E28*D28</f>
        <v>-872</v>
      </c>
      <c r="G28" s="65">
        <f>D28-F28</f>
        <v>-218</v>
      </c>
      <c r="H28" s="11"/>
      <c r="I28" s="14">
        <f t="shared" si="10"/>
        <v>22</v>
      </c>
      <c r="J28" s="63">
        <f t="shared" si="11"/>
        <v>77785.656020980547</v>
      </c>
      <c r="K28" s="63">
        <f t="shared" si="1"/>
        <v>343.58153202400644</v>
      </c>
      <c r="L28" s="63">
        <f t="shared" si="12"/>
        <v>-2175.578364378724</v>
      </c>
      <c r="M28" s="65">
        <f t="shared" si="0"/>
        <v>75953.659188625825</v>
      </c>
      <c r="O28" s="14">
        <f t="shared" si="13"/>
        <v>22</v>
      </c>
      <c r="P28" s="54">
        <f t="shared" si="14"/>
        <v>8250</v>
      </c>
      <c r="Q28" s="63">
        <f t="shared" si="15"/>
        <v>4562.7391195787386</v>
      </c>
      <c r="R28" s="77">
        <f t="shared" si="2"/>
        <v>-2175.578364378724</v>
      </c>
      <c r="S28" s="63">
        <f t="shared" si="16"/>
        <v>-908.33333333333337</v>
      </c>
      <c r="T28" s="63"/>
      <c r="U28" s="63">
        <f t="shared" si="17"/>
        <v>-228.13695597893695</v>
      </c>
      <c r="V28" s="77">
        <f t="shared" si="20"/>
        <v>-144.65208333333334</v>
      </c>
      <c r="W28" s="83">
        <f t="shared" si="4"/>
        <v>1106.0383825544109</v>
      </c>
      <c r="X28" s="85">
        <f t="shared" si="18"/>
        <v>23467.316291197039</v>
      </c>
      <c r="Z28" s="92">
        <f t="shared" si="19"/>
        <v>69433</v>
      </c>
      <c r="AA28" s="5">
        <f t="shared" si="5"/>
        <v>0</v>
      </c>
      <c r="AB28" s="92">
        <f t="shared" si="6"/>
        <v>69433</v>
      </c>
      <c r="AD28" s="133">
        <f t="shared" si="7"/>
        <v>-19983.333333333332</v>
      </c>
      <c r="AE28" s="3">
        <f t="shared" si="8"/>
        <v>1</v>
      </c>
    </row>
    <row r="29" spans="1:31" x14ac:dyDescent="0.45">
      <c r="A29" s="4">
        <f t="shared" ref="A29:A34" si="23">A28+1</f>
        <v>3</v>
      </c>
      <c r="B29" s="5" t="s">
        <v>17</v>
      </c>
      <c r="C29" s="24">
        <f>C8</f>
        <v>5.2999999999999999E-2</v>
      </c>
      <c r="D29" s="63">
        <f>K67</f>
        <v>15351.841834389263</v>
      </c>
      <c r="E29" s="23">
        <v>1</v>
      </c>
      <c r="F29" s="63">
        <f t="shared" si="22"/>
        <v>15351.841834389263</v>
      </c>
      <c r="G29" s="65">
        <f>D29-F29</f>
        <v>0</v>
      </c>
      <c r="H29" s="11"/>
      <c r="I29" s="14">
        <f t="shared" si="10"/>
        <v>23</v>
      </c>
      <c r="J29" s="63">
        <f t="shared" si="11"/>
        <v>75953.659188625825</v>
      </c>
      <c r="K29" s="63">
        <f t="shared" si="1"/>
        <v>335.48954809635541</v>
      </c>
      <c r="L29" s="63">
        <f t="shared" si="12"/>
        <v>-2175.578364378724</v>
      </c>
      <c r="M29" s="65">
        <f t="shared" si="0"/>
        <v>74113.570372343456</v>
      </c>
      <c r="O29" s="14">
        <f t="shared" si="13"/>
        <v>23</v>
      </c>
      <c r="P29" s="54">
        <f t="shared" si="14"/>
        <v>8625</v>
      </c>
      <c r="Q29" s="63">
        <f t="shared" si="15"/>
        <v>4562.7391195787386</v>
      </c>
      <c r="R29" s="77">
        <f t="shared" si="2"/>
        <v>-2175.578364378724</v>
      </c>
      <c r="S29" s="63">
        <f t="shared" si="16"/>
        <v>-908.33333333333337</v>
      </c>
      <c r="T29" s="63"/>
      <c r="U29" s="63">
        <f t="shared" si="17"/>
        <v>-228.13695597893695</v>
      </c>
      <c r="V29" s="77">
        <f t="shared" si="20"/>
        <v>-140.90520833333335</v>
      </c>
      <c r="W29" s="83">
        <f t="shared" si="4"/>
        <v>1109.7852575544109</v>
      </c>
      <c r="X29" s="85">
        <f t="shared" si="18"/>
        <v>24577.101548751449</v>
      </c>
      <c r="Z29" s="92">
        <f t="shared" si="19"/>
        <v>67634.5</v>
      </c>
      <c r="AA29" s="5">
        <f t="shared" si="5"/>
        <v>0</v>
      </c>
      <c r="AB29" s="92">
        <f t="shared" si="6"/>
        <v>67634.5</v>
      </c>
      <c r="AD29" s="133">
        <f t="shared" si="7"/>
        <v>-20891.666666666664</v>
      </c>
      <c r="AE29" s="3">
        <f t="shared" si="8"/>
        <v>1</v>
      </c>
    </row>
    <row r="30" spans="1:31" x14ac:dyDescent="0.45">
      <c r="A30" s="4">
        <f t="shared" si="23"/>
        <v>4</v>
      </c>
      <c r="B30" s="5" t="s">
        <v>6</v>
      </c>
      <c r="C30" s="23">
        <f>C9</f>
        <v>2.5000000000000001E-2</v>
      </c>
      <c r="D30" s="63">
        <f>-V67</f>
        <v>6493.675000000002</v>
      </c>
      <c r="E30" s="23">
        <v>1</v>
      </c>
      <c r="F30" s="63">
        <f t="shared" si="22"/>
        <v>6493.675000000002</v>
      </c>
      <c r="G30" s="65">
        <f>D30-F30</f>
        <v>0</v>
      </c>
      <c r="H30" s="11"/>
      <c r="I30" s="14">
        <f t="shared" si="10"/>
        <v>24</v>
      </c>
      <c r="J30" s="63">
        <f t="shared" si="11"/>
        <v>74113.570372343456</v>
      </c>
      <c r="K30" s="63">
        <f t="shared" si="1"/>
        <v>327.36182163753358</v>
      </c>
      <c r="L30" s="63">
        <f t="shared" si="12"/>
        <v>-2175.578364378724</v>
      </c>
      <c r="M30" s="65">
        <f t="shared" si="0"/>
        <v>72265.35382960226</v>
      </c>
      <c r="O30" s="14">
        <f t="shared" si="13"/>
        <v>24</v>
      </c>
      <c r="P30" s="54">
        <f t="shared" si="14"/>
        <v>9000</v>
      </c>
      <c r="Q30" s="63">
        <f t="shared" si="15"/>
        <v>4562.7391195787386</v>
      </c>
      <c r="R30" s="77">
        <f t="shared" si="2"/>
        <v>-2175.578364378724</v>
      </c>
      <c r="S30" s="63">
        <f t="shared" si="16"/>
        <v>-908.33333333333337</v>
      </c>
      <c r="T30" s="63"/>
      <c r="U30" s="63">
        <f t="shared" si="17"/>
        <v>-228.13695597893695</v>
      </c>
      <c r="V30" s="77">
        <f t="shared" si="20"/>
        <v>-137.15833333333333</v>
      </c>
      <c r="W30" s="83">
        <f t="shared" si="4"/>
        <v>1113.532132554411</v>
      </c>
      <c r="X30" s="85">
        <f t="shared" si="18"/>
        <v>25690.633681305859</v>
      </c>
      <c r="Z30" s="92">
        <f t="shared" si="19"/>
        <v>65836</v>
      </c>
      <c r="AA30" s="5">
        <f t="shared" si="5"/>
        <v>0</v>
      </c>
      <c r="AB30" s="92">
        <f t="shared" si="6"/>
        <v>65836</v>
      </c>
      <c r="AD30" s="133">
        <f t="shared" si="7"/>
        <v>-21799.999999999996</v>
      </c>
      <c r="AE30" s="3">
        <f t="shared" si="8"/>
        <v>1</v>
      </c>
    </row>
    <row r="31" spans="1:31" x14ac:dyDescent="0.45">
      <c r="A31" s="4">
        <f t="shared" si="23"/>
        <v>5</v>
      </c>
      <c r="B31" s="5" t="s">
        <v>27</v>
      </c>
      <c r="C31" s="334">
        <f>+'Summary Equip'!AH16</f>
        <v>0.5</v>
      </c>
      <c r="D31" s="63">
        <f>D27*C31</f>
        <v>54500</v>
      </c>
      <c r="E31" s="334">
        <f>+ASSUMPTIONS!B43</f>
        <v>0.1</v>
      </c>
      <c r="F31" s="63">
        <f t="shared" si="22"/>
        <v>5450</v>
      </c>
      <c r="G31" s="65">
        <f>D31</f>
        <v>54500</v>
      </c>
      <c r="H31" s="11"/>
      <c r="I31" s="14">
        <f t="shared" si="10"/>
        <v>25</v>
      </c>
      <c r="J31" s="63">
        <f t="shared" si="11"/>
        <v>72265.35382960226</v>
      </c>
      <c r="K31" s="63">
        <f t="shared" si="1"/>
        <v>319.19819477172877</v>
      </c>
      <c r="L31" s="63">
        <f t="shared" si="12"/>
        <v>-2175.578364378724</v>
      </c>
      <c r="M31" s="65">
        <f t="shared" si="0"/>
        <v>70408.973659995259</v>
      </c>
      <c r="O31" s="14">
        <f t="shared" si="13"/>
        <v>25</v>
      </c>
      <c r="P31" s="54">
        <f t="shared" si="14"/>
        <v>9375</v>
      </c>
      <c r="Q31" s="63">
        <f t="shared" si="15"/>
        <v>4562.7391195787386</v>
      </c>
      <c r="R31" s="77">
        <f t="shared" si="2"/>
        <v>-2175.578364378724</v>
      </c>
      <c r="S31" s="63">
        <f t="shared" si="16"/>
        <v>-908.33333333333337</v>
      </c>
      <c r="T31" s="63"/>
      <c r="U31" s="63">
        <f t="shared" si="17"/>
        <v>-228.13695597893695</v>
      </c>
      <c r="V31" s="77">
        <f t="shared" si="20"/>
        <v>-133.41145833333334</v>
      </c>
      <c r="W31" s="83">
        <f t="shared" si="4"/>
        <v>1117.279007554411</v>
      </c>
      <c r="X31" s="85">
        <f t="shared" si="18"/>
        <v>26807.91268886027</v>
      </c>
      <c r="Z31" s="92">
        <f t="shared" si="19"/>
        <v>64037.5</v>
      </c>
      <c r="AA31" s="5">
        <f t="shared" si="5"/>
        <v>0</v>
      </c>
      <c r="AB31" s="92">
        <f t="shared" si="6"/>
        <v>64037.5</v>
      </c>
      <c r="AD31" s="133">
        <f t="shared" si="7"/>
        <v>-22708.333333333328</v>
      </c>
      <c r="AE31" s="3">
        <f t="shared" si="8"/>
        <v>1</v>
      </c>
    </row>
    <row r="32" spans="1:31" x14ac:dyDescent="0.45">
      <c r="A32" s="4">
        <f t="shared" si="23"/>
        <v>6</v>
      </c>
      <c r="B32" s="5" t="s">
        <v>26</v>
      </c>
      <c r="C32" s="335">
        <f>+'Summary Equip'!AI16</f>
        <v>0.15</v>
      </c>
      <c r="D32" s="63">
        <f>D27*C32</f>
        <v>16350</v>
      </c>
      <c r="E32" s="334">
        <f>+ASSUMPTIONS!B44</f>
        <v>0.05</v>
      </c>
      <c r="F32" s="63">
        <f t="shared" si="22"/>
        <v>817.5</v>
      </c>
      <c r="G32" s="65">
        <f>D32</f>
        <v>16350</v>
      </c>
      <c r="H32" s="11"/>
      <c r="I32" s="14">
        <f t="shared" si="10"/>
        <v>26</v>
      </c>
      <c r="J32" s="63">
        <f t="shared" si="11"/>
        <v>70408.973659995259</v>
      </c>
      <c r="K32" s="63">
        <f t="shared" si="1"/>
        <v>310.99850892578661</v>
      </c>
      <c r="L32" s="63">
        <f t="shared" si="12"/>
        <v>-2175.578364378724</v>
      </c>
      <c r="M32" s="65">
        <f t="shared" si="0"/>
        <v>68544.393804542313</v>
      </c>
      <c r="O32" s="14">
        <f t="shared" si="13"/>
        <v>26</v>
      </c>
      <c r="P32" s="54">
        <f t="shared" si="14"/>
        <v>9750</v>
      </c>
      <c r="Q32" s="63">
        <f t="shared" si="15"/>
        <v>4562.7391195787386</v>
      </c>
      <c r="R32" s="77">
        <f t="shared" si="2"/>
        <v>-2175.578364378724</v>
      </c>
      <c r="S32" s="63">
        <f t="shared" si="16"/>
        <v>-908.33333333333337</v>
      </c>
      <c r="T32" s="63"/>
      <c r="U32" s="63">
        <f t="shared" si="17"/>
        <v>-228.13695597893695</v>
      </c>
      <c r="V32" s="77">
        <f t="shared" si="20"/>
        <v>-129.66458333333335</v>
      </c>
      <c r="W32" s="83">
        <f t="shared" si="4"/>
        <v>1121.0258825544108</v>
      </c>
      <c r="X32" s="85">
        <f t="shared" si="18"/>
        <v>27928.938571414681</v>
      </c>
      <c r="Z32" s="92">
        <f t="shared" si="19"/>
        <v>62239</v>
      </c>
      <c r="AA32" s="5">
        <f t="shared" si="5"/>
        <v>0</v>
      </c>
      <c r="AB32" s="92">
        <f t="shared" si="6"/>
        <v>62239</v>
      </c>
      <c r="AD32" s="133">
        <f t="shared" si="7"/>
        <v>-23616.666666666661</v>
      </c>
      <c r="AE32" s="3">
        <f t="shared" si="8"/>
        <v>1</v>
      </c>
    </row>
    <row r="33" spans="1:31" ht="14.65" thickBot="1" x14ac:dyDescent="0.5">
      <c r="A33" s="6">
        <f t="shared" si="23"/>
        <v>7</v>
      </c>
      <c r="B33" s="7" t="s">
        <v>32</v>
      </c>
      <c r="C33" s="336">
        <f>+'Summary Equip'!AJ16</f>
        <v>0.03</v>
      </c>
      <c r="D33" s="64">
        <f>D27*C33</f>
        <v>3270</v>
      </c>
      <c r="E33" s="334">
        <f>+ASSUMPTIONS!B45</f>
        <v>0</v>
      </c>
      <c r="F33" s="64">
        <f t="shared" si="22"/>
        <v>0</v>
      </c>
      <c r="G33" s="66">
        <f>D33</f>
        <v>3270</v>
      </c>
      <c r="H33" s="11"/>
      <c r="I33" s="14">
        <f t="shared" si="10"/>
        <v>27</v>
      </c>
      <c r="J33" s="63">
        <f t="shared" si="11"/>
        <v>68544.393804542313</v>
      </c>
      <c r="K33" s="63">
        <f t="shared" si="1"/>
        <v>302.7626048261306</v>
      </c>
      <c r="L33" s="63">
        <f t="shared" si="12"/>
        <v>-2175.578364378724</v>
      </c>
      <c r="M33" s="65">
        <f t="shared" si="0"/>
        <v>66671.578044989714</v>
      </c>
      <c r="O33" s="14">
        <f t="shared" si="13"/>
        <v>27</v>
      </c>
      <c r="P33" s="54">
        <f t="shared" si="14"/>
        <v>10125</v>
      </c>
      <c r="Q33" s="63">
        <f t="shared" si="15"/>
        <v>4562.7391195787386</v>
      </c>
      <c r="R33" s="77">
        <f t="shared" si="2"/>
        <v>-2175.578364378724</v>
      </c>
      <c r="S33" s="63">
        <f t="shared" si="16"/>
        <v>-908.33333333333337</v>
      </c>
      <c r="T33" s="63"/>
      <c r="U33" s="63">
        <f t="shared" si="17"/>
        <v>-228.13695597893695</v>
      </c>
      <c r="V33" s="77">
        <f t="shared" si="20"/>
        <v>-125.91770833333334</v>
      </c>
      <c r="W33" s="83">
        <f t="shared" si="4"/>
        <v>1124.7727575544109</v>
      </c>
      <c r="X33" s="85">
        <f t="shared" si="18"/>
        <v>29053.711328969093</v>
      </c>
      <c r="Z33" s="92">
        <f t="shared" si="19"/>
        <v>60440.5</v>
      </c>
      <c r="AA33" s="5">
        <f t="shared" si="5"/>
        <v>0</v>
      </c>
      <c r="AB33" s="92">
        <f t="shared" si="6"/>
        <v>60440.5</v>
      </c>
      <c r="AD33" s="133">
        <f t="shared" si="7"/>
        <v>-24524.999999999993</v>
      </c>
      <c r="AE33" s="3">
        <f t="shared" si="8"/>
        <v>1</v>
      </c>
    </row>
    <row r="34" spans="1:31" ht="14.65" thickBot="1" x14ac:dyDescent="0.5">
      <c r="A34" s="33">
        <f t="shared" si="23"/>
        <v>8</v>
      </c>
      <c r="B34" s="30" t="s">
        <v>8</v>
      </c>
      <c r="C34" s="45"/>
      <c r="D34" s="46"/>
      <c r="E34" s="47"/>
      <c r="F34" s="67">
        <f>SUM(F27:F33)</f>
        <v>114441.01683438926</v>
      </c>
      <c r="G34" s="68">
        <f>SUM(G27:G33)</f>
        <v>95702</v>
      </c>
      <c r="H34" s="11"/>
      <c r="I34" s="14">
        <f t="shared" si="10"/>
        <v>28</v>
      </c>
      <c r="J34" s="63">
        <f t="shared" si="11"/>
        <v>66671.578044989714</v>
      </c>
      <c r="K34" s="63">
        <f t="shared" si="1"/>
        <v>294.49032249566824</v>
      </c>
      <c r="L34" s="63">
        <f t="shared" si="12"/>
        <v>-2175.578364378724</v>
      </c>
      <c r="M34" s="65">
        <f t="shared" si="0"/>
        <v>64790.490003106657</v>
      </c>
      <c r="O34" s="14">
        <f t="shared" si="13"/>
        <v>28</v>
      </c>
      <c r="P34" s="54">
        <f t="shared" si="14"/>
        <v>10500</v>
      </c>
      <c r="Q34" s="63">
        <f t="shared" si="15"/>
        <v>4562.7391195787386</v>
      </c>
      <c r="R34" s="77">
        <f t="shared" si="2"/>
        <v>-2175.578364378724</v>
      </c>
      <c r="S34" s="63">
        <f t="shared" si="16"/>
        <v>-908.33333333333337</v>
      </c>
      <c r="T34" s="63"/>
      <c r="U34" s="63">
        <f t="shared" si="17"/>
        <v>-228.13695597893695</v>
      </c>
      <c r="V34" s="77">
        <f t="shared" si="20"/>
        <v>-122.17083333333335</v>
      </c>
      <c r="W34" s="83">
        <f t="shared" si="4"/>
        <v>1128.5196325544109</v>
      </c>
      <c r="X34" s="85">
        <f t="shared" si="18"/>
        <v>30182.230961523503</v>
      </c>
      <c r="Z34" s="92">
        <f t="shared" si="19"/>
        <v>58642</v>
      </c>
      <c r="AA34" s="5">
        <f t="shared" si="5"/>
        <v>0</v>
      </c>
      <c r="AB34" s="92">
        <f t="shared" si="6"/>
        <v>58642</v>
      </c>
      <c r="AD34" s="133">
        <f t="shared" si="7"/>
        <v>-25433.333333333325</v>
      </c>
      <c r="AE34" s="3">
        <f t="shared" si="8"/>
        <v>1</v>
      </c>
    </row>
    <row r="35" spans="1:31" ht="14.65" thickBot="1" x14ac:dyDescent="0.5">
      <c r="A35" s="31">
        <f>A34+1</f>
        <v>9</v>
      </c>
      <c r="B35" s="32" t="s">
        <v>7</v>
      </c>
      <c r="C35" s="42">
        <f>+C10</f>
        <v>0.05</v>
      </c>
      <c r="D35" s="22"/>
      <c r="E35" s="34"/>
      <c r="F35" s="69">
        <f>F36-F34</f>
        <v>6023.2114123362844</v>
      </c>
      <c r="G35" s="70">
        <f>G36-G34</f>
        <v>5036.9473684210534</v>
      </c>
      <c r="H35" s="11"/>
      <c r="I35" s="14">
        <f t="shared" si="10"/>
        <v>29</v>
      </c>
      <c r="J35" s="63">
        <f t="shared" si="11"/>
        <v>64790.490003106657</v>
      </c>
      <c r="K35" s="63">
        <f t="shared" si="1"/>
        <v>286.1815012506832</v>
      </c>
      <c r="L35" s="63">
        <f t="shared" si="12"/>
        <v>-2175.578364378724</v>
      </c>
      <c r="M35" s="65">
        <f t="shared" si="0"/>
        <v>62901.09313997862</v>
      </c>
      <c r="O35" s="14">
        <f t="shared" si="13"/>
        <v>29</v>
      </c>
      <c r="P35" s="54">
        <f t="shared" si="14"/>
        <v>10875</v>
      </c>
      <c r="Q35" s="63">
        <f t="shared" si="15"/>
        <v>4562.7391195787386</v>
      </c>
      <c r="R35" s="77">
        <f t="shared" si="2"/>
        <v>-2175.578364378724</v>
      </c>
      <c r="S35" s="63">
        <f t="shared" si="16"/>
        <v>-908.33333333333337</v>
      </c>
      <c r="T35" s="63"/>
      <c r="U35" s="63">
        <f t="shared" si="17"/>
        <v>-228.13695597893695</v>
      </c>
      <c r="V35" s="77">
        <f t="shared" si="20"/>
        <v>-118.42395833333335</v>
      </c>
      <c r="W35" s="83">
        <f t="shared" si="4"/>
        <v>1132.266507554411</v>
      </c>
      <c r="X35" s="85">
        <f t="shared" si="18"/>
        <v>31314.497469077913</v>
      </c>
      <c r="Z35" s="92">
        <f t="shared" si="19"/>
        <v>56843.5</v>
      </c>
      <c r="AA35" s="5">
        <f t="shared" si="5"/>
        <v>0</v>
      </c>
      <c r="AB35" s="92">
        <f t="shared" si="6"/>
        <v>56843.5</v>
      </c>
      <c r="AD35" s="133">
        <f t="shared" si="7"/>
        <v>-26341.666666666657</v>
      </c>
      <c r="AE35" s="3">
        <f t="shared" si="8"/>
        <v>1</v>
      </c>
    </row>
    <row r="36" spans="1:31" ht="14.65" thickBot="1" x14ac:dyDescent="0.5">
      <c r="A36" s="37">
        <f>A35+1</f>
        <v>10</v>
      </c>
      <c r="B36" s="38" t="s">
        <v>28</v>
      </c>
      <c r="C36" s="39"/>
      <c r="D36" s="40"/>
      <c r="E36" s="41"/>
      <c r="F36" s="71">
        <f>F34/(100%-C35)</f>
        <v>120464.22824672554</v>
      </c>
      <c r="G36" s="72">
        <f>G34/(100%-C35)</f>
        <v>100738.94736842105</v>
      </c>
      <c r="H36" s="11"/>
      <c r="I36" s="14">
        <f t="shared" si="10"/>
        <v>30</v>
      </c>
      <c r="J36" s="63">
        <f t="shared" si="11"/>
        <v>62901.09313997862</v>
      </c>
      <c r="K36" s="63">
        <f t="shared" si="1"/>
        <v>277.83597969771472</v>
      </c>
      <c r="L36" s="63">
        <f t="shared" si="12"/>
        <v>-2175.578364378724</v>
      </c>
      <c r="M36" s="65">
        <f t="shared" si="0"/>
        <v>61003.350755297615</v>
      </c>
      <c r="O36" s="14">
        <f t="shared" si="13"/>
        <v>30</v>
      </c>
      <c r="P36" s="54">
        <f t="shared" si="14"/>
        <v>11250</v>
      </c>
      <c r="Q36" s="63">
        <f t="shared" si="15"/>
        <v>4562.7391195787386</v>
      </c>
      <c r="R36" s="77">
        <f t="shared" si="2"/>
        <v>-2175.578364378724</v>
      </c>
      <c r="S36" s="63">
        <f t="shared" si="16"/>
        <v>-908.33333333333337</v>
      </c>
      <c r="T36" s="63">
        <f>-T68*0.5</f>
        <v>-8175</v>
      </c>
      <c r="U36" s="63">
        <f t="shared" si="17"/>
        <v>-228.13695597893695</v>
      </c>
      <c r="V36" s="77">
        <f t="shared" si="20"/>
        <v>-114.67708333333333</v>
      </c>
      <c r="W36" s="83">
        <f t="shared" si="4"/>
        <v>-7038.9866174455892</v>
      </c>
      <c r="X36" s="85">
        <f t="shared" si="18"/>
        <v>24275.510851632323</v>
      </c>
      <c r="Z36" s="92">
        <f t="shared" si="19"/>
        <v>55045</v>
      </c>
      <c r="AA36" s="5">
        <f t="shared" si="5"/>
        <v>0</v>
      </c>
      <c r="AB36" s="92">
        <f t="shared" si="6"/>
        <v>55045</v>
      </c>
      <c r="AD36" s="133">
        <f t="shared" si="7"/>
        <v>-27249.999999999989</v>
      </c>
      <c r="AE36" s="3">
        <f t="shared" si="8"/>
        <v>1</v>
      </c>
    </row>
    <row r="37" spans="1:31" x14ac:dyDescent="0.45">
      <c r="C37" s="11"/>
      <c r="D37" s="11"/>
      <c r="E37" s="11"/>
      <c r="F37" s="11"/>
      <c r="G37" s="11"/>
      <c r="H37" s="11"/>
      <c r="I37" s="14">
        <f t="shared" si="10"/>
        <v>31</v>
      </c>
      <c r="J37" s="63">
        <f t="shared" si="11"/>
        <v>61003.350755297615</v>
      </c>
      <c r="K37" s="63">
        <f t="shared" si="1"/>
        <v>269.45359573042231</v>
      </c>
      <c r="L37" s="63">
        <f t="shared" si="12"/>
        <v>-2175.578364378724</v>
      </c>
      <c r="M37" s="65">
        <f t="shared" si="0"/>
        <v>59097.225986649319</v>
      </c>
      <c r="O37" s="14">
        <f t="shared" si="13"/>
        <v>31</v>
      </c>
      <c r="P37" s="54">
        <f t="shared" si="14"/>
        <v>11625</v>
      </c>
      <c r="Q37" s="63">
        <f t="shared" si="15"/>
        <v>4562.7391195787386</v>
      </c>
      <c r="R37" s="77">
        <f t="shared" si="2"/>
        <v>-2175.578364378724</v>
      </c>
      <c r="S37" s="63">
        <f t="shared" si="16"/>
        <v>-908.33333333333337</v>
      </c>
      <c r="T37" s="63"/>
      <c r="U37" s="63">
        <f t="shared" si="17"/>
        <v>-228.13695597893695</v>
      </c>
      <c r="V37" s="77">
        <f t="shared" si="20"/>
        <v>-110.93020833333334</v>
      </c>
      <c r="W37" s="83">
        <f t="shared" si="4"/>
        <v>1139.7602575544108</v>
      </c>
      <c r="X37" s="85">
        <f t="shared" si="18"/>
        <v>25415.271109186735</v>
      </c>
      <c r="Z37" s="92">
        <f t="shared" si="19"/>
        <v>53246.5</v>
      </c>
      <c r="AA37" s="5">
        <f t="shared" si="5"/>
        <v>0</v>
      </c>
      <c r="AB37" s="92">
        <f t="shared" si="6"/>
        <v>53246.5</v>
      </c>
      <c r="AD37" s="133">
        <f t="shared" si="7"/>
        <v>-28158.333333333321</v>
      </c>
      <c r="AE37" s="3">
        <f t="shared" si="8"/>
        <v>1</v>
      </c>
    </row>
    <row r="38" spans="1:31" x14ac:dyDescent="0.45">
      <c r="C38" s="11"/>
      <c r="D38" s="11"/>
      <c r="E38" s="11"/>
      <c r="F38" s="11"/>
      <c r="G38" s="11"/>
      <c r="H38" s="11"/>
      <c r="I38" s="14">
        <f t="shared" si="10"/>
        <v>32</v>
      </c>
      <c r="J38" s="63">
        <f t="shared" si="11"/>
        <v>59097.225986649319</v>
      </c>
      <c r="K38" s="63">
        <f t="shared" si="1"/>
        <v>261.03418652643688</v>
      </c>
      <c r="L38" s="63">
        <f t="shared" si="12"/>
        <v>-2175.578364378724</v>
      </c>
      <c r="M38" s="65">
        <f t="shared" si="0"/>
        <v>57182.681808797031</v>
      </c>
      <c r="O38" s="14">
        <f t="shared" si="13"/>
        <v>32</v>
      </c>
      <c r="P38" s="54">
        <f t="shared" si="14"/>
        <v>12000</v>
      </c>
      <c r="Q38" s="63">
        <f t="shared" si="15"/>
        <v>4562.7391195787386</v>
      </c>
      <c r="R38" s="77">
        <f t="shared" si="2"/>
        <v>-2175.578364378724</v>
      </c>
      <c r="S38" s="63">
        <f t="shared" si="16"/>
        <v>-908.33333333333337</v>
      </c>
      <c r="T38" s="63"/>
      <c r="U38" s="63">
        <f t="shared" si="17"/>
        <v>-228.13695597893695</v>
      </c>
      <c r="V38" s="77">
        <f t="shared" si="20"/>
        <v>-107.18333333333334</v>
      </c>
      <c r="W38" s="83">
        <f t="shared" si="4"/>
        <v>1143.5071325544109</v>
      </c>
      <c r="X38" s="85">
        <f t="shared" si="18"/>
        <v>26558.778241741147</v>
      </c>
      <c r="Z38" s="92">
        <f t="shared" si="19"/>
        <v>51448</v>
      </c>
      <c r="AA38" s="5">
        <f t="shared" si="5"/>
        <v>0</v>
      </c>
      <c r="AB38" s="92">
        <f t="shared" si="6"/>
        <v>51448</v>
      </c>
      <c r="AD38" s="133">
        <f t="shared" si="7"/>
        <v>-29066.666666666653</v>
      </c>
      <c r="AE38" s="3">
        <f t="shared" si="8"/>
        <v>1</v>
      </c>
    </row>
    <row r="39" spans="1:31" x14ac:dyDescent="0.45">
      <c r="C39" s="11"/>
      <c r="D39" s="11"/>
      <c r="E39" s="11"/>
      <c r="F39" s="11"/>
      <c r="G39" s="11"/>
      <c r="H39" s="11"/>
      <c r="I39" s="14">
        <f t="shared" si="10"/>
        <v>33</v>
      </c>
      <c r="J39" s="63">
        <f t="shared" si="11"/>
        <v>57182.681808797031</v>
      </c>
      <c r="K39" s="63">
        <f t="shared" si="1"/>
        <v>252.57758854419831</v>
      </c>
      <c r="L39" s="63">
        <f t="shared" si="12"/>
        <v>-2175.578364378724</v>
      </c>
      <c r="M39" s="65">
        <f t="shared" si="0"/>
        <v>55259.681032962508</v>
      </c>
      <c r="O39" s="14">
        <f t="shared" si="13"/>
        <v>33</v>
      </c>
      <c r="P39" s="54">
        <f t="shared" si="14"/>
        <v>12375</v>
      </c>
      <c r="Q39" s="63">
        <f t="shared" si="15"/>
        <v>4562.7391195787386</v>
      </c>
      <c r="R39" s="77">
        <f t="shared" si="2"/>
        <v>-2175.578364378724</v>
      </c>
      <c r="S39" s="63">
        <f t="shared" si="16"/>
        <v>-908.33333333333337</v>
      </c>
      <c r="T39" s="63"/>
      <c r="U39" s="63">
        <f t="shared" si="17"/>
        <v>-228.13695597893695</v>
      </c>
      <c r="V39" s="77">
        <f t="shared" si="20"/>
        <v>-103.43645833333335</v>
      </c>
      <c r="W39" s="83">
        <f t="shared" si="4"/>
        <v>1147.2540075544109</v>
      </c>
      <c r="X39" s="85">
        <f t="shared" si="18"/>
        <v>27706.032249295557</v>
      </c>
      <c r="Z39" s="92">
        <f t="shared" si="19"/>
        <v>49649.5</v>
      </c>
      <c r="AA39" s="5">
        <f t="shared" si="5"/>
        <v>0</v>
      </c>
      <c r="AB39" s="92">
        <f t="shared" si="6"/>
        <v>49649.5</v>
      </c>
      <c r="AD39" s="133">
        <f t="shared" si="7"/>
        <v>-29974.999999999985</v>
      </c>
      <c r="AE39" s="3">
        <f t="shared" si="8"/>
        <v>1</v>
      </c>
    </row>
    <row r="40" spans="1:31" ht="14.65" thickBot="1" x14ac:dyDescent="0.5">
      <c r="C40" s="11"/>
      <c r="D40" s="11"/>
      <c r="E40" s="11"/>
      <c r="F40" s="11"/>
      <c r="G40" s="11"/>
      <c r="H40" s="11"/>
      <c r="I40" s="14">
        <f t="shared" si="10"/>
        <v>34</v>
      </c>
      <c r="J40" s="63">
        <f t="shared" si="11"/>
        <v>55259.681032962508</v>
      </c>
      <c r="K40" s="63">
        <f t="shared" si="1"/>
        <v>244.08363751977845</v>
      </c>
      <c r="L40" s="63">
        <f t="shared" si="12"/>
        <v>-2175.578364378724</v>
      </c>
      <c r="M40" s="65">
        <f t="shared" si="0"/>
        <v>53328.186306103562</v>
      </c>
      <c r="O40" s="14">
        <f t="shared" si="13"/>
        <v>34</v>
      </c>
      <c r="P40" s="54">
        <f t="shared" si="14"/>
        <v>12750</v>
      </c>
      <c r="Q40" s="63">
        <f t="shared" si="15"/>
        <v>4562.7391195787386</v>
      </c>
      <c r="R40" s="77">
        <f t="shared" si="2"/>
        <v>-2175.578364378724</v>
      </c>
      <c r="S40" s="63">
        <f t="shared" si="16"/>
        <v>-908.33333333333337</v>
      </c>
      <c r="T40" s="63"/>
      <c r="U40" s="63">
        <f t="shared" si="17"/>
        <v>-228.13695597893695</v>
      </c>
      <c r="V40" s="77">
        <f t="shared" si="20"/>
        <v>-99.689583333333346</v>
      </c>
      <c r="W40" s="83">
        <f t="shared" si="4"/>
        <v>1151.000882554411</v>
      </c>
      <c r="X40" s="85">
        <f t="shared" si="18"/>
        <v>28857.033131849967</v>
      </c>
      <c r="Z40" s="92">
        <f t="shared" si="19"/>
        <v>47851</v>
      </c>
      <c r="AA40" s="5">
        <f t="shared" si="5"/>
        <v>0</v>
      </c>
      <c r="AB40" s="92">
        <f t="shared" si="6"/>
        <v>47851</v>
      </c>
      <c r="AD40" s="133">
        <f t="shared" si="7"/>
        <v>-30883.333333333318</v>
      </c>
      <c r="AE40" s="3">
        <f t="shared" si="8"/>
        <v>1</v>
      </c>
    </row>
    <row r="41" spans="1:31" ht="32.25" customHeight="1" thickBot="1" x14ac:dyDescent="0.5">
      <c r="A41" s="667" t="s">
        <v>29</v>
      </c>
      <c r="B41" s="668"/>
      <c r="C41" s="668"/>
      <c r="D41" s="668"/>
      <c r="E41" s="668"/>
      <c r="F41" s="668"/>
      <c r="G41" s="669"/>
      <c r="H41" s="11"/>
      <c r="I41" s="14">
        <f t="shared" si="10"/>
        <v>35</v>
      </c>
      <c r="J41" s="63">
        <f t="shared" si="11"/>
        <v>53328.186306103562</v>
      </c>
      <c r="K41" s="63">
        <f t="shared" si="1"/>
        <v>235.55216846369063</v>
      </c>
      <c r="L41" s="63">
        <f t="shared" si="12"/>
        <v>-2175.578364378724</v>
      </c>
      <c r="M41" s="65">
        <f t="shared" si="0"/>
        <v>51388.160110188532</v>
      </c>
      <c r="O41" s="14">
        <f t="shared" si="13"/>
        <v>35</v>
      </c>
      <c r="P41" s="54">
        <f t="shared" si="14"/>
        <v>13125</v>
      </c>
      <c r="Q41" s="63">
        <f t="shared" si="15"/>
        <v>4562.7391195787386</v>
      </c>
      <c r="R41" s="77">
        <f t="shared" si="2"/>
        <v>-2175.578364378724</v>
      </c>
      <c r="S41" s="63">
        <f t="shared" si="16"/>
        <v>-908.33333333333337</v>
      </c>
      <c r="T41" s="63"/>
      <c r="U41" s="63">
        <f t="shared" si="17"/>
        <v>-228.13695597893695</v>
      </c>
      <c r="V41" s="77">
        <f t="shared" si="20"/>
        <v>-95.942708333333329</v>
      </c>
      <c r="W41" s="83">
        <f t="shared" si="4"/>
        <v>1154.747757554411</v>
      </c>
      <c r="X41" s="85">
        <f t="shared" si="18"/>
        <v>30011.780889404377</v>
      </c>
      <c r="Z41" s="92">
        <f t="shared" si="19"/>
        <v>46052.5</v>
      </c>
      <c r="AA41" s="5">
        <f t="shared" si="5"/>
        <v>0</v>
      </c>
      <c r="AB41" s="92">
        <f t="shared" si="6"/>
        <v>46052.5</v>
      </c>
      <c r="AD41" s="133">
        <f t="shared" si="7"/>
        <v>-31791.66666666665</v>
      </c>
      <c r="AE41" s="3">
        <f t="shared" si="8"/>
        <v>1</v>
      </c>
    </row>
    <row r="42" spans="1:31" ht="19.5" customHeight="1" x14ac:dyDescent="0.45">
      <c r="A42" s="35">
        <v>1</v>
      </c>
      <c r="B42" s="670" t="s">
        <v>30</v>
      </c>
      <c r="C42" s="671"/>
      <c r="D42" s="671"/>
      <c r="E42" s="672"/>
      <c r="F42" s="73">
        <f>F36/C12/C14</f>
        <v>2230.8190416060288</v>
      </c>
      <c r="G42" s="74">
        <f>G36/C13/C14</f>
        <v>6.2184535412605593</v>
      </c>
      <c r="H42" s="11"/>
      <c r="I42" s="20">
        <f t="shared" si="10"/>
        <v>36</v>
      </c>
      <c r="J42" s="63">
        <f t="shared" si="11"/>
        <v>51388.160110188532</v>
      </c>
      <c r="K42" s="79">
        <f t="shared" si="1"/>
        <v>226.98301565768477</v>
      </c>
      <c r="L42" s="63">
        <f t="shared" si="12"/>
        <v>-2175.578364378724</v>
      </c>
      <c r="M42" s="80">
        <f t="shared" si="0"/>
        <v>49439.564761467496</v>
      </c>
      <c r="O42" s="20">
        <f t="shared" si="13"/>
        <v>36</v>
      </c>
      <c r="P42" s="54">
        <f t="shared" si="14"/>
        <v>13500</v>
      </c>
      <c r="Q42" s="63">
        <f t="shared" si="15"/>
        <v>4562.7391195787386</v>
      </c>
      <c r="R42" s="77">
        <f t="shared" si="2"/>
        <v>-2175.578364378724</v>
      </c>
      <c r="S42" s="63">
        <f t="shared" si="16"/>
        <v>-908.33333333333337</v>
      </c>
      <c r="T42" s="63"/>
      <c r="U42" s="63">
        <f t="shared" si="17"/>
        <v>-228.13695597893695</v>
      </c>
      <c r="V42" s="77">
        <f t="shared" si="20"/>
        <v>-92.19583333333334</v>
      </c>
      <c r="W42" s="83">
        <f t="shared" si="4"/>
        <v>1158.4946325544108</v>
      </c>
      <c r="X42" s="85">
        <f t="shared" si="18"/>
        <v>31170.275521958789</v>
      </c>
      <c r="Z42" s="92">
        <f t="shared" si="19"/>
        <v>44254</v>
      </c>
      <c r="AA42" s="5">
        <f t="shared" si="5"/>
        <v>0</v>
      </c>
      <c r="AB42" s="92">
        <f t="shared" si="6"/>
        <v>44254</v>
      </c>
      <c r="AD42" s="133">
        <f t="shared" si="7"/>
        <v>-32699.999999999982</v>
      </c>
      <c r="AE42" s="3">
        <f t="shared" si="8"/>
        <v>1</v>
      </c>
    </row>
    <row r="43" spans="1:31" ht="19.5" customHeight="1" thickBot="1" x14ac:dyDescent="0.5">
      <c r="A43" s="36">
        <f>A42+1</f>
        <v>2</v>
      </c>
      <c r="B43" s="673" t="s">
        <v>31</v>
      </c>
      <c r="C43" s="674"/>
      <c r="D43" s="674"/>
      <c r="E43" s="675"/>
      <c r="F43" s="75"/>
      <c r="G43" s="76">
        <f>+(F42*C12+D13*G42)/D13</f>
        <v>14.480746287949552</v>
      </c>
      <c r="H43" s="11"/>
      <c r="I43" s="20">
        <f t="shared" si="10"/>
        <v>37</v>
      </c>
      <c r="J43" s="63">
        <f t="shared" si="11"/>
        <v>49439.564761467496</v>
      </c>
      <c r="K43" s="79">
        <f t="shared" si="1"/>
        <v>218.37601265152838</v>
      </c>
      <c r="L43" s="63">
        <f t="shared" si="12"/>
        <v>-2175.578364378724</v>
      </c>
      <c r="M43" s="80">
        <f t="shared" si="0"/>
        <v>47482.362409740301</v>
      </c>
      <c r="O43" s="20">
        <f t="shared" si="13"/>
        <v>37</v>
      </c>
      <c r="P43" s="54">
        <f t="shared" si="14"/>
        <v>13875</v>
      </c>
      <c r="Q43" s="63">
        <f t="shared" si="15"/>
        <v>4562.7391195787386</v>
      </c>
      <c r="R43" s="77">
        <f t="shared" si="2"/>
        <v>-2175.578364378724</v>
      </c>
      <c r="S43" s="63">
        <f t="shared" si="16"/>
        <v>-908.33333333333337</v>
      </c>
      <c r="T43" s="63"/>
      <c r="U43" s="63">
        <f t="shared" si="17"/>
        <v>-228.13695597893695</v>
      </c>
      <c r="V43" s="77">
        <f t="shared" si="20"/>
        <v>-88.448958333333337</v>
      </c>
      <c r="W43" s="83">
        <f t="shared" si="4"/>
        <v>1162.2415075544109</v>
      </c>
      <c r="X43" s="85">
        <f t="shared" si="18"/>
        <v>32332.517029513201</v>
      </c>
      <c r="Z43" s="92">
        <f t="shared" si="19"/>
        <v>42455.5</v>
      </c>
      <c r="AA43" s="5">
        <f t="shared" si="5"/>
        <v>0</v>
      </c>
      <c r="AB43" s="92">
        <f t="shared" si="6"/>
        <v>42455.5</v>
      </c>
      <c r="AD43" s="133">
        <f t="shared" si="7"/>
        <v>-33608.333333333314</v>
      </c>
      <c r="AE43" s="3">
        <f t="shared" si="8"/>
        <v>1</v>
      </c>
    </row>
    <row r="44" spans="1:31" x14ac:dyDescent="0.45">
      <c r="I44" s="20">
        <f t="shared" si="10"/>
        <v>38</v>
      </c>
      <c r="J44" s="63">
        <f t="shared" si="11"/>
        <v>47482.362409740301</v>
      </c>
      <c r="K44" s="79">
        <f t="shared" si="1"/>
        <v>209.73099225977336</v>
      </c>
      <c r="L44" s="63">
        <f t="shared" si="12"/>
        <v>-2175.578364378724</v>
      </c>
      <c r="M44" s="80">
        <f t="shared" si="0"/>
        <v>45516.51503762135</v>
      </c>
      <c r="O44" s="20">
        <f t="shared" si="13"/>
        <v>38</v>
      </c>
      <c r="P44" s="54">
        <f t="shared" si="14"/>
        <v>14250</v>
      </c>
      <c r="Q44" s="63">
        <f t="shared" si="15"/>
        <v>4562.7391195787386</v>
      </c>
      <c r="R44" s="77">
        <f t="shared" si="2"/>
        <v>-2175.578364378724</v>
      </c>
      <c r="S44" s="63">
        <f t="shared" si="16"/>
        <v>-908.33333333333337</v>
      </c>
      <c r="T44" s="63"/>
      <c r="U44" s="63">
        <f t="shared" si="17"/>
        <v>-228.13695597893695</v>
      </c>
      <c r="V44" s="77">
        <f t="shared" si="20"/>
        <v>-84.702083333333334</v>
      </c>
      <c r="W44" s="83">
        <f t="shared" si="4"/>
        <v>1165.9883825544109</v>
      </c>
      <c r="X44" s="85">
        <f t="shared" si="18"/>
        <v>33498.505412067614</v>
      </c>
      <c r="Z44" s="92">
        <f t="shared" si="19"/>
        <v>40657</v>
      </c>
      <c r="AA44" s="5">
        <f t="shared" si="5"/>
        <v>0</v>
      </c>
      <c r="AB44" s="92">
        <f t="shared" si="6"/>
        <v>40657</v>
      </c>
      <c r="AD44" s="133">
        <f t="shared" si="7"/>
        <v>-34516.66666666665</v>
      </c>
      <c r="AE44" s="3">
        <f t="shared" si="8"/>
        <v>1</v>
      </c>
    </row>
    <row r="45" spans="1:31" x14ac:dyDescent="0.45">
      <c r="I45" s="20">
        <f t="shared" si="10"/>
        <v>39</v>
      </c>
      <c r="J45" s="63">
        <f t="shared" si="11"/>
        <v>45516.51503762135</v>
      </c>
      <c r="K45" s="79">
        <f t="shared" si="1"/>
        <v>201.04778655850862</v>
      </c>
      <c r="L45" s="63">
        <f t="shared" si="12"/>
        <v>-2175.578364378724</v>
      </c>
      <c r="M45" s="80">
        <f t="shared" si="0"/>
        <v>43541.984459801133</v>
      </c>
      <c r="O45" s="20">
        <f t="shared" si="13"/>
        <v>39</v>
      </c>
      <c r="P45" s="54">
        <f t="shared" si="14"/>
        <v>14625</v>
      </c>
      <c r="Q45" s="63">
        <f t="shared" si="15"/>
        <v>4562.7391195787386</v>
      </c>
      <c r="R45" s="77">
        <f t="shared" si="2"/>
        <v>-2175.578364378724</v>
      </c>
      <c r="S45" s="63">
        <f t="shared" si="16"/>
        <v>-908.33333333333337</v>
      </c>
      <c r="T45" s="63"/>
      <c r="U45" s="63">
        <f t="shared" si="17"/>
        <v>-228.13695597893695</v>
      </c>
      <c r="V45" s="77">
        <f t="shared" si="20"/>
        <v>-80.955208333333346</v>
      </c>
      <c r="W45" s="83">
        <f t="shared" si="4"/>
        <v>1169.735257554411</v>
      </c>
      <c r="X45" s="85">
        <f t="shared" si="18"/>
        <v>34668.240669622028</v>
      </c>
      <c r="Z45" s="92">
        <f t="shared" si="19"/>
        <v>38858.5</v>
      </c>
      <c r="AA45" s="5">
        <f t="shared" si="5"/>
        <v>0</v>
      </c>
      <c r="AB45" s="92">
        <f t="shared" si="6"/>
        <v>38858.5</v>
      </c>
      <c r="AD45" s="133">
        <f t="shared" si="7"/>
        <v>-35424.999999999985</v>
      </c>
      <c r="AE45" s="3">
        <f t="shared" si="8"/>
        <v>1</v>
      </c>
    </row>
    <row r="46" spans="1:31" x14ac:dyDescent="0.45">
      <c r="I46" s="20">
        <f t="shared" si="10"/>
        <v>40</v>
      </c>
      <c r="J46" s="63">
        <f t="shared" si="11"/>
        <v>43541.984459801133</v>
      </c>
      <c r="K46" s="79">
        <f t="shared" si="1"/>
        <v>192.32622688209818</v>
      </c>
      <c r="L46" s="63">
        <f t="shared" si="12"/>
        <v>-2175.578364378724</v>
      </c>
      <c r="M46" s="80">
        <f t="shared" si="0"/>
        <v>41558.73232230451</v>
      </c>
      <c r="O46" s="20">
        <f t="shared" si="13"/>
        <v>40</v>
      </c>
      <c r="P46" s="54">
        <f t="shared" si="14"/>
        <v>15000</v>
      </c>
      <c r="Q46" s="63">
        <f t="shared" si="15"/>
        <v>4562.7391195787386</v>
      </c>
      <c r="R46" s="77">
        <f t="shared" si="2"/>
        <v>-2175.578364378724</v>
      </c>
      <c r="S46" s="63">
        <f t="shared" si="16"/>
        <v>-908.33333333333337</v>
      </c>
      <c r="T46" s="63"/>
      <c r="U46" s="63">
        <f t="shared" si="17"/>
        <v>-228.13695597893695</v>
      </c>
      <c r="V46" s="77">
        <f t="shared" si="20"/>
        <v>-77.208333333333329</v>
      </c>
      <c r="W46" s="83">
        <f t="shared" si="4"/>
        <v>1173.482132554411</v>
      </c>
      <c r="X46" s="85">
        <f t="shared" si="18"/>
        <v>35841.722802176439</v>
      </c>
      <c r="Z46" s="92">
        <f t="shared" si="19"/>
        <v>37060</v>
      </c>
      <c r="AA46" s="5">
        <f t="shared" si="5"/>
        <v>0</v>
      </c>
      <c r="AB46" s="92">
        <f t="shared" si="6"/>
        <v>37060</v>
      </c>
      <c r="AD46" s="133">
        <f t="shared" si="7"/>
        <v>-36333.333333333321</v>
      </c>
      <c r="AE46" s="3">
        <f t="shared" si="8"/>
        <v>1</v>
      </c>
    </row>
    <row r="47" spans="1:31" x14ac:dyDescent="0.45">
      <c r="I47" s="20">
        <f t="shared" si="10"/>
        <v>41</v>
      </c>
      <c r="J47" s="63">
        <f t="shared" si="11"/>
        <v>41558.73232230451</v>
      </c>
      <c r="K47" s="79">
        <f t="shared" si="1"/>
        <v>183.56614381990502</v>
      </c>
      <c r="L47" s="63">
        <f t="shared" si="12"/>
        <v>-2175.578364378724</v>
      </c>
      <c r="M47" s="80">
        <f t="shared" si="0"/>
        <v>39566.72010174569</v>
      </c>
      <c r="O47" s="20">
        <f t="shared" si="13"/>
        <v>41</v>
      </c>
      <c r="P47" s="54">
        <f t="shared" si="14"/>
        <v>15375</v>
      </c>
      <c r="Q47" s="63">
        <f t="shared" si="15"/>
        <v>4562.7391195787386</v>
      </c>
      <c r="R47" s="77">
        <f t="shared" si="2"/>
        <v>-2175.578364378724</v>
      </c>
      <c r="S47" s="63">
        <f t="shared" si="16"/>
        <v>-908.33333333333337</v>
      </c>
      <c r="T47" s="63"/>
      <c r="U47" s="63">
        <f t="shared" si="17"/>
        <v>-228.13695597893695</v>
      </c>
      <c r="V47" s="77">
        <f t="shared" si="20"/>
        <v>-73.46145833333334</v>
      </c>
      <c r="W47" s="83">
        <f t="shared" si="4"/>
        <v>1177.2290075544108</v>
      </c>
      <c r="X47" s="85">
        <f t="shared" si="18"/>
        <v>37018.951809730846</v>
      </c>
      <c r="Z47" s="92">
        <f t="shared" si="19"/>
        <v>35261.5</v>
      </c>
      <c r="AA47" s="5">
        <f t="shared" si="5"/>
        <v>0</v>
      </c>
      <c r="AB47" s="92">
        <f t="shared" si="6"/>
        <v>35261.5</v>
      </c>
      <c r="AD47" s="133">
        <f t="shared" si="7"/>
        <v>-37241.666666666657</v>
      </c>
      <c r="AE47" s="3">
        <f t="shared" si="8"/>
        <v>1</v>
      </c>
    </row>
    <row r="48" spans="1:31" x14ac:dyDescent="0.45">
      <c r="I48" s="20">
        <f t="shared" si="10"/>
        <v>42</v>
      </c>
      <c r="J48" s="63">
        <f t="shared" si="11"/>
        <v>39566.72010174569</v>
      </c>
      <c r="K48" s="79">
        <f t="shared" si="1"/>
        <v>174.76736721300028</v>
      </c>
      <c r="L48" s="63">
        <f t="shared" si="12"/>
        <v>-2175.578364378724</v>
      </c>
      <c r="M48" s="80">
        <f t="shared" si="0"/>
        <v>37565.909104579965</v>
      </c>
      <c r="O48" s="20">
        <f t="shared" si="13"/>
        <v>42</v>
      </c>
      <c r="P48" s="54">
        <f t="shared" si="14"/>
        <v>15750</v>
      </c>
      <c r="Q48" s="63">
        <f t="shared" si="15"/>
        <v>4562.7391195787386</v>
      </c>
      <c r="R48" s="77">
        <f t="shared" si="2"/>
        <v>-2175.578364378724</v>
      </c>
      <c r="S48" s="63">
        <f t="shared" si="16"/>
        <v>-908.33333333333337</v>
      </c>
      <c r="T48" s="63"/>
      <c r="U48" s="63">
        <f t="shared" si="17"/>
        <v>-228.13695597893695</v>
      </c>
      <c r="V48" s="77">
        <f t="shared" si="20"/>
        <v>-69.714583333333337</v>
      </c>
      <c r="W48" s="83">
        <f t="shared" si="4"/>
        <v>1180.9758825544109</v>
      </c>
      <c r="X48" s="85">
        <f t="shared" si="18"/>
        <v>38199.927692285259</v>
      </c>
      <c r="Z48" s="92">
        <f t="shared" si="19"/>
        <v>33463</v>
      </c>
      <c r="AA48" s="5">
        <f t="shared" si="5"/>
        <v>0</v>
      </c>
      <c r="AB48" s="92">
        <f t="shared" si="6"/>
        <v>33463</v>
      </c>
      <c r="AD48" s="133">
        <f t="shared" si="7"/>
        <v>-38149.999999999993</v>
      </c>
      <c r="AE48" s="3">
        <f t="shared" si="8"/>
        <v>1</v>
      </c>
    </row>
    <row r="49" spans="9:31" x14ac:dyDescent="0.45">
      <c r="I49" s="20">
        <f t="shared" si="10"/>
        <v>43</v>
      </c>
      <c r="J49" s="63">
        <f t="shared" si="11"/>
        <v>37565.909104579965</v>
      </c>
      <c r="K49" s="79">
        <f t="shared" si="1"/>
        <v>165.92972615085819</v>
      </c>
      <c r="L49" s="63">
        <f t="shared" si="12"/>
        <v>-2175.578364378724</v>
      </c>
      <c r="M49" s="80">
        <f t="shared" si="0"/>
        <v>35556.260466352098</v>
      </c>
      <c r="O49" s="20">
        <f t="shared" si="13"/>
        <v>43</v>
      </c>
      <c r="P49" s="54">
        <f t="shared" si="14"/>
        <v>16125</v>
      </c>
      <c r="Q49" s="63">
        <f t="shared" si="15"/>
        <v>4562.7391195787386</v>
      </c>
      <c r="R49" s="77">
        <f t="shared" si="2"/>
        <v>-2175.578364378724</v>
      </c>
      <c r="S49" s="63">
        <f t="shared" si="16"/>
        <v>-908.33333333333337</v>
      </c>
      <c r="T49" s="63"/>
      <c r="U49" s="63">
        <f t="shared" si="17"/>
        <v>-228.13695597893695</v>
      </c>
      <c r="V49" s="77">
        <f t="shared" si="20"/>
        <v>-65.967708333333334</v>
      </c>
      <c r="W49" s="83">
        <f t="shared" si="4"/>
        <v>1184.7227575544109</v>
      </c>
      <c r="X49" s="85">
        <f t="shared" si="18"/>
        <v>39384.650449839668</v>
      </c>
      <c r="Z49" s="92">
        <f t="shared" si="19"/>
        <v>31664.5</v>
      </c>
      <c r="AA49" s="5">
        <f t="shared" si="5"/>
        <v>0</v>
      </c>
      <c r="AB49" s="92">
        <f t="shared" si="6"/>
        <v>31664.5</v>
      </c>
      <c r="AD49" s="133">
        <f t="shared" si="7"/>
        <v>-39058.333333333328</v>
      </c>
      <c r="AE49" s="3">
        <f t="shared" si="8"/>
        <v>1</v>
      </c>
    </row>
    <row r="50" spans="9:31" x14ac:dyDescent="0.45">
      <c r="I50" s="20">
        <f t="shared" si="10"/>
        <v>44</v>
      </c>
      <c r="J50" s="63">
        <f t="shared" si="11"/>
        <v>35556.260466352098</v>
      </c>
      <c r="K50" s="79">
        <f t="shared" si="1"/>
        <v>157.05304896803605</v>
      </c>
      <c r="L50" s="63">
        <f t="shared" si="12"/>
        <v>-2175.578364378724</v>
      </c>
      <c r="M50" s="80">
        <f t="shared" si="0"/>
        <v>33537.735150941415</v>
      </c>
      <c r="O50" s="20">
        <f t="shared" si="13"/>
        <v>44</v>
      </c>
      <c r="P50" s="54">
        <f t="shared" si="14"/>
        <v>16500</v>
      </c>
      <c r="Q50" s="63">
        <f t="shared" si="15"/>
        <v>4562.7391195787386</v>
      </c>
      <c r="R50" s="77">
        <f t="shared" si="2"/>
        <v>-2175.578364378724</v>
      </c>
      <c r="S50" s="63">
        <f t="shared" si="16"/>
        <v>-908.33333333333337</v>
      </c>
      <c r="T50" s="63"/>
      <c r="U50" s="63">
        <f t="shared" si="17"/>
        <v>-228.13695597893695</v>
      </c>
      <c r="V50" s="77">
        <f t="shared" si="20"/>
        <v>-62.220833333333339</v>
      </c>
      <c r="W50" s="83">
        <f t="shared" si="4"/>
        <v>1188.469632554411</v>
      </c>
      <c r="X50" s="85">
        <f t="shared" si="18"/>
        <v>40573.120082394082</v>
      </c>
      <c r="Z50" s="92">
        <f t="shared" si="19"/>
        <v>29866</v>
      </c>
      <c r="AA50" s="5">
        <f t="shared" si="5"/>
        <v>0</v>
      </c>
      <c r="AB50" s="92">
        <f t="shared" si="6"/>
        <v>29866</v>
      </c>
      <c r="AD50" s="133">
        <f t="shared" si="7"/>
        <v>-39966.666666666664</v>
      </c>
      <c r="AE50" s="3">
        <f t="shared" si="8"/>
        <v>1</v>
      </c>
    </row>
    <row r="51" spans="9:31" x14ac:dyDescent="0.45">
      <c r="I51" s="20">
        <f t="shared" si="10"/>
        <v>45</v>
      </c>
      <c r="J51" s="63">
        <f t="shared" si="11"/>
        <v>33537.735150941415</v>
      </c>
      <c r="K51" s="79">
        <f t="shared" si="1"/>
        <v>148.13716324083998</v>
      </c>
      <c r="L51" s="63">
        <f t="shared" si="12"/>
        <v>-2175.578364378724</v>
      </c>
      <c r="M51" s="80">
        <f t="shared" si="0"/>
        <v>31510.29394980353</v>
      </c>
      <c r="O51" s="20">
        <f t="shared" si="13"/>
        <v>45</v>
      </c>
      <c r="P51" s="54">
        <f t="shared" si="14"/>
        <v>16875</v>
      </c>
      <c r="Q51" s="63">
        <f t="shared" si="15"/>
        <v>4562.7391195787386</v>
      </c>
      <c r="R51" s="77">
        <f t="shared" si="2"/>
        <v>-2175.578364378724</v>
      </c>
      <c r="S51" s="63">
        <f t="shared" si="16"/>
        <v>-908.33333333333337</v>
      </c>
      <c r="T51" s="63"/>
      <c r="U51" s="63">
        <f t="shared" si="17"/>
        <v>-228.13695597893695</v>
      </c>
      <c r="V51" s="77">
        <f t="shared" si="20"/>
        <v>-58.473958333333336</v>
      </c>
      <c r="W51" s="83">
        <f t="shared" si="4"/>
        <v>1192.216507554411</v>
      </c>
      <c r="X51" s="85">
        <f t="shared" si="18"/>
        <v>41765.336589948492</v>
      </c>
      <c r="Z51" s="92">
        <f t="shared" si="19"/>
        <v>28067.5</v>
      </c>
      <c r="AA51" s="5">
        <f t="shared" si="5"/>
        <v>0</v>
      </c>
      <c r="AB51" s="92">
        <f t="shared" si="6"/>
        <v>28067.5</v>
      </c>
      <c r="AD51" s="133">
        <f t="shared" si="7"/>
        <v>-40875</v>
      </c>
      <c r="AE51" s="3">
        <f t="shared" si="8"/>
        <v>1</v>
      </c>
    </row>
    <row r="52" spans="9:31" x14ac:dyDescent="0.45">
      <c r="I52" s="20">
        <f t="shared" si="10"/>
        <v>46</v>
      </c>
      <c r="J52" s="63">
        <f t="shared" si="11"/>
        <v>31510.29394980353</v>
      </c>
      <c r="K52" s="79">
        <f t="shared" si="1"/>
        <v>139.18189578397545</v>
      </c>
      <c r="L52" s="63">
        <f t="shared" si="12"/>
        <v>-2175.578364378724</v>
      </c>
      <c r="M52" s="80">
        <f t="shared" si="0"/>
        <v>29473.89748120878</v>
      </c>
      <c r="O52" s="20">
        <f t="shared" si="13"/>
        <v>46</v>
      </c>
      <c r="P52" s="54">
        <f t="shared" si="14"/>
        <v>17250</v>
      </c>
      <c r="Q52" s="63">
        <f t="shared" si="15"/>
        <v>4562.7391195787386</v>
      </c>
      <c r="R52" s="77">
        <f t="shared" si="2"/>
        <v>-2175.578364378724</v>
      </c>
      <c r="S52" s="63">
        <f t="shared" si="16"/>
        <v>-908.33333333333337</v>
      </c>
      <c r="T52" s="63"/>
      <c r="U52" s="63">
        <f t="shared" si="17"/>
        <v>-228.13695597893695</v>
      </c>
      <c r="V52" s="77">
        <f t="shared" si="20"/>
        <v>-54.727083333333333</v>
      </c>
      <c r="W52" s="83">
        <f t="shared" si="4"/>
        <v>1195.9633825544108</v>
      </c>
      <c r="X52" s="85">
        <f t="shared" si="18"/>
        <v>42961.2999725029</v>
      </c>
      <c r="Z52" s="92">
        <f t="shared" si="19"/>
        <v>26269</v>
      </c>
      <c r="AA52" s="5">
        <f t="shared" si="5"/>
        <v>0</v>
      </c>
      <c r="AB52" s="92">
        <f t="shared" si="6"/>
        <v>26269</v>
      </c>
      <c r="AD52" s="133">
        <f t="shared" si="7"/>
        <v>-41783.333333333336</v>
      </c>
      <c r="AE52" s="3">
        <f t="shared" si="8"/>
        <v>1</v>
      </c>
    </row>
    <row r="53" spans="9:31" x14ac:dyDescent="0.45">
      <c r="I53" s="20">
        <f t="shared" si="10"/>
        <v>47</v>
      </c>
      <c r="J53" s="63">
        <f t="shared" si="11"/>
        <v>29473.89748120878</v>
      </c>
      <c r="K53" s="79">
        <f t="shared" si="1"/>
        <v>130.18707264718344</v>
      </c>
      <c r="L53" s="63">
        <f t="shared" si="12"/>
        <v>-2175.578364378724</v>
      </c>
      <c r="M53" s="80">
        <f t="shared" si="0"/>
        <v>27428.506189477237</v>
      </c>
      <c r="O53" s="20">
        <f t="shared" si="13"/>
        <v>47</v>
      </c>
      <c r="P53" s="54">
        <f t="shared" si="14"/>
        <v>17625</v>
      </c>
      <c r="Q53" s="63">
        <f t="shared" si="15"/>
        <v>4562.7391195787386</v>
      </c>
      <c r="R53" s="77">
        <f t="shared" si="2"/>
        <v>-2175.578364378724</v>
      </c>
      <c r="S53" s="63">
        <f t="shared" si="16"/>
        <v>-908.33333333333337</v>
      </c>
      <c r="T53" s="63"/>
      <c r="U53" s="63">
        <f t="shared" si="17"/>
        <v>-228.13695597893695</v>
      </c>
      <c r="V53" s="77">
        <f t="shared" si="20"/>
        <v>-50.980208333333337</v>
      </c>
      <c r="W53" s="83">
        <f t="shared" si="4"/>
        <v>1199.7102575544109</v>
      </c>
      <c r="X53" s="85">
        <f t="shared" si="18"/>
        <v>44161.010230057313</v>
      </c>
      <c r="Z53" s="92">
        <f t="shared" si="19"/>
        <v>24470.5</v>
      </c>
      <c r="AA53" s="5">
        <f t="shared" si="5"/>
        <v>0</v>
      </c>
      <c r="AB53" s="92">
        <f t="shared" si="6"/>
        <v>24470.5</v>
      </c>
      <c r="AD53" s="133">
        <f t="shared" si="7"/>
        <v>-42691.666666666672</v>
      </c>
      <c r="AE53" s="3">
        <f t="shared" si="8"/>
        <v>1</v>
      </c>
    </row>
    <row r="54" spans="9:31" x14ac:dyDescent="0.45">
      <c r="I54" s="20">
        <f t="shared" si="10"/>
        <v>48</v>
      </c>
      <c r="J54" s="63">
        <f t="shared" si="11"/>
        <v>27428.506189477237</v>
      </c>
      <c r="K54" s="79">
        <f t="shared" si="1"/>
        <v>121.15251911186151</v>
      </c>
      <c r="L54" s="63">
        <f t="shared" si="12"/>
        <v>-2175.578364378724</v>
      </c>
      <c r="M54" s="80">
        <f t="shared" si="0"/>
        <v>25374.080344210372</v>
      </c>
      <c r="O54" s="20">
        <f t="shared" si="13"/>
        <v>48</v>
      </c>
      <c r="P54" s="54">
        <f t="shared" si="14"/>
        <v>18000</v>
      </c>
      <c r="Q54" s="63">
        <f t="shared" si="15"/>
        <v>4562.7391195787386</v>
      </c>
      <c r="R54" s="77">
        <f t="shared" si="2"/>
        <v>-2175.578364378724</v>
      </c>
      <c r="S54" s="63">
        <f t="shared" si="16"/>
        <v>-908.33333333333337</v>
      </c>
      <c r="T54" s="63">
        <f t="shared" ref="T54:T59" si="24">-T68*0.5</f>
        <v>-8175</v>
      </c>
      <c r="U54" s="63">
        <f t="shared" si="17"/>
        <v>-228.13695597893695</v>
      </c>
      <c r="V54" s="77">
        <f t="shared" si="20"/>
        <v>-47.233333333333341</v>
      </c>
      <c r="W54" s="83">
        <f t="shared" si="4"/>
        <v>-6971.5428674455898</v>
      </c>
      <c r="X54" s="85">
        <f t="shared" si="18"/>
        <v>37189.467362611722</v>
      </c>
      <c r="Z54" s="92">
        <f t="shared" si="19"/>
        <v>22672</v>
      </c>
      <c r="AA54" s="5">
        <f t="shared" si="5"/>
        <v>0</v>
      </c>
      <c r="AB54" s="92">
        <f t="shared" si="6"/>
        <v>22672</v>
      </c>
      <c r="AD54" s="133">
        <f t="shared" si="7"/>
        <v>-43600.000000000007</v>
      </c>
      <c r="AE54" s="3">
        <f t="shared" si="8"/>
        <v>1</v>
      </c>
    </row>
    <row r="55" spans="9:31" x14ac:dyDescent="0.45">
      <c r="I55" s="20">
        <f t="shared" si="10"/>
        <v>49</v>
      </c>
      <c r="J55" s="63">
        <f t="shared" si="11"/>
        <v>25374.080344210372</v>
      </c>
      <c r="K55" s="79">
        <f>J55*$C$8*30.44/365.25</f>
        <v>112.07805968767002</v>
      </c>
      <c r="L55" s="63">
        <f t="shared" si="12"/>
        <v>-2175.578364378724</v>
      </c>
      <c r="M55" s="80">
        <f t="shared" si="0"/>
        <v>23310.580039519315</v>
      </c>
      <c r="O55" s="20">
        <f t="shared" si="13"/>
        <v>49</v>
      </c>
      <c r="P55" s="54">
        <f t="shared" si="14"/>
        <v>18375</v>
      </c>
      <c r="Q55" s="63">
        <f t="shared" si="15"/>
        <v>4562.7391195787386</v>
      </c>
      <c r="R55" s="77">
        <f t="shared" si="2"/>
        <v>-2175.578364378724</v>
      </c>
      <c r="S55" s="63">
        <f t="shared" si="16"/>
        <v>-908.33333333333337</v>
      </c>
      <c r="T55" s="63">
        <f t="shared" si="24"/>
        <v>0</v>
      </c>
      <c r="U55" s="63">
        <f t="shared" si="17"/>
        <v>-228.13695597893695</v>
      </c>
      <c r="V55" s="77">
        <f t="shared" si="20"/>
        <v>-43.486458333333331</v>
      </c>
      <c r="W55" s="83">
        <f t="shared" si="4"/>
        <v>1207.204007554411</v>
      </c>
      <c r="X55" s="85">
        <f t="shared" si="18"/>
        <v>38396.671370166136</v>
      </c>
      <c r="Z55" s="92">
        <f t="shared" si="19"/>
        <v>20873.5</v>
      </c>
      <c r="AA55" s="5">
        <f t="shared" si="5"/>
        <v>0</v>
      </c>
      <c r="AB55" s="92">
        <f t="shared" si="6"/>
        <v>20873.5</v>
      </c>
      <c r="AD55" s="133">
        <f t="shared" si="7"/>
        <v>-44508.333333333343</v>
      </c>
      <c r="AE55" s="3">
        <f t="shared" si="8"/>
        <v>1</v>
      </c>
    </row>
    <row r="56" spans="9:31" x14ac:dyDescent="0.45">
      <c r="I56" s="20">
        <f t="shared" si="10"/>
        <v>50</v>
      </c>
      <c r="J56" s="63">
        <f t="shared" si="11"/>
        <v>23310.580039519315</v>
      </c>
      <c r="K56" s="79">
        <f>J56*$C$8*30.44/365.25</f>
        <v>102.96351810912334</v>
      </c>
      <c r="L56" s="63">
        <f t="shared" si="12"/>
        <v>-2175.578364378724</v>
      </c>
      <c r="M56" s="80">
        <f t="shared" si="0"/>
        <v>21237.965193249711</v>
      </c>
      <c r="O56" s="20">
        <f t="shared" si="13"/>
        <v>50</v>
      </c>
      <c r="P56" s="54">
        <f t="shared" si="14"/>
        <v>18750</v>
      </c>
      <c r="Q56" s="63">
        <f t="shared" si="15"/>
        <v>4562.7391195787386</v>
      </c>
      <c r="R56" s="77">
        <f t="shared" si="2"/>
        <v>-2175.578364378724</v>
      </c>
      <c r="S56" s="63">
        <f t="shared" si="16"/>
        <v>-908.33333333333337</v>
      </c>
      <c r="T56" s="63">
        <f t="shared" si="24"/>
        <v>0</v>
      </c>
      <c r="U56" s="63">
        <f t="shared" si="17"/>
        <v>-228.13695597893695</v>
      </c>
      <c r="V56" s="77">
        <f t="shared" si="20"/>
        <v>-39.739583333333336</v>
      </c>
      <c r="W56" s="83">
        <f t="shared" si="4"/>
        <v>1210.950882554411</v>
      </c>
      <c r="X56" s="85">
        <f t="shared" si="18"/>
        <v>39607.622252720546</v>
      </c>
      <c r="Z56" s="92">
        <f t="shared" si="19"/>
        <v>19075</v>
      </c>
      <c r="AA56" s="5">
        <f t="shared" si="5"/>
        <v>0</v>
      </c>
      <c r="AB56" s="92">
        <f t="shared" si="6"/>
        <v>19075</v>
      </c>
      <c r="AD56" s="133">
        <f t="shared" si="7"/>
        <v>-45416.666666666679</v>
      </c>
      <c r="AE56" s="3">
        <f t="shared" si="8"/>
        <v>1</v>
      </c>
    </row>
    <row r="57" spans="9:31" x14ac:dyDescent="0.45">
      <c r="I57" s="20">
        <f t="shared" si="10"/>
        <v>51</v>
      </c>
      <c r="J57" s="63">
        <f t="shared" si="11"/>
        <v>21237.965193249711</v>
      </c>
      <c r="K57" s="79">
        <f t="shared" ref="K57:K66" si="25">J57*$C$8*30.44/365.25</f>
        <v>93.808717332165969</v>
      </c>
      <c r="L57" s="63">
        <f t="shared" si="12"/>
        <v>-2175.578364378724</v>
      </c>
      <c r="M57" s="80">
        <f t="shared" si="0"/>
        <v>19156.195546203151</v>
      </c>
      <c r="O57" s="20">
        <f t="shared" si="13"/>
        <v>51</v>
      </c>
      <c r="P57" s="54">
        <f t="shared" si="14"/>
        <v>19125</v>
      </c>
      <c r="Q57" s="63">
        <f t="shared" si="15"/>
        <v>4562.7391195787386</v>
      </c>
      <c r="R57" s="77">
        <f t="shared" si="2"/>
        <v>-2175.578364378724</v>
      </c>
      <c r="S57" s="63">
        <f t="shared" si="16"/>
        <v>-908.33333333333337</v>
      </c>
      <c r="T57" s="63">
        <f t="shared" si="24"/>
        <v>0</v>
      </c>
      <c r="U57" s="63">
        <f t="shared" si="17"/>
        <v>-228.13695597893695</v>
      </c>
      <c r="V57" s="77">
        <f t="shared" si="20"/>
        <v>-35.992708333333333</v>
      </c>
      <c r="W57" s="83">
        <f t="shared" si="4"/>
        <v>1214.6977575544108</v>
      </c>
      <c r="X57" s="85">
        <f t="shared" si="18"/>
        <v>40822.320010274954</v>
      </c>
      <c r="Z57" s="92">
        <f t="shared" si="19"/>
        <v>17276.5</v>
      </c>
      <c r="AA57" s="5">
        <f t="shared" si="5"/>
        <v>0</v>
      </c>
      <c r="AB57" s="92">
        <f t="shared" si="6"/>
        <v>17276.5</v>
      </c>
      <c r="AD57" s="133">
        <f t="shared" si="7"/>
        <v>-46325.000000000015</v>
      </c>
      <c r="AE57" s="3">
        <f t="shared" si="8"/>
        <v>1</v>
      </c>
    </row>
    <row r="58" spans="9:31" x14ac:dyDescent="0.45">
      <c r="I58" s="20">
        <f t="shared" si="10"/>
        <v>52</v>
      </c>
      <c r="J58" s="63">
        <f t="shared" si="11"/>
        <v>19156.195546203151</v>
      </c>
      <c r="K58" s="79">
        <f t="shared" si="25"/>
        <v>84.613479530733656</v>
      </c>
      <c r="L58" s="63">
        <f t="shared" si="12"/>
        <v>-2175.578364378724</v>
      </c>
      <c r="M58" s="80">
        <f t="shared" si="0"/>
        <v>17065.230661355159</v>
      </c>
      <c r="O58" s="20">
        <f t="shared" si="13"/>
        <v>52</v>
      </c>
      <c r="P58" s="54">
        <f t="shared" si="14"/>
        <v>19500</v>
      </c>
      <c r="Q58" s="63">
        <f t="shared" si="15"/>
        <v>4562.7391195787386</v>
      </c>
      <c r="R58" s="77">
        <f t="shared" si="2"/>
        <v>-2175.578364378724</v>
      </c>
      <c r="S58" s="63">
        <f t="shared" si="16"/>
        <v>-908.33333333333337</v>
      </c>
      <c r="T58" s="63">
        <f t="shared" si="24"/>
        <v>0</v>
      </c>
      <c r="U58" s="63">
        <f t="shared" si="17"/>
        <v>-228.13695597893695</v>
      </c>
      <c r="V58" s="77">
        <f t="shared" si="20"/>
        <v>-32.245833333333337</v>
      </c>
      <c r="W58" s="83">
        <f t="shared" si="4"/>
        <v>1218.4446325544109</v>
      </c>
      <c r="X58" s="85">
        <f t="shared" si="18"/>
        <v>42040.764642829366</v>
      </c>
      <c r="Z58" s="92">
        <f t="shared" si="19"/>
        <v>15478</v>
      </c>
      <c r="AA58" s="5">
        <f t="shared" si="5"/>
        <v>0</v>
      </c>
      <c r="AB58" s="92">
        <f t="shared" si="6"/>
        <v>15478</v>
      </c>
      <c r="AD58" s="133">
        <f t="shared" si="7"/>
        <v>-47233.33333333335</v>
      </c>
      <c r="AE58" s="3">
        <f t="shared" si="8"/>
        <v>1</v>
      </c>
    </row>
    <row r="59" spans="9:31" x14ac:dyDescent="0.45">
      <c r="I59" s="20">
        <f t="shared" si="10"/>
        <v>53</v>
      </c>
      <c r="J59" s="63">
        <f t="shared" si="11"/>
        <v>17065.230661355159</v>
      </c>
      <c r="K59" s="79">
        <f t="shared" si="25"/>
        <v>75.377626093299128</v>
      </c>
      <c r="L59" s="63">
        <f t="shared" si="12"/>
        <v>-2175.578364378724</v>
      </c>
      <c r="M59" s="80">
        <f t="shared" si="0"/>
        <v>14965.029923069736</v>
      </c>
      <c r="O59" s="20">
        <f t="shared" si="13"/>
        <v>53</v>
      </c>
      <c r="P59" s="54">
        <f t="shared" si="14"/>
        <v>19875</v>
      </c>
      <c r="Q59" s="63">
        <f t="shared" si="15"/>
        <v>4562.7391195787386</v>
      </c>
      <c r="R59" s="77">
        <f t="shared" si="2"/>
        <v>-2175.578364378724</v>
      </c>
      <c r="S59" s="63">
        <f t="shared" si="16"/>
        <v>-908.33333333333337</v>
      </c>
      <c r="T59" s="63">
        <f t="shared" si="24"/>
        <v>0</v>
      </c>
      <c r="U59" s="63">
        <f t="shared" si="17"/>
        <v>-228.13695597893695</v>
      </c>
      <c r="V59" s="77">
        <f t="shared" si="20"/>
        <v>-28.498958333333334</v>
      </c>
      <c r="W59" s="83">
        <f t="shared" si="4"/>
        <v>1222.1915075544109</v>
      </c>
      <c r="X59" s="85">
        <f t="shared" si="18"/>
        <v>43262.956150383776</v>
      </c>
      <c r="Z59" s="92">
        <f t="shared" si="19"/>
        <v>13679.5</v>
      </c>
      <c r="AA59" s="5">
        <f t="shared" si="5"/>
        <v>0</v>
      </c>
      <c r="AB59" s="92">
        <f t="shared" si="6"/>
        <v>13679.5</v>
      </c>
      <c r="AD59" s="133">
        <f t="shared" si="7"/>
        <v>-48141.666666666686</v>
      </c>
      <c r="AE59" s="3">
        <f t="shared" si="8"/>
        <v>1</v>
      </c>
    </row>
    <row r="60" spans="9:31" x14ac:dyDescent="0.45">
      <c r="I60" s="20">
        <f t="shared" si="10"/>
        <v>54</v>
      </c>
      <c r="J60" s="63">
        <f t="shared" si="11"/>
        <v>14965.029923069736</v>
      </c>
      <c r="K60" s="79">
        <f t="shared" si="25"/>
        <v>66.100977619402784</v>
      </c>
      <c r="L60" s="63">
        <f t="shared" si="12"/>
        <v>-2175.578364378724</v>
      </c>
      <c r="M60" s="80">
        <f t="shared" si="0"/>
        <v>12855.552536310415</v>
      </c>
      <c r="O60" s="20">
        <f t="shared" si="13"/>
        <v>54</v>
      </c>
      <c r="P60" s="54">
        <f t="shared" si="14"/>
        <v>20250</v>
      </c>
      <c r="Q60" s="63">
        <f t="shared" si="15"/>
        <v>4562.7391195787386</v>
      </c>
      <c r="R60" s="77">
        <f t="shared" si="2"/>
        <v>-2175.578364378724</v>
      </c>
      <c r="S60" s="63">
        <f t="shared" si="16"/>
        <v>-908.33333333333337</v>
      </c>
      <c r="T60" s="63"/>
      <c r="U60" s="63">
        <f t="shared" si="17"/>
        <v>-228.13695597893695</v>
      </c>
      <c r="V60" s="77">
        <f t="shared" si="20"/>
        <v>-24.752083333333335</v>
      </c>
      <c r="W60" s="83">
        <f t="shared" si="4"/>
        <v>1225.938382554411</v>
      </c>
      <c r="X60" s="85">
        <f t="shared" si="18"/>
        <v>44488.89453293819</v>
      </c>
      <c r="Z60" s="92">
        <f t="shared" si="19"/>
        <v>11881</v>
      </c>
      <c r="AA60" s="5">
        <f t="shared" si="5"/>
        <v>0</v>
      </c>
      <c r="AB60" s="92">
        <f t="shared" si="6"/>
        <v>11881</v>
      </c>
      <c r="AD60" s="133">
        <f t="shared" si="7"/>
        <v>-49050.000000000022</v>
      </c>
      <c r="AE60" s="3">
        <f t="shared" si="8"/>
        <v>1</v>
      </c>
    </row>
    <row r="61" spans="9:31" x14ac:dyDescent="0.45">
      <c r="I61" s="20">
        <f t="shared" si="10"/>
        <v>55</v>
      </c>
      <c r="J61" s="63">
        <f t="shared" si="11"/>
        <v>12855.552536310415</v>
      </c>
      <c r="K61" s="79">
        <f t="shared" si="25"/>
        <v>56.783353916167883</v>
      </c>
      <c r="L61" s="63">
        <f t="shared" si="12"/>
        <v>-2175.578364378724</v>
      </c>
      <c r="M61" s="80">
        <f t="shared" si="0"/>
        <v>10736.757525847859</v>
      </c>
      <c r="O61" s="20">
        <f t="shared" si="13"/>
        <v>55</v>
      </c>
      <c r="P61" s="54">
        <f t="shared" si="14"/>
        <v>20625</v>
      </c>
      <c r="Q61" s="63">
        <f t="shared" si="15"/>
        <v>4562.7391195787386</v>
      </c>
      <c r="R61" s="77">
        <f t="shared" si="2"/>
        <v>-2175.578364378724</v>
      </c>
      <c r="S61" s="63">
        <f t="shared" si="16"/>
        <v>-908.33333333333337</v>
      </c>
      <c r="T61" s="63">
        <f>-T75*0.5</f>
        <v>0</v>
      </c>
      <c r="U61" s="63">
        <f t="shared" si="17"/>
        <v>-228.13695597893695</v>
      </c>
      <c r="V61" s="77">
        <f t="shared" si="20"/>
        <v>-21.005208333333332</v>
      </c>
      <c r="W61" s="83">
        <f t="shared" si="4"/>
        <v>1229.685257554411</v>
      </c>
      <c r="X61" s="85">
        <f t="shared" si="18"/>
        <v>45718.5797904926</v>
      </c>
      <c r="Z61" s="92">
        <f t="shared" si="19"/>
        <v>10082.5</v>
      </c>
      <c r="AA61" s="5">
        <f t="shared" si="5"/>
        <v>0</v>
      </c>
      <c r="AB61" s="92">
        <f t="shared" si="6"/>
        <v>10082.5</v>
      </c>
      <c r="AD61" s="133">
        <f t="shared" si="7"/>
        <v>-49958.333333333358</v>
      </c>
      <c r="AE61" s="3">
        <f t="shared" si="8"/>
        <v>1</v>
      </c>
    </row>
    <row r="62" spans="9:31" x14ac:dyDescent="0.45">
      <c r="I62" s="20">
        <f t="shared" si="10"/>
        <v>56</v>
      </c>
      <c r="J62" s="63">
        <f t="shared" si="11"/>
        <v>10736.757525847859</v>
      </c>
      <c r="K62" s="79">
        <f t="shared" si="25"/>
        <v>47.424573994800461</v>
      </c>
      <c r="L62" s="63">
        <f t="shared" si="12"/>
        <v>-2175.578364378724</v>
      </c>
      <c r="M62" s="80">
        <f t="shared" si="0"/>
        <v>8608.6037354639357</v>
      </c>
      <c r="O62" s="20">
        <f t="shared" si="13"/>
        <v>56</v>
      </c>
      <c r="P62" s="54">
        <f t="shared" si="14"/>
        <v>21000</v>
      </c>
      <c r="Q62" s="63">
        <f t="shared" si="15"/>
        <v>4562.7391195787386</v>
      </c>
      <c r="R62" s="77">
        <f t="shared" si="2"/>
        <v>-2175.578364378724</v>
      </c>
      <c r="S62" s="63">
        <f t="shared" si="16"/>
        <v>-908.33333333333337</v>
      </c>
      <c r="T62" s="63">
        <f>-T76*0.5</f>
        <v>0</v>
      </c>
      <c r="U62" s="63">
        <f t="shared" si="17"/>
        <v>-228.13695597893695</v>
      </c>
      <c r="V62" s="77">
        <f t="shared" si="20"/>
        <v>-17.258333333333336</v>
      </c>
      <c r="W62" s="83">
        <f t="shared" si="4"/>
        <v>1233.4321325544108</v>
      </c>
      <c r="X62" s="85">
        <f t="shared" si="18"/>
        <v>46952.011923047008</v>
      </c>
      <c r="Z62" s="92">
        <f t="shared" si="19"/>
        <v>8284</v>
      </c>
      <c r="AA62" s="5">
        <f t="shared" si="5"/>
        <v>0</v>
      </c>
      <c r="AB62" s="92">
        <f t="shared" si="6"/>
        <v>8284</v>
      </c>
      <c r="AD62" s="133">
        <f t="shared" si="7"/>
        <v>-50866.666666666693</v>
      </c>
      <c r="AE62" s="3">
        <f t="shared" si="8"/>
        <v>1</v>
      </c>
    </row>
    <row r="63" spans="9:31" x14ac:dyDescent="0.45">
      <c r="I63" s="20">
        <f t="shared" si="10"/>
        <v>57</v>
      </c>
      <c r="J63" s="63">
        <f t="shared" si="11"/>
        <v>8608.6037354639357</v>
      </c>
      <c r="K63" s="79">
        <f t="shared" si="25"/>
        <v>38.024456067073721</v>
      </c>
      <c r="L63" s="63">
        <f t="shared" si="12"/>
        <v>-2175.578364378724</v>
      </c>
      <c r="M63" s="80">
        <f t="shared" si="0"/>
        <v>6471.0498271522865</v>
      </c>
      <c r="O63" s="20">
        <f t="shared" si="13"/>
        <v>57</v>
      </c>
      <c r="P63" s="54">
        <f t="shared" si="14"/>
        <v>21375</v>
      </c>
      <c r="Q63" s="63">
        <f t="shared" si="15"/>
        <v>4562.7391195787386</v>
      </c>
      <c r="R63" s="77">
        <f t="shared" si="2"/>
        <v>-2175.578364378724</v>
      </c>
      <c r="S63" s="63">
        <f>+S61</f>
        <v>-908.33333333333337</v>
      </c>
      <c r="T63" s="63">
        <f>-T76*0.5</f>
        <v>0</v>
      </c>
      <c r="U63" s="63">
        <f>U61</f>
        <v>-228.13695597893695</v>
      </c>
      <c r="V63" s="77">
        <f t="shared" si="20"/>
        <v>-13.511458333333335</v>
      </c>
      <c r="W63" s="83">
        <f t="shared" si="4"/>
        <v>1237.1790075544109</v>
      </c>
      <c r="X63" s="85">
        <f>X61+W63</f>
        <v>46955.758798047013</v>
      </c>
      <c r="Z63" s="92">
        <f t="shared" si="19"/>
        <v>6485.5</v>
      </c>
      <c r="AA63" s="5">
        <f t="shared" si="5"/>
        <v>0</v>
      </c>
      <c r="AB63" s="92">
        <f t="shared" si="6"/>
        <v>6485.5</v>
      </c>
      <c r="AD63" s="133">
        <f>IF(AD61=0,0,IF(+S63+AD61&lt;-$S$68,0,+S63+AD61))</f>
        <v>-50866.666666666693</v>
      </c>
      <c r="AE63" s="3">
        <f t="shared" si="8"/>
        <v>1</v>
      </c>
    </row>
    <row r="64" spans="9:31" x14ac:dyDescent="0.45">
      <c r="I64" s="20">
        <f t="shared" si="10"/>
        <v>58</v>
      </c>
      <c r="J64" s="63">
        <f t="shared" si="11"/>
        <v>6471.0498271522865</v>
      </c>
      <c r="K64" s="79">
        <f t="shared" si="25"/>
        <v>28.582817541796924</v>
      </c>
      <c r="L64" s="63">
        <f t="shared" si="12"/>
        <v>-2175.578364378724</v>
      </c>
      <c r="M64" s="80">
        <f t="shared" si="0"/>
        <v>4324.0542803153603</v>
      </c>
      <c r="O64" s="20">
        <f t="shared" si="13"/>
        <v>58</v>
      </c>
      <c r="P64" s="54">
        <f t="shared" si="14"/>
        <v>21750</v>
      </c>
      <c r="Q64" s="63">
        <f t="shared" si="15"/>
        <v>4562.7391195787386</v>
      </c>
      <c r="R64" s="77">
        <f t="shared" si="2"/>
        <v>-2175.578364378724</v>
      </c>
      <c r="S64" s="63">
        <f>+S61</f>
        <v>-908.33333333333337</v>
      </c>
      <c r="T64" s="63">
        <f>-T76*0.5</f>
        <v>0</v>
      </c>
      <c r="U64" s="63">
        <f>U61</f>
        <v>-228.13695597893695</v>
      </c>
      <c r="V64" s="77">
        <f t="shared" si="20"/>
        <v>-9.7645833333333343</v>
      </c>
      <c r="W64" s="83">
        <f t="shared" si="4"/>
        <v>1240.9258825544109</v>
      </c>
      <c r="X64" s="85">
        <f>X61+W64</f>
        <v>46959.50567304701</v>
      </c>
      <c r="Z64" s="92">
        <f t="shared" si="19"/>
        <v>4687</v>
      </c>
      <c r="AA64" s="5">
        <f t="shared" si="5"/>
        <v>0</v>
      </c>
      <c r="AB64" s="92">
        <f t="shared" si="6"/>
        <v>4687</v>
      </c>
      <c r="AD64" s="133">
        <f>IF(AD61=0,0,IF(+S64+AD61&lt;-$S$68,0,+S64+AD61))</f>
        <v>-50866.666666666693</v>
      </c>
      <c r="AE64" s="3">
        <f t="shared" si="8"/>
        <v>1</v>
      </c>
    </row>
    <row r="65" spans="1:31" x14ac:dyDescent="0.45">
      <c r="I65" s="20">
        <f t="shared" si="10"/>
        <v>59</v>
      </c>
      <c r="J65" s="63">
        <f t="shared" si="11"/>
        <v>4324.0542803153603</v>
      </c>
      <c r="K65" s="79">
        <f t="shared" si="25"/>
        <v>19.09947502126866</v>
      </c>
      <c r="L65" s="63">
        <f t="shared" si="12"/>
        <v>-2175.578364378724</v>
      </c>
      <c r="M65" s="80">
        <f t="shared" si="0"/>
        <v>2167.5753909579048</v>
      </c>
      <c r="O65" s="20">
        <f t="shared" si="13"/>
        <v>59</v>
      </c>
      <c r="P65" s="54">
        <f t="shared" si="14"/>
        <v>22125</v>
      </c>
      <c r="Q65" s="63">
        <f t="shared" si="15"/>
        <v>4562.7391195787386</v>
      </c>
      <c r="R65" s="77">
        <f t="shared" si="2"/>
        <v>-2175.578364378724</v>
      </c>
      <c r="S65" s="63">
        <f>+S62</f>
        <v>-908.33333333333337</v>
      </c>
      <c r="T65" s="63">
        <f>-T77*0.5</f>
        <v>0</v>
      </c>
      <c r="U65" s="63">
        <f>U62</f>
        <v>-228.13695597893695</v>
      </c>
      <c r="V65" s="77">
        <f t="shared" si="20"/>
        <v>-6.0177083333333341</v>
      </c>
      <c r="W65" s="83">
        <f t="shared" si="4"/>
        <v>1244.672757554411</v>
      </c>
      <c r="X65" s="85">
        <f>X62+W65</f>
        <v>48196.684680601422</v>
      </c>
      <c r="Z65" s="92">
        <f t="shared" si="19"/>
        <v>2888.5</v>
      </c>
      <c r="AA65" s="5">
        <f t="shared" si="5"/>
        <v>0</v>
      </c>
      <c r="AB65" s="92">
        <f t="shared" si="6"/>
        <v>2888.5</v>
      </c>
      <c r="AD65" s="133">
        <f>IF(AD62=0,0,IF(+S65+AD62&lt;-$S$68,0,+S65+AD62))</f>
        <v>-51775.000000000029</v>
      </c>
      <c r="AE65" s="3">
        <f t="shared" si="8"/>
        <v>1</v>
      </c>
    </row>
    <row r="66" spans="1:31" ht="14.65" thickBot="1" x14ac:dyDescent="0.5">
      <c r="I66" s="20">
        <f t="shared" si="10"/>
        <v>60</v>
      </c>
      <c r="J66" s="63">
        <f t="shared" si="11"/>
        <v>2167.5753909579048</v>
      </c>
      <c r="K66" s="79">
        <f t="shared" si="25"/>
        <v>9.5742442977144613</v>
      </c>
      <c r="L66" s="63">
        <f t="shared" si="12"/>
        <v>-2175.578364378724</v>
      </c>
      <c r="M66" s="80">
        <f t="shared" si="0"/>
        <v>1.5712708768951416</v>
      </c>
      <c r="O66" s="20">
        <f t="shared" si="13"/>
        <v>60</v>
      </c>
      <c r="P66" s="54">
        <f t="shared" si="14"/>
        <v>22500</v>
      </c>
      <c r="Q66" s="63">
        <f t="shared" si="15"/>
        <v>4562.7391195787386</v>
      </c>
      <c r="R66" s="77">
        <f t="shared" si="2"/>
        <v>-2175.578364378724</v>
      </c>
      <c r="S66" s="63">
        <f>+S62</f>
        <v>-908.33333333333337</v>
      </c>
      <c r="T66" s="63">
        <f>-T77*0.5</f>
        <v>0</v>
      </c>
      <c r="U66" s="63">
        <f>U62</f>
        <v>-228.13695597893695</v>
      </c>
      <c r="V66" s="77">
        <f t="shared" si="20"/>
        <v>-2.2708333333333335</v>
      </c>
      <c r="W66" s="83">
        <f t="shared" si="4"/>
        <v>1248.419632554411</v>
      </c>
      <c r="X66" s="85">
        <f>X62+W66</f>
        <v>48200.431555601419</v>
      </c>
      <c r="Z66" s="92">
        <f t="shared" si="19"/>
        <v>1090</v>
      </c>
      <c r="AA66" s="5">
        <f t="shared" si="5"/>
        <v>0</v>
      </c>
      <c r="AB66" s="92">
        <f t="shared" si="6"/>
        <v>1090</v>
      </c>
      <c r="AD66" s="133">
        <f>IF(AD62=0,0,IF(+S66+AD62&lt;-$S$68,0,+S66+AD62))</f>
        <v>-51775.000000000029</v>
      </c>
      <c r="AE66" s="3">
        <f t="shared" si="8"/>
        <v>1</v>
      </c>
    </row>
    <row r="67" spans="1:31" ht="14.65" thickBot="1" x14ac:dyDescent="0.5">
      <c r="I67" s="21" t="s">
        <v>20</v>
      </c>
      <c r="J67" s="69">
        <f>C7*C11</f>
        <v>1144.5</v>
      </c>
      <c r="K67" s="69">
        <f>SUM(K7:K54)</f>
        <v>15351.841834389263</v>
      </c>
      <c r="L67" s="81"/>
      <c r="M67" s="82"/>
      <c r="O67" s="58"/>
      <c r="P67" s="59"/>
      <c r="Q67" s="69">
        <f t="shared" ref="Q67:V67" si="26">SUM(Q7:Q54)</f>
        <v>219011.47773977931</v>
      </c>
      <c r="R67" s="69">
        <f t="shared" si="26"/>
        <v>-104427.76149017882</v>
      </c>
      <c r="S67" s="87">
        <f t="shared" si="26"/>
        <v>-43600.000000000007</v>
      </c>
      <c r="T67" s="87">
        <f t="shared" si="26"/>
        <v>-16350</v>
      </c>
      <c r="U67" s="69">
        <f t="shared" si="26"/>
        <v>-10950.573886988972</v>
      </c>
      <c r="V67" s="69">
        <f t="shared" si="26"/>
        <v>-6493.675000000002</v>
      </c>
      <c r="W67" s="88"/>
      <c r="X67" s="82"/>
    </row>
    <row r="68" spans="1:31" x14ac:dyDescent="0.45">
      <c r="Q68" s="89">
        <f>+SUM(Q67:V67)</f>
        <v>37189.467362611511</v>
      </c>
      <c r="R68" s="89"/>
      <c r="S68" s="90">
        <f>D31</f>
        <v>54500</v>
      </c>
      <c r="T68" s="60">
        <f>D32</f>
        <v>16350</v>
      </c>
      <c r="U68" s="89"/>
      <c r="V68" s="89"/>
      <c r="W68" s="89"/>
      <c r="X68" s="89"/>
    </row>
    <row r="69" spans="1:31" ht="14.65" thickBot="1" x14ac:dyDescent="0.5">
      <c r="L69" s="129">
        <f>+PMT(C8/12,C12,(C7),,)</f>
        <v>-2175.578364378724</v>
      </c>
      <c r="Q69" s="89"/>
      <c r="R69" s="89"/>
      <c r="S69" s="91">
        <f>S67+S68</f>
        <v>10899.999999999993</v>
      </c>
      <c r="T69" s="66">
        <f>T67+T68</f>
        <v>0</v>
      </c>
      <c r="U69" s="89"/>
      <c r="V69" s="89"/>
      <c r="W69" s="89"/>
      <c r="X69" s="89"/>
    </row>
    <row r="70" spans="1:31" s="131" customFormat="1" ht="14.65" thickBot="1" x14ac:dyDescent="0.5"/>
    <row r="71" spans="1:31" s="177" customFormat="1" ht="31.15" thickBot="1" x14ac:dyDescent="0.5">
      <c r="A71" s="695" t="str">
        <f>+A3</f>
        <v>MERC WC</v>
      </c>
      <c r="B71" s="696"/>
      <c r="C71" s="697"/>
      <c r="D71" s="698" t="s">
        <v>2</v>
      </c>
      <c r="E71" s="699"/>
      <c r="F71" s="699"/>
      <c r="G71" s="699"/>
      <c r="H71" s="700"/>
      <c r="I71" s="700"/>
      <c r="J71" s="700"/>
      <c r="K71" s="700"/>
      <c r="L71" s="700"/>
      <c r="M71" s="700"/>
      <c r="N71" s="700"/>
      <c r="O71" s="700"/>
      <c r="P71" s="700"/>
      <c r="Q71" s="700"/>
      <c r="R71" s="700"/>
      <c r="S71" s="700"/>
      <c r="T71" s="700"/>
      <c r="U71" s="700"/>
      <c r="V71" s="700"/>
      <c r="W71" s="700"/>
      <c r="X71" s="701"/>
    </row>
    <row r="72" spans="1:31" s="177" customFormat="1" ht="28.9" thickBot="1" x14ac:dyDescent="0.5">
      <c r="C72" s="178"/>
      <c r="D72" s="178"/>
      <c r="E72" s="179" t="s">
        <v>77</v>
      </c>
      <c r="F72" s="179" t="s">
        <v>78</v>
      </c>
      <c r="G72" s="179" t="s">
        <v>79</v>
      </c>
      <c r="H72" s="178"/>
      <c r="I72" s="180"/>
      <c r="J72" s="178"/>
      <c r="K72" s="178"/>
      <c r="L72" s="178"/>
      <c r="M72" s="178"/>
      <c r="Q72" s="181">
        <f>+C81/C80*C82</f>
        <v>350</v>
      </c>
      <c r="U72" s="182">
        <v>0.05</v>
      </c>
    </row>
    <row r="73" spans="1:31" s="177" customFormat="1" ht="23.65" thickBot="1" x14ac:dyDescent="0.5">
      <c r="A73" s="708" t="s">
        <v>9</v>
      </c>
      <c r="B73" s="709"/>
      <c r="C73" s="710"/>
      <c r="D73" s="178"/>
      <c r="E73" s="183">
        <f>+'Summary Equip'!AL27</f>
        <v>0</v>
      </c>
      <c r="F73" s="183">
        <f>+'Summary Equip'!AM27</f>
        <v>0</v>
      </c>
      <c r="G73" s="183">
        <f>+'Summary Equip'!AN27</f>
        <v>0</v>
      </c>
      <c r="H73" s="178"/>
      <c r="I73" s="711" t="s">
        <v>34</v>
      </c>
      <c r="J73" s="712"/>
      <c r="K73" s="712"/>
      <c r="L73" s="712"/>
      <c r="M73" s="713"/>
      <c r="O73" s="711" t="s">
        <v>35</v>
      </c>
      <c r="P73" s="714"/>
      <c r="Q73" s="712"/>
      <c r="R73" s="712"/>
      <c r="S73" s="712"/>
      <c r="T73" s="712"/>
      <c r="U73" s="712"/>
      <c r="V73" s="712"/>
      <c r="W73" s="715"/>
      <c r="X73" s="716"/>
      <c r="AA73" s="184">
        <v>0</v>
      </c>
    </row>
    <row r="74" spans="1:31" s="177" customFormat="1" ht="28.9" thickBot="1" x14ac:dyDescent="0.5">
      <c r="A74" s="185" t="s">
        <v>0</v>
      </c>
      <c r="B74" s="186" t="s">
        <v>1</v>
      </c>
      <c r="C74" s="187" t="s">
        <v>10</v>
      </c>
      <c r="D74" s="178"/>
      <c r="E74" s="178"/>
      <c r="F74" s="178"/>
      <c r="G74" s="178"/>
      <c r="H74" s="178"/>
      <c r="I74" s="188" t="s">
        <v>15</v>
      </c>
      <c r="J74" s="189" t="s">
        <v>16</v>
      </c>
      <c r="K74" s="189" t="s">
        <v>17</v>
      </c>
      <c r="L74" s="189" t="s">
        <v>18</v>
      </c>
      <c r="M74" s="190" t="s">
        <v>19</v>
      </c>
      <c r="O74" s="188" t="s">
        <v>15</v>
      </c>
      <c r="P74" s="191" t="s">
        <v>39</v>
      </c>
      <c r="Q74" s="189" t="s">
        <v>36</v>
      </c>
      <c r="R74" s="189" t="s">
        <v>37</v>
      </c>
      <c r="S74" s="189" t="s">
        <v>27</v>
      </c>
      <c r="T74" s="189" t="s">
        <v>38</v>
      </c>
      <c r="U74" s="189" t="s">
        <v>7</v>
      </c>
      <c r="V74" s="189" t="s">
        <v>41</v>
      </c>
      <c r="W74" s="190" t="s">
        <v>40</v>
      </c>
      <c r="X74" s="192" t="s">
        <v>42</v>
      </c>
      <c r="Z74" s="193" t="s">
        <v>71</v>
      </c>
      <c r="AA74" s="193" t="s">
        <v>46</v>
      </c>
      <c r="AB74" s="193" t="s">
        <v>47</v>
      </c>
    </row>
    <row r="75" spans="1:31" s="177" customFormat="1" x14ac:dyDescent="0.45">
      <c r="A75" s="194">
        <v>1</v>
      </c>
      <c r="B75" s="195" t="s">
        <v>11</v>
      </c>
      <c r="C75" s="196">
        <f>+F79*(1+'Summary Equip'!$N$3)</f>
        <v>5450</v>
      </c>
      <c r="D75" s="197"/>
      <c r="E75" s="194" t="s">
        <v>61</v>
      </c>
      <c r="F75" s="198">
        <f>+IF(G73=1,'Summary Equip'!Q29,'Summary Equip'!J27)</f>
        <v>0</v>
      </c>
      <c r="G75" s="199"/>
      <c r="H75" s="178"/>
      <c r="I75" s="200">
        <v>1</v>
      </c>
      <c r="J75" s="201">
        <f>C75</f>
        <v>5450</v>
      </c>
      <c r="K75" s="201">
        <f>J75*$C$8*30.44/365.25</f>
        <v>24.072810403832989</v>
      </c>
      <c r="L75" s="201">
        <f>L125</f>
        <v>-164.0764799995537</v>
      </c>
      <c r="M75" s="202">
        <f t="shared" ref="M75:M122" si="27">J75+K75+L75</f>
        <v>5309.9963304042785</v>
      </c>
      <c r="O75" s="200">
        <v>1</v>
      </c>
      <c r="P75" s="203">
        <f>Q72</f>
        <v>350</v>
      </c>
      <c r="Q75" s="201">
        <f t="shared" ref="Q75:Q110" si="28">$F$110+($Q$4*$G$42)</f>
        <v>2734.9367805389375</v>
      </c>
      <c r="R75" s="201">
        <f>+L75</f>
        <v>-164.0764799995537</v>
      </c>
      <c r="S75" s="201">
        <f>-S124/C80</f>
        <v>0</v>
      </c>
      <c r="T75" s="201"/>
      <c r="U75" s="201">
        <f>-Q75*U72</f>
        <v>-136.74683902694687</v>
      </c>
      <c r="V75" s="201">
        <f>-(AB75*$C$9/12)</f>
        <v>-223.33645833333335</v>
      </c>
      <c r="W75" s="204">
        <f>SUM(Q75:V75)</f>
        <v>2210.7770031791038</v>
      </c>
      <c r="X75" s="205">
        <f>W75</f>
        <v>2210.7770031791038</v>
      </c>
      <c r="Z75" s="206">
        <f>+$D$27-(($D$27+$D$28)*O75/$B$22)</f>
        <v>107201.5</v>
      </c>
      <c r="AA75" s="193">
        <f>+Z75*$AA$5</f>
        <v>0</v>
      </c>
      <c r="AB75" s="206">
        <f>+Z75+AA75</f>
        <v>107201.5</v>
      </c>
    </row>
    <row r="76" spans="1:31" s="177" customFormat="1" ht="28.5" x14ac:dyDescent="0.45">
      <c r="A76" s="207">
        <f>A75+1</f>
        <v>2</v>
      </c>
      <c r="B76" s="193" t="s">
        <v>3</v>
      </c>
      <c r="C76" s="208">
        <f>+C8</f>
        <v>5.2999999999999999E-2</v>
      </c>
      <c r="D76" s="178"/>
      <c r="E76" s="209" t="s">
        <v>64</v>
      </c>
      <c r="F76" s="210">
        <f>+'Summary Equip'!D27*(1-'MERC WC'!E73)</f>
        <v>0</v>
      </c>
      <c r="G76" s="211"/>
      <c r="H76" s="178"/>
      <c r="I76" s="212">
        <f>I75+1</f>
        <v>2</v>
      </c>
      <c r="J76" s="213">
        <f>M75</f>
        <v>5309.9963304042785</v>
      </c>
      <c r="K76" s="213">
        <f t="shared" ref="K76:K110" si="29">J76*$C$8*30.44/365.25</f>
        <v>23.454410074655254</v>
      </c>
      <c r="L76" s="213">
        <f>L75</f>
        <v>-164.0764799995537</v>
      </c>
      <c r="M76" s="214">
        <f t="shared" si="27"/>
        <v>5169.3742604793797</v>
      </c>
      <c r="O76" s="212">
        <f>O75+1</f>
        <v>2</v>
      </c>
      <c r="P76" s="215">
        <f>P75+$Q$4</f>
        <v>725</v>
      </c>
      <c r="Q76" s="201">
        <f t="shared" si="28"/>
        <v>2734.9367805389375</v>
      </c>
      <c r="R76" s="201">
        <f t="shared" ref="R76:R122" si="30">+L76</f>
        <v>-164.0764799995537</v>
      </c>
      <c r="S76" s="213">
        <f>+S75</f>
        <v>0</v>
      </c>
      <c r="T76" s="213"/>
      <c r="U76" s="213">
        <f>U75</f>
        <v>-136.74683902694687</v>
      </c>
      <c r="V76" s="201">
        <f t="shared" ref="V76:V82" si="31">-(AB76*$C$9/12)</f>
        <v>-219.58958333333337</v>
      </c>
      <c r="W76" s="204">
        <f t="shared" ref="W76:W122" si="32">SUM(Q76:V76)</f>
        <v>2214.5238781791036</v>
      </c>
      <c r="X76" s="216">
        <f>X75+W76</f>
        <v>4425.3008813582073</v>
      </c>
      <c r="Z76" s="206">
        <f>+$D$27-(($D$27+$D$28)*O76/$B$22)</f>
        <v>105403</v>
      </c>
      <c r="AA76" s="193">
        <f t="shared" ref="AA76:AA122" si="33">+Z76*$AA$5</f>
        <v>0</v>
      </c>
      <c r="AB76" s="206">
        <f t="shared" ref="AB76:AB122" si="34">+Z76+AA76</f>
        <v>105403</v>
      </c>
    </row>
    <row r="77" spans="1:31" s="177" customFormat="1" x14ac:dyDescent="0.45">
      <c r="A77" s="207">
        <f t="shared" ref="A77:A82" si="35">A76+1</f>
        <v>3</v>
      </c>
      <c r="B77" s="193" t="s">
        <v>4</v>
      </c>
      <c r="C77" s="208">
        <f>+C9</f>
        <v>2.5000000000000001E-2</v>
      </c>
      <c r="D77" s="178"/>
      <c r="E77" s="109" t="s">
        <v>69</v>
      </c>
      <c r="F77" s="149">
        <f>+F9</f>
        <v>5450</v>
      </c>
      <c r="G77" s="110"/>
      <c r="H77" s="178"/>
      <c r="I77" s="212">
        <f t="shared" ref="I77:I122" si="36">I76+1</f>
        <v>3</v>
      </c>
      <c r="J77" s="213">
        <f t="shared" ref="J77:J91" si="37">M76</f>
        <v>5169.3742604793797</v>
      </c>
      <c r="K77" s="213">
        <f t="shared" si="29"/>
        <v>22.833278253022844</v>
      </c>
      <c r="L77" s="213">
        <f t="shared" ref="L77:L109" si="38">L76</f>
        <v>-164.0764799995537</v>
      </c>
      <c r="M77" s="214">
        <f t="shared" si="27"/>
        <v>5028.131058732848</v>
      </c>
      <c r="O77" s="212">
        <f t="shared" ref="O77:O122" si="39">O76+1</f>
        <v>3</v>
      </c>
      <c r="P77" s="215">
        <f t="shared" ref="P77:P122" si="40">P76+$Q$4</f>
        <v>1100</v>
      </c>
      <c r="Q77" s="201">
        <f t="shared" si="28"/>
        <v>2734.9367805389375</v>
      </c>
      <c r="R77" s="201">
        <f t="shared" si="30"/>
        <v>-164.0764799995537</v>
      </c>
      <c r="S77" s="213">
        <f t="shared" ref="S77:S122" si="41">+S76</f>
        <v>0</v>
      </c>
      <c r="T77" s="213"/>
      <c r="U77" s="213">
        <f t="shared" ref="U77:U122" si="42">U76</f>
        <v>-136.74683902694687</v>
      </c>
      <c r="V77" s="201">
        <f t="shared" si="31"/>
        <v>-215.84270833333335</v>
      </c>
      <c r="W77" s="204">
        <f t="shared" si="32"/>
        <v>2218.2707531791038</v>
      </c>
      <c r="X77" s="216">
        <f t="shared" ref="X77:X122" si="43">X76+W77</f>
        <v>6643.5716345373112</v>
      </c>
      <c r="Z77" s="206">
        <f t="shared" ref="Z77:Z122" si="44">+$D$27-(($D$27+$D$28)*O77/$B$22)</f>
        <v>103604.5</v>
      </c>
      <c r="AA77" s="193">
        <f t="shared" si="33"/>
        <v>0</v>
      </c>
      <c r="AB77" s="206">
        <f t="shared" si="34"/>
        <v>103604.5</v>
      </c>
    </row>
    <row r="78" spans="1:31" s="177" customFormat="1" ht="14.65" thickBot="1" x14ac:dyDescent="0.5">
      <c r="A78" s="207">
        <f t="shared" si="35"/>
        <v>4</v>
      </c>
      <c r="B78" s="193" t="s">
        <v>5</v>
      </c>
      <c r="C78" s="208">
        <f>+C10</f>
        <v>0.05</v>
      </c>
      <c r="D78" s="178"/>
      <c r="E78" s="111" t="s">
        <v>52</v>
      </c>
      <c r="F78" s="217">
        <f>(SUM(F75:F77)*G78)*(1-F73)</f>
        <v>0</v>
      </c>
      <c r="G78" s="218">
        <f>+G10</f>
        <v>0</v>
      </c>
      <c r="H78" s="178"/>
      <c r="I78" s="212">
        <f t="shared" si="36"/>
        <v>4</v>
      </c>
      <c r="J78" s="213">
        <f t="shared" si="37"/>
        <v>5028.131058732848</v>
      </c>
      <c r="K78" s="213">
        <f t="shared" si="29"/>
        <v>22.209402873853197</v>
      </c>
      <c r="L78" s="213">
        <f t="shared" si="38"/>
        <v>-164.0764799995537</v>
      </c>
      <c r="M78" s="214">
        <f t="shared" si="27"/>
        <v>4886.2639816071469</v>
      </c>
      <c r="O78" s="212">
        <f t="shared" si="39"/>
        <v>4</v>
      </c>
      <c r="P78" s="215">
        <f t="shared" si="40"/>
        <v>1475</v>
      </c>
      <c r="Q78" s="201">
        <f t="shared" si="28"/>
        <v>2734.9367805389375</v>
      </c>
      <c r="R78" s="201">
        <f t="shared" si="30"/>
        <v>-164.0764799995537</v>
      </c>
      <c r="S78" s="213">
        <f t="shared" si="41"/>
        <v>0</v>
      </c>
      <c r="T78" s="213"/>
      <c r="U78" s="213">
        <f t="shared" si="42"/>
        <v>-136.74683902694687</v>
      </c>
      <c r="V78" s="201">
        <f t="shared" si="31"/>
        <v>-212.09583333333333</v>
      </c>
      <c r="W78" s="204">
        <f t="shared" si="32"/>
        <v>2222.0176281791037</v>
      </c>
      <c r="X78" s="216">
        <f t="shared" si="43"/>
        <v>8865.5892627164139</v>
      </c>
      <c r="Z78" s="206">
        <f t="shared" si="44"/>
        <v>101806</v>
      </c>
      <c r="AA78" s="193">
        <f t="shared" si="33"/>
        <v>0</v>
      </c>
      <c r="AB78" s="206">
        <f t="shared" si="34"/>
        <v>101806</v>
      </c>
    </row>
    <row r="79" spans="1:31" s="177" customFormat="1" ht="14.65" thickBot="1" x14ac:dyDescent="0.5">
      <c r="A79" s="207">
        <f t="shared" si="35"/>
        <v>5</v>
      </c>
      <c r="B79" s="193" t="s">
        <v>12</v>
      </c>
      <c r="C79" s="208">
        <f>+C11</f>
        <v>0.01</v>
      </c>
      <c r="D79" s="178"/>
      <c r="E79" s="112" t="s">
        <v>28</v>
      </c>
      <c r="F79" s="219">
        <f>SUM(F75:F78)</f>
        <v>5450</v>
      </c>
      <c r="G79" s="113"/>
      <c r="H79" s="178"/>
      <c r="I79" s="212">
        <f t="shared" si="36"/>
        <v>5</v>
      </c>
      <c r="J79" s="213">
        <f t="shared" si="37"/>
        <v>4886.2639816071469</v>
      </c>
      <c r="K79" s="213">
        <f t="shared" si="29"/>
        <v>21.582771818771917</v>
      </c>
      <c r="L79" s="213">
        <f t="shared" si="38"/>
        <v>-164.0764799995537</v>
      </c>
      <c r="M79" s="214">
        <f t="shared" si="27"/>
        <v>4743.7702734263648</v>
      </c>
      <c r="O79" s="212">
        <f t="shared" si="39"/>
        <v>5</v>
      </c>
      <c r="P79" s="215">
        <f t="shared" si="40"/>
        <v>1850</v>
      </c>
      <c r="Q79" s="201">
        <f t="shared" si="28"/>
        <v>2734.9367805389375</v>
      </c>
      <c r="R79" s="201">
        <f t="shared" si="30"/>
        <v>-164.0764799995537</v>
      </c>
      <c r="S79" s="213">
        <f t="shared" si="41"/>
        <v>0</v>
      </c>
      <c r="T79" s="213"/>
      <c r="U79" s="213">
        <f t="shared" si="42"/>
        <v>-136.74683902694687</v>
      </c>
      <c r="V79" s="201">
        <f t="shared" si="31"/>
        <v>-208.34895833333334</v>
      </c>
      <c r="W79" s="204">
        <f t="shared" si="32"/>
        <v>2225.7645031791035</v>
      </c>
      <c r="X79" s="216">
        <f t="shared" si="43"/>
        <v>11091.353765895517</v>
      </c>
      <c r="Z79" s="206">
        <f t="shared" si="44"/>
        <v>100007.5</v>
      </c>
      <c r="AA79" s="193">
        <f t="shared" si="33"/>
        <v>0</v>
      </c>
      <c r="AB79" s="206">
        <f t="shared" si="34"/>
        <v>100007.5</v>
      </c>
    </row>
    <row r="80" spans="1:31" s="177" customFormat="1" x14ac:dyDescent="0.45">
      <c r="A80" s="207">
        <f t="shared" si="35"/>
        <v>6</v>
      </c>
      <c r="B80" s="193" t="s">
        <v>13</v>
      </c>
      <c r="C80" s="220">
        <v>36</v>
      </c>
      <c r="D80" s="178"/>
      <c r="E80" s="178"/>
      <c r="F80" s="178"/>
      <c r="G80" s="178"/>
      <c r="H80" s="178"/>
      <c r="I80" s="212">
        <f t="shared" si="36"/>
        <v>6</v>
      </c>
      <c r="J80" s="213">
        <f t="shared" si="37"/>
        <v>4743.7702734263648</v>
      </c>
      <c r="K80" s="213">
        <f t="shared" si="29"/>
        <v>20.953372915877406</v>
      </c>
      <c r="L80" s="213">
        <f t="shared" si="38"/>
        <v>-164.0764799995537</v>
      </c>
      <c r="M80" s="214">
        <f t="shared" si="27"/>
        <v>4600.6471663426883</v>
      </c>
      <c r="O80" s="212">
        <f t="shared" si="39"/>
        <v>6</v>
      </c>
      <c r="P80" s="215">
        <f t="shared" si="40"/>
        <v>2225</v>
      </c>
      <c r="Q80" s="201">
        <f t="shared" si="28"/>
        <v>2734.9367805389375</v>
      </c>
      <c r="R80" s="201">
        <f t="shared" si="30"/>
        <v>-164.0764799995537</v>
      </c>
      <c r="S80" s="213">
        <f t="shared" si="41"/>
        <v>0</v>
      </c>
      <c r="T80" s="213"/>
      <c r="U80" s="213">
        <f t="shared" si="42"/>
        <v>-136.74683902694687</v>
      </c>
      <c r="V80" s="201">
        <f t="shared" si="31"/>
        <v>-204.60208333333333</v>
      </c>
      <c r="W80" s="204">
        <f t="shared" si="32"/>
        <v>2229.5113781791038</v>
      </c>
      <c r="X80" s="216">
        <f t="shared" si="43"/>
        <v>13320.865144074622</v>
      </c>
      <c r="Z80" s="206">
        <f t="shared" si="44"/>
        <v>98209</v>
      </c>
      <c r="AA80" s="193">
        <f t="shared" si="33"/>
        <v>0</v>
      </c>
      <c r="AB80" s="206">
        <f t="shared" si="34"/>
        <v>98209</v>
      </c>
    </row>
    <row r="81" spans="1:28" s="177" customFormat="1" x14ac:dyDescent="0.45">
      <c r="A81" s="207">
        <f t="shared" si="35"/>
        <v>7</v>
      </c>
      <c r="B81" s="193" t="s">
        <v>14</v>
      </c>
      <c r="C81" s="220">
        <f>+C13</f>
        <v>18000</v>
      </c>
      <c r="D81" s="178"/>
      <c r="E81" s="178"/>
      <c r="F81" s="178"/>
      <c r="G81" s="178"/>
      <c r="H81" s="178"/>
      <c r="I81" s="212">
        <f t="shared" si="36"/>
        <v>7</v>
      </c>
      <c r="J81" s="213">
        <f t="shared" si="37"/>
        <v>4600.6471663426883</v>
      </c>
      <c r="K81" s="213">
        <f t="shared" si="29"/>
        <v>20.321193939504408</v>
      </c>
      <c r="L81" s="213">
        <f t="shared" si="38"/>
        <v>-164.0764799995537</v>
      </c>
      <c r="M81" s="214">
        <f t="shared" si="27"/>
        <v>4456.8918802826383</v>
      </c>
      <c r="O81" s="212">
        <f t="shared" si="39"/>
        <v>7</v>
      </c>
      <c r="P81" s="215">
        <f t="shared" si="40"/>
        <v>2600</v>
      </c>
      <c r="Q81" s="201">
        <f t="shared" si="28"/>
        <v>2734.9367805389375</v>
      </c>
      <c r="R81" s="201">
        <f t="shared" si="30"/>
        <v>-164.0764799995537</v>
      </c>
      <c r="S81" s="213">
        <f t="shared" si="41"/>
        <v>0</v>
      </c>
      <c r="T81" s="213"/>
      <c r="U81" s="213">
        <f t="shared" si="42"/>
        <v>-136.74683902694687</v>
      </c>
      <c r="V81" s="201">
        <f t="shared" si="31"/>
        <v>-200.85520833333337</v>
      </c>
      <c r="W81" s="204">
        <f t="shared" si="32"/>
        <v>2233.2582531791036</v>
      </c>
      <c r="X81" s="216">
        <f t="shared" si="43"/>
        <v>15554.123397253725</v>
      </c>
      <c r="Z81" s="206">
        <f t="shared" si="44"/>
        <v>96410.5</v>
      </c>
      <c r="AA81" s="193">
        <f t="shared" si="33"/>
        <v>0</v>
      </c>
      <c r="AB81" s="206">
        <f t="shared" si="34"/>
        <v>96410.5</v>
      </c>
    </row>
    <row r="82" spans="1:28" s="177" customFormat="1" ht="14.65" thickBot="1" x14ac:dyDescent="0.5">
      <c r="A82" s="221">
        <f t="shared" si="35"/>
        <v>8</v>
      </c>
      <c r="B82" s="222" t="s">
        <v>33</v>
      </c>
      <c r="C82" s="208">
        <v>0.7</v>
      </c>
      <c r="D82" s="178"/>
      <c r="E82" s="178"/>
      <c r="F82" s="178"/>
      <c r="G82" s="178"/>
      <c r="H82" s="178"/>
      <c r="I82" s="212">
        <f t="shared" si="36"/>
        <v>8</v>
      </c>
      <c r="J82" s="213">
        <f t="shared" si="37"/>
        <v>4456.8918802826383</v>
      </c>
      <c r="K82" s="213">
        <f t="shared" si="29"/>
        <v>19.686222609986547</v>
      </c>
      <c r="L82" s="213">
        <f t="shared" si="38"/>
        <v>-164.0764799995537</v>
      </c>
      <c r="M82" s="214">
        <f t="shared" si="27"/>
        <v>4312.5016228930708</v>
      </c>
      <c r="O82" s="212">
        <f t="shared" si="39"/>
        <v>8</v>
      </c>
      <c r="P82" s="215">
        <f t="shared" si="40"/>
        <v>2975</v>
      </c>
      <c r="Q82" s="201">
        <f t="shared" si="28"/>
        <v>2734.9367805389375</v>
      </c>
      <c r="R82" s="201">
        <f t="shared" si="30"/>
        <v>-164.0764799995537</v>
      </c>
      <c r="S82" s="213">
        <f t="shared" si="41"/>
        <v>0</v>
      </c>
      <c r="T82" s="213"/>
      <c r="U82" s="213">
        <f t="shared" si="42"/>
        <v>-136.74683902694687</v>
      </c>
      <c r="V82" s="201">
        <f t="shared" si="31"/>
        <v>-197.10833333333335</v>
      </c>
      <c r="W82" s="204">
        <f t="shared" si="32"/>
        <v>2237.0051281791038</v>
      </c>
      <c r="X82" s="216">
        <f t="shared" si="43"/>
        <v>17791.128525432829</v>
      </c>
      <c r="Z82" s="206">
        <f t="shared" si="44"/>
        <v>94612</v>
      </c>
      <c r="AA82" s="193">
        <f t="shared" si="33"/>
        <v>0</v>
      </c>
      <c r="AB82" s="206">
        <f t="shared" si="34"/>
        <v>94612</v>
      </c>
    </row>
    <row r="83" spans="1:28" s="177" customFormat="1" ht="14.65" thickBot="1" x14ac:dyDescent="0.5">
      <c r="C83" s="178"/>
      <c r="D83" s="178"/>
      <c r="E83" s="178"/>
      <c r="F83" s="178"/>
      <c r="G83" s="178"/>
      <c r="H83" s="178"/>
      <c r="I83" s="212">
        <f t="shared" si="36"/>
        <v>9</v>
      </c>
      <c r="J83" s="213">
        <f t="shared" si="37"/>
        <v>4312.5016228930708</v>
      </c>
      <c r="K83" s="213">
        <f t="shared" si="29"/>
        <v>19.048446593417793</v>
      </c>
      <c r="L83" s="213">
        <f t="shared" si="38"/>
        <v>-164.0764799995537</v>
      </c>
      <c r="M83" s="214">
        <f t="shared" si="27"/>
        <v>4167.4735894869345</v>
      </c>
      <c r="O83" s="212">
        <f t="shared" si="39"/>
        <v>9</v>
      </c>
      <c r="P83" s="215">
        <f t="shared" si="40"/>
        <v>3350</v>
      </c>
      <c r="Q83" s="201">
        <f t="shared" si="28"/>
        <v>2734.9367805389375</v>
      </c>
      <c r="R83" s="201">
        <f t="shared" si="30"/>
        <v>-164.0764799995537</v>
      </c>
      <c r="S83" s="213">
        <f t="shared" si="41"/>
        <v>0</v>
      </c>
      <c r="T83" s="213"/>
      <c r="U83" s="213">
        <f t="shared" si="42"/>
        <v>-136.74683902694687</v>
      </c>
      <c r="V83" s="201">
        <f>-(AB83*$C$9/12)</f>
        <v>-193.36145833333333</v>
      </c>
      <c r="W83" s="204">
        <f t="shared" si="32"/>
        <v>2240.7520031791037</v>
      </c>
      <c r="X83" s="216">
        <f t="shared" si="43"/>
        <v>20031.880528611931</v>
      </c>
      <c r="Z83" s="206">
        <f t="shared" si="44"/>
        <v>92813.5</v>
      </c>
      <c r="AA83" s="193">
        <f t="shared" si="33"/>
        <v>0</v>
      </c>
      <c r="AB83" s="206">
        <f t="shared" si="34"/>
        <v>92813.5</v>
      </c>
    </row>
    <row r="84" spans="1:28" s="177" customFormat="1" ht="16.149999999999999" thickBot="1" x14ac:dyDescent="0.5">
      <c r="A84" s="717" t="s">
        <v>43</v>
      </c>
      <c r="B84" s="718"/>
      <c r="C84" s="718"/>
      <c r="D84" s="718"/>
      <c r="E84" s="719"/>
      <c r="F84" s="223"/>
      <c r="G84" s="223"/>
      <c r="H84" s="224"/>
      <c r="I84" s="212">
        <f t="shared" si="36"/>
        <v>10</v>
      </c>
      <c r="J84" s="213">
        <f t="shared" si="37"/>
        <v>4167.4735894869345</v>
      </c>
      <c r="K84" s="213">
        <f t="shared" si="29"/>
        <v>18.407853501412898</v>
      </c>
      <c r="L84" s="213">
        <f t="shared" si="38"/>
        <v>-164.0764799995537</v>
      </c>
      <c r="M84" s="214">
        <f t="shared" si="27"/>
        <v>4021.8049629887942</v>
      </c>
      <c r="O84" s="212">
        <f t="shared" si="39"/>
        <v>10</v>
      </c>
      <c r="P84" s="215">
        <f t="shared" si="40"/>
        <v>3725</v>
      </c>
      <c r="Q84" s="201">
        <f t="shared" si="28"/>
        <v>2734.9367805389375</v>
      </c>
      <c r="R84" s="201">
        <f t="shared" si="30"/>
        <v>-164.0764799995537</v>
      </c>
      <c r="S84" s="213">
        <f t="shared" si="41"/>
        <v>0</v>
      </c>
      <c r="T84" s="213"/>
      <c r="U84" s="213">
        <f t="shared" si="42"/>
        <v>-136.74683902694687</v>
      </c>
      <c r="V84" s="201">
        <f t="shared" ref="V84:V122" si="45">-(AB84*$C$9/12)</f>
        <v>-189.61458333333334</v>
      </c>
      <c r="W84" s="204">
        <f t="shared" si="32"/>
        <v>2244.4988781791035</v>
      </c>
      <c r="X84" s="216">
        <f t="shared" si="43"/>
        <v>22276.379406791035</v>
      </c>
      <c r="Z84" s="206">
        <f t="shared" si="44"/>
        <v>91015</v>
      </c>
      <c r="AA84" s="193">
        <f t="shared" si="33"/>
        <v>0</v>
      </c>
      <c r="AB84" s="206">
        <f t="shared" si="34"/>
        <v>91015</v>
      </c>
    </row>
    <row r="85" spans="1:28" s="177" customFormat="1" ht="14.65" thickBot="1" x14ac:dyDescent="0.5">
      <c r="A85" s="225" t="s">
        <v>44</v>
      </c>
      <c r="B85" s="226" t="s">
        <v>48</v>
      </c>
      <c r="C85" s="226" t="s">
        <v>45</v>
      </c>
      <c r="D85" s="227" t="s">
        <v>46</v>
      </c>
      <c r="E85" s="192" t="s">
        <v>47</v>
      </c>
      <c r="F85" s="223"/>
      <c r="G85" s="223"/>
      <c r="H85" s="224"/>
      <c r="I85" s="212">
        <f t="shared" si="36"/>
        <v>11</v>
      </c>
      <c r="J85" s="213">
        <f t="shared" si="37"/>
        <v>4021.8049629887942</v>
      </c>
      <c r="K85" s="213">
        <f t="shared" si="29"/>
        <v>17.764430890866755</v>
      </c>
      <c r="L85" s="213">
        <f t="shared" si="38"/>
        <v>-164.0764799995537</v>
      </c>
      <c r="M85" s="214">
        <f t="shared" si="27"/>
        <v>3875.4929138801072</v>
      </c>
      <c r="O85" s="212">
        <f t="shared" si="39"/>
        <v>11</v>
      </c>
      <c r="P85" s="215">
        <f t="shared" si="40"/>
        <v>4100</v>
      </c>
      <c r="Q85" s="201">
        <f t="shared" si="28"/>
        <v>2734.9367805389375</v>
      </c>
      <c r="R85" s="201">
        <f t="shared" si="30"/>
        <v>-164.0764799995537</v>
      </c>
      <c r="S85" s="213">
        <f t="shared" si="41"/>
        <v>0</v>
      </c>
      <c r="T85" s="213"/>
      <c r="U85" s="213">
        <f t="shared" si="42"/>
        <v>-136.74683902694687</v>
      </c>
      <c r="V85" s="201">
        <f t="shared" si="45"/>
        <v>-185.86770833333333</v>
      </c>
      <c r="W85" s="204">
        <f t="shared" si="32"/>
        <v>2248.2457531791038</v>
      </c>
      <c r="X85" s="216">
        <f t="shared" si="43"/>
        <v>24524.625159970139</v>
      </c>
      <c r="Z85" s="206">
        <f t="shared" si="44"/>
        <v>89216.5</v>
      </c>
      <c r="AA85" s="193">
        <f t="shared" si="33"/>
        <v>0</v>
      </c>
      <c r="AB85" s="206">
        <f t="shared" si="34"/>
        <v>89216.5</v>
      </c>
    </row>
    <row r="86" spans="1:28" s="177" customFormat="1" x14ac:dyDescent="0.45">
      <c r="A86" s="228">
        <v>1</v>
      </c>
      <c r="B86" s="229">
        <v>12</v>
      </c>
      <c r="C86" s="230">
        <f>D$27-(D$27+D$28)*B86/60</f>
        <v>87418</v>
      </c>
      <c r="D86" s="231">
        <v>0.1</v>
      </c>
      <c r="E86" s="232">
        <f t="shared" ref="E86:E91" si="46">C86/(100%-D86)</f>
        <v>97131.111111111109</v>
      </c>
      <c r="F86" s="178"/>
      <c r="G86" s="178"/>
      <c r="H86" s="178"/>
      <c r="I86" s="212">
        <f t="shared" si="36"/>
        <v>12</v>
      </c>
      <c r="J86" s="213">
        <f t="shared" si="37"/>
        <v>3875.4929138801072</v>
      </c>
      <c r="K86" s="213">
        <f t="shared" si="29"/>
        <v>17.118166263712677</v>
      </c>
      <c r="L86" s="213">
        <f t="shared" si="38"/>
        <v>-164.0764799995537</v>
      </c>
      <c r="M86" s="214">
        <f t="shared" si="27"/>
        <v>3728.5346001442663</v>
      </c>
      <c r="O86" s="212">
        <f t="shared" si="39"/>
        <v>12</v>
      </c>
      <c r="P86" s="215">
        <f t="shared" si="40"/>
        <v>4475</v>
      </c>
      <c r="Q86" s="201">
        <f t="shared" si="28"/>
        <v>2734.9367805389375</v>
      </c>
      <c r="R86" s="201">
        <f t="shared" si="30"/>
        <v>-164.0764799995537</v>
      </c>
      <c r="S86" s="213">
        <f t="shared" si="41"/>
        <v>0</v>
      </c>
      <c r="T86" s="213"/>
      <c r="U86" s="213">
        <f t="shared" si="42"/>
        <v>-136.74683902694687</v>
      </c>
      <c r="V86" s="201">
        <f t="shared" si="45"/>
        <v>-182.12083333333337</v>
      </c>
      <c r="W86" s="204">
        <f t="shared" si="32"/>
        <v>2251.9926281791036</v>
      </c>
      <c r="X86" s="216">
        <f t="shared" si="43"/>
        <v>26776.617788149244</v>
      </c>
      <c r="Z86" s="206">
        <f t="shared" si="44"/>
        <v>87418</v>
      </c>
      <c r="AA86" s="193">
        <f t="shared" si="33"/>
        <v>0</v>
      </c>
      <c r="AB86" s="206">
        <f t="shared" si="34"/>
        <v>87418</v>
      </c>
    </row>
    <row r="87" spans="1:28" s="177" customFormat="1" x14ac:dyDescent="0.45">
      <c r="A87" s="207">
        <f>A86+1</f>
        <v>2</v>
      </c>
      <c r="B87" s="193">
        <f>B86+12</f>
        <v>24</v>
      </c>
      <c r="C87" s="206">
        <f>D$27-(D$27+D$28)*B87/60</f>
        <v>65836</v>
      </c>
      <c r="D87" s="233">
        <f>D86</f>
        <v>0.1</v>
      </c>
      <c r="E87" s="234">
        <f t="shared" si="46"/>
        <v>73151.111111111109</v>
      </c>
      <c r="F87" s="178"/>
      <c r="G87" s="178"/>
      <c r="H87" s="178"/>
      <c r="I87" s="212">
        <f t="shared" si="36"/>
        <v>13</v>
      </c>
      <c r="J87" s="213">
        <f t="shared" si="37"/>
        <v>3728.5346001442663</v>
      </c>
      <c r="K87" s="213">
        <f t="shared" si="29"/>
        <v>16.469047066679664</v>
      </c>
      <c r="L87" s="213">
        <f t="shared" si="38"/>
        <v>-164.0764799995537</v>
      </c>
      <c r="M87" s="214">
        <f t="shared" si="27"/>
        <v>3580.9271672113923</v>
      </c>
      <c r="O87" s="212">
        <f t="shared" si="39"/>
        <v>13</v>
      </c>
      <c r="P87" s="215">
        <f t="shared" si="40"/>
        <v>4850</v>
      </c>
      <c r="Q87" s="201">
        <f t="shared" si="28"/>
        <v>2734.9367805389375</v>
      </c>
      <c r="R87" s="201">
        <f t="shared" si="30"/>
        <v>-164.0764799995537</v>
      </c>
      <c r="S87" s="213">
        <f t="shared" si="41"/>
        <v>0</v>
      </c>
      <c r="T87" s="213"/>
      <c r="U87" s="213">
        <f t="shared" si="42"/>
        <v>-136.74683902694687</v>
      </c>
      <c r="V87" s="201">
        <f t="shared" si="45"/>
        <v>-178.37395833333335</v>
      </c>
      <c r="W87" s="204">
        <f t="shared" si="32"/>
        <v>2255.7395031791038</v>
      </c>
      <c r="X87" s="216">
        <f t="shared" si="43"/>
        <v>29032.35729132835</v>
      </c>
      <c r="Z87" s="206">
        <f t="shared" si="44"/>
        <v>85619.5</v>
      </c>
      <c r="AA87" s="193">
        <f t="shared" si="33"/>
        <v>0</v>
      </c>
      <c r="AB87" s="206">
        <f t="shared" si="34"/>
        <v>85619.5</v>
      </c>
    </row>
    <row r="88" spans="1:28" s="177" customFormat="1" x14ac:dyDescent="0.45">
      <c r="A88" s="207">
        <f>A87+1</f>
        <v>3</v>
      </c>
      <c r="B88" s="193">
        <f>B87+12</f>
        <v>36</v>
      </c>
      <c r="C88" s="206">
        <f>D$27-(D$27+D$28)*B88/60</f>
        <v>44254</v>
      </c>
      <c r="D88" s="233">
        <f>D87</f>
        <v>0.1</v>
      </c>
      <c r="E88" s="234">
        <f t="shared" si="46"/>
        <v>49171.111111111109</v>
      </c>
      <c r="F88" s="178"/>
      <c r="G88" s="178"/>
      <c r="H88" s="178"/>
      <c r="I88" s="212">
        <f t="shared" si="36"/>
        <v>14</v>
      </c>
      <c r="J88" s="213">
        <f t="shared" si="37"/>
        <v>3580.9271672113923</v>
      </c>
      <c r="K88" s="213">
        <f t="shared" si="29"/>
        <v>15.817060691048551</v>
      </c>
      <c r="L88" s="213">
        <f t="shared" si="38"/>
        <v>-164.0764799995537</v>
      </c>
      <c r="M88" s="214">
        <f t="shared" si="27"/>
        <v>3432.6677479028872</v>
      </c>
      <c r="O88" s="212">
        <f t="shared" si="39"/>
        <v>14</v>
      </c>
      <c r="P88" s="215">
        <f t="shared" si="40"/>
        <v>5225</v>
      </c>
      <c r="Q88" s="201">
        <f t="shared" si="28"/>
        <v>2734.9367805389375</v>
      </c>
      <c r="R88" s="201">
        <f t="shared" si="30"/>
        <v>-164.0764799995537</v>
      </c>
      <c r="S88" s="213">
        <f t="shared" si="41"/>
        <v>0</v>
      </c>
      <c r="T88" s="213"/>
      <c r="U88" s="213">
        <f t="shared" si="42"/>
        <v>-136.74683902694687</v>
      </c>
      <c r="V88" s="201">
        <f t="shared" si="45"/>
        <v>-174.62708333333333</v>
      </c>
      <c r="W88" s="204">
        <f t="shared" si="32"/>
        <v>2259.4863781791037</v>
      </c>
      <c r="X88" s="216">
        <f t="shared" si="43"/>
        <v>31291.843669507452</v>
      </c>
      <c r="Z88" s="206">
        <f t="shared" si="44"/>
        <v>83821</v>
      </c>
      <c r="AA88" s="193">
        <f t="shared" si="33"/>
        <v>0</v>
      </c>
      <c r="AB88" s="206">
        <f t="shared" si="34"/>
        <v>83821</v>
      </c>
    </row>
    <row r="89" spans="1:28" s="177" customFormat="1" x14ac:dyDescent="0.45">
      <c r="A89" s="207">
        <f>A88+1</f>
        <v>4</v>
      </c>
      <c r="B89" s="193">
        <f>B88+12</f>
        <v>48</v>
      </c>
      <c r="C89" s="206">
        <f>D$27-(D$27+D$28)*B89/60</f>
        <v>22672</v>
      </c>
      <c r="D89" s="233">
        <f>D88</f>
        <v>0.1</v>
      </c>
      <c r="E89" s="234">
        <f t="shared" si="46"/>
        <v>25191.111111111109</v>
      </c>
      <c r="F89" s="178"/>
      <c r="G89" s="178"/>
      <c r="H89" s="178"/>
      <c r="I89" s="212">
        <f t="shared" si="36"/>
        <v>15</v>
      </c>
      <c r="J89" s="213">
        <f t="shared" si="37"/>
        <v>3432.6677479028872</v>
      </c>
      <c r="K89" s="213">
        <f t="shared" si="29"/>
        <v>15.16219447240708</v>
      </c>
      <c r="L89" s="213">
        <f t="shared" si="38"/>
        <v>-164.0764799995537</v>
      </c>
      <c r="M89" s="214">
        <f t="shared" si="27"/>
        <v>3283.7534623757406</v>
      </c>
      <c r="O89" s="212">
        <f t="shared" si="39"/>
        <v>15</v>
      </c>
      <c r="P89" s="215">
        <f t="shared" si="40"/>
        <v>5600</v>
      </c>
      <c r="Q89" s="201">
        <f t="shared" si="28"/>
        <v>2734.9367805389375</v>
      </c>
      <c r="R89" s="201">
        <f t="shared" si="30"/>
        <v>-164.0764799995537</v>
      </c>
      <c r="S89" s="213">
        <f t="shared" si="41"/>
        <v>0</v>
      </c>
      <c r="T89" s="213"/>
      <c r="U89" s="213">
        <f t="shared" si="42"/>
        <v>-136.74683902694687</v>
      </c>
      <c r="V89" s="201">
        <f t="shared" si="45"/>
        <v>-170.88020833333334</v>
      </c>
      <c r="W89" s="204">
        <f t="shared" si="32"/>
        <v>2263.2332531791035</v>
      </c>
      <c r="X89" s="216">
        <f t="shared" si="43"/>
        <v>33555.076922686552</v>
      </c>
      <c r="Z89" s="206">
        <f t="shared" si="44"/>
        <v>82022.5</v>
      </c>
      <c r="AA89" s="193">
        <f t="shared" si="33"/>
        <v>0</v>
      </c>
      <c r="AB89" s="206">
        <f t="shared" si="34"/>
        <v>82022.5</v>
      </c>
    </row>
    <row r="90" spans="1:28" s="177" customFormat="1" x14ac:dyDescent="0.45">
      <c r="A90" s="207">
        <f>A89+1</f>
        <v>5</v>
      </c>
      <c r="B90" s="193">
        <f>B89+12</f>
        <v>60</v>
      </c>
      <c r="C90" s="206">
        <f>D$27-(D$27+D$28)*B90/60</f>
        <v>1090</v>
      </c>
      <c r="D90" s="233">
        <f>D89</f>
        <v>0.1</v>
      </c>
      <c r="E90" s="234">
        <f t="shared" si="46"/>
        <v>1211.1111111111111</v>
      </c>
      <c r="F90" s="178"/>
      <c r="G90" s="178"/>
      <c r="H90" s="178"/>
      <c r="I90" s="212">
        <f t="shared" si="36"/>
        <v>16</v>
      </c>
      <c r="J90" s="213">
        <f t="shared" si="37"/>
        <v>3283.7534623757406</v>
      </c>
      <c r="K90" s="213">
        <f t="shared" si="29"/>
        <v>14.504435690403916</v>
      </c>
      <c r="L90" s="213">
        <f t="shared" si="38"/>
        <v>-164.0764799995537</v>
      </c>
      <c r="M90" s="214">
        <f t="shared" si="27"/>
        <v>3134.181418066591</v>
      </c>
      <c r="O90" s="212">
        <f t="shared" si="39"/>
        <v>16</v>
      </c>
      <c r="P90" s="215">
        <f t="shared" si="40"/>
        <v>5975</v>
      </c>
      <c r="Q90" s="201">
        <f t="shared" si="28"/>
        <v>2734.9367805389375</v>
      </c>
      <c r="R90" s="201">
        <f t="shared" si="30"/>
        <v>-164.0764799995537</v>
      </c>
      <c r="S90" s="213">
        <f t="shared" si="41"/>
        <v>0</v>
      </c>
      <c r="T90" s="213"/>
      <c r="U90" s="213">
        <f t="shared" si="42"/>
        <v>-136.74683902694687</v>
      </c>
      <c r="V90" s="201">
        <f t="shared" si="45"/>
        <v>-167.13333333333335</v>
      </c>
      <c r="W90" s="204">
        <f t="shared" si="32"/>
        <v>2266.9801281791038</v>
      </c>
      <c r="X90" s="216">
        <f t="shared" si="43"/>
        <v>35822.057050865653</v>
      </c>
      <c r="Z90" s="206">
        <f t="shared" si="44"/>
        <v>80224</v>
      </c>
      <c r="AA90" s="193">
        <f t="shared" si="33"/>
        <v>0</v>
      </c>
      <c r="AB90" s="206">
        <f t="shared" si="34"/>
        <v>80224</v>
      </c>
    </row>
    <row r="91" spans="1:28" s="177" customFormat="1" ht="14.65" thickBot="1" x14ac:dyDescent="0.5">
      <c r="A91" s="221">
        <f>A90+1</f>
        <v>6</v>
      </c>
      <c r="B91" s="222">
        <f>B90+12</f>
        <v>72</v>
      </c>
      <c r="C91" s="235">
        <v>1</v>
      </c>
      <c r="D91" s="236">
        <f>D90</f>
        <v>0.1</v>
      </c>
      <c r="E91" s="237">
        <f t="shared" si="46"/>
        <v>1.1111111111111112</v>
      </c>
      <c r="H91" s="178"/>
      <c r="I91" s="212">
        <f t="shared" si="36"/>
        <v>17</v>
      </c>
      <c r="J91" s="213">
        <f t="shared" si="37"/>
        <v>3134.181418066591</v>
      </c>
      <c r="K91" s="213">
        <f t="shared" si="29"/>
        <v>13.843771568501555</v>
      </c>
      <c r="L91" s="213">
        <f t="shared" si="38"/>
        <v>-164.0764799995537</v>
      </c>
      <c r="M91" s="214">
        <f t="shared" si="27"/>
        <v>2983.9487096355392</v>
      </c>
      <c r="O91" s="212">
        <f t="shared" si="39"/>
        <v>17</v>
      </c>
      <c r="P91" s="215">
        <f t="shared" si="40"/>
        <v>6350</v>
      </c>
      <c r="Q91" s="201">
        <f t="shared" si="28"/>
        <v>2734.9367805389375</v>
      </c>
      <c r="R91" s="201">
        <f t="shared" si="30"/>
        <v>-164.0764799995537</v>
      </c>
      <c r="S91" s="213">
        <f t="shared" si="41"/>
        <v>0</v>
      </c>
      <c r="T91" s="213"/>
      <c r="U91" s="213">
        <f t="shared" si="42"/>
        <v>-136.74683902694687</v>
      </c>
      <c r="V91" s="201">
        <f t="shared" si="45"/>
        <v>-163.38645833333334</v>
      </c>
      <c r="W91" s="204">
        <f t="shared" si="32"/>
        <v>2270.7270031791036</v>
      </c>
      <c r="X91" s="216">
        <f t="shared" si="43"/>
        <v>38092.784054044758</v>
      </c>
      <c r="Z91" s="206">
        <f t="shared" si="44"/>
        <v>78425.5</v>
      </c>
      <c r="AA91" s="193">
        <f t="shared" si="33"/>
        <v>0</v>
      </c>
      <c r="AB91" s="206">
        <f t="shared" si="34"/>
        <v>78425.5</v>
      </c>
    </row>
    <row r="92" spans="1:28" s="177" customFormat="1" ht="14.65" thickBot="1" x14ac:dyDescent="0.5">
      <c r="H92" s="178"/>
      <c r="I92" s="212">
        <f>I91+1</f>
        <v>18</v>
      </c>
      <c r="J92" s="213">
        <f>M91</f>
        <v>2983.9487096355392</v>
      </c>
      <c r="K92" s="213">
        <f t="shared" si="29"/>
        <v>13.180189273728155</v>
      </c>
      <c r="L92" s="213">
        <f>L91</f>
        <v>-164.0764799995537</v>
      </c>
      <c r="M92" s="214">
        <f t="shared" si="27"/>
        <v>2833.0524189097137</v>
      </c>
      <c r="O92" s="212">
        <f>O91+1</f>
        <v>18</v>
      </c>
      <c r="P92" s="215">
        <f t="shared" si="40"/>
        <v>6725</v>
      </c>
      <c r="Q92" s="201">
        <f t="shared" si="28"/>
        <v>2734.9367805389375</v>
      </c>
      <c r="R92" s="201">
        <f t="shared" si="30"/>
        <v>-164.0764799995537</v>
      </c>
      <c r="S92" s="213">
        <f t="shared" si="41"/>
        <v>0</v>
      </c>
      <c r="T92" s="213"/>
      <c r="U92" s="213">
        <f t="shared" si="42"/>
        <v>-136.74683902694687</v>
      </c>
      <c r="V92" s="201">
        <f t="shared" si="45"/>
        <v>-159.63958333333335</v>
      </c>
      <c r="W92" s="204">
        <f t="shared" si="32"/>
        <v>2274.4738781791038</v>
      </c>
      <c r="X92" s="216">
        <f t="shared" si="43"/>
        <v>40367.25793222386</v>
      </c>
      <c r="Z92" s="206">
        <f t="shared" si="44"/>
        <v>76627</v>
      </c>
      <c r="AA92" s="193">
        <f t="shared" si="33"/>
        <v>0</v>
      </c>
      <c r="AB92" s="206">
        <f t="shared" si="34"/>
        <v>76627</v>
      </c>
    </row>
    <row r="93" spans="1:28" s="177" customFormat="1" ht="31.15" thickBot="1" x14ac:dyDescent="0.5">
      <c r="A93" s="720" t="s">
        <v>21</v>
      </c>
      <c r="B93" s="721"/>
      <c r="C93" s="721"/>
      <c r="D93" s="721"/>
      <c r="E93" s="721"/>
      <c r="F93" s="721"/>
      <c r="G93" s="722"/>
      <c r="H93" s="178"/>
      <c r="I93" s="212">
        <f t="shared" si="36"/>
        <v>19</v>
      </c>
      <c r="J93" s="213">
        <f t="shared" ref="J93:J110" si="47">M92</f>
        <v>2833.0524189097137</v>
      </c>
      <c r="K93" s="213">
        <f t="shared" si="29"/>
        <v>12.513675916428252</v>
      </c>
      <c r="L93" s="213">
        <f t="shared" si="38"/>
        <v>-164.0764799995537</v>
      </c>
      <c r="M93" s="214">
        <f t="shared" si="27"/>
        <v>2681.4896148265884</v>
      </c>
      <c r="O93" s="212">
        <f t="shared" si="39"/>
        <v>19</v>
      </c>
      <c r="P93" s="215">
        <f t="shared" si="40"/>
        <v>7100</v>
      </c>
      <c r="Q93" s="201">
        <f t="shared" si="28"/>
        <v>2734.9367805389375</v>
      </c>
      <c r="R93" s="201">
        <f t="shared" si="30"/>
        <v>-164.0764799995537</v>
      </c>
      <c r="S93" s="213">
        <f t="shared" si="41"/>
        <v>0</v>
      </c>
      <c r="T93" s="213"/>
      <c r="U93" s="213">
        <f t="shared" si="42"/>
        <v>-136.74683902694687</v>
      </c>
      <c r="V93" s="201">
        <f t="shared" si="45"/>
        <v>-155.89270833333333</v>
      </c>
      <c r="W93" s="204">
        <f t="shared" si="32"/>
        <v>2278.2207531791037</v>
      </c>
      <c r="X93" s="216">
        <f t="shared" si="43"/>
        <v>42645.478685402966</v>
      </c>
      <c r="Z93" s="206">
        <f t="shared" si="44"/>
        <v>74828.5</v>
      </c>
      <c r="AA93" s="193">
        <f t="shared" si="33"/>
        <v>0</v>
      </c>
      <c r="AB93" s="206">
        <f t="shared" si="34"/>
        <v>74828.5</v>
      </c>
    </row>
    <row r="94" spans="1:28" s="177" customFormat="1" ht="28.9" thickBot="1" x14ac:dyDescent="0.5">
      <c r="A94" s="238" t="s">
        <v>0</v>
      </c>
      <c r="B94" s="239" t="s">
        <v>1</v>
      </c>
      <c r="C94" s="240" t="s">
        <v>22</v>
      </c>
      <c r="D94" s="240" t="s">
        <v>10</v>
      </c>
      <c r="E94" s="240" t="s">
        <v>23</v>
      </c>
      <c r="F94" s="240" t="s">
        <v>24</v>
      </c>
      <c r="G94" s="241" t="s">
        <v>25</v>
      </c>
      <c r="H94" s="178"/>
      <c r="I94" s="212">
        <f t="shared" si="36"/>
        <v>20</v>
      </c>
      <c r="J94" s="213">
        <f t="shared" si="47"/>
        <v>2681.4896148265884</v>
      </c>
      <c r="K94" s="213">
        <f t="shared" si="29"/>
        <v>11.844218550012407</v>
      </c>
      <c r="L94" s="213">
        <f t="shared" si="38"/>
        <v>-164.0764799995537</v>
      </c>
      <c r="M94" s="214">
        <f t="shared" si="27"/>
        <v>2529.2573533770474</v>
      </c>
      <c r="O94" s="212">
        <f t="shared" si="39"/>
        <v>20</v>
      </c>
      <c r="P94" s="215">
        <f t="shared" si="40"/>
        <v>7475</v>
      </c>
      <c r="Q94" s="201">
        <f t="shared" si="28"/>
        <v>2734.9367805389375</v>
      </c>
      <c r="R94" s="201">
        <f t="shared" si="30"/>
        <v>-164.0764799995537</v>
      </c>
      <c r="S94" s="213">
        <f t="shared" si="41"/>
        <v>0</v>
      </c>
      <c r="T94" s="213"/>
      <c r="U94" s="213">
        <f t="shared" si="42"/>
        <v>-136.74683902694687</v>
      </c>
      <c r="V94" s="201">
        <f t="shared" si="45"/>
        <v>-152.14583333333334</v>
      </c>
      <c r="W94" s="204">
        <f t="shared" si="32"/>
        <v>2281.9676281791035</v>
      </c>
      <c r="X94" s="216">
        <f t="shared" si="43"/>
        <v>44927.44631358207</v>
      </c>
      <c r="Z94" s="206">
        <f t="shared" si="44"/>
        <v>73030</v>
      </c>
      <c r="AA94" s="193">
        <f t="shared" si="33"/>
        <v>0</v>
      </c>
      <c r="AB94" s="206">
        <f t="shared" si="34"/>
        <v>73030</v>
      </c>
    </row>
    <row r="95" spans="1:28" s="177" customFormat="1" x14ac:dyDescent="0.45">
      <c r="A95" s="194">
        <v>1</v>
      </c>
      <c r="B95" s="195" t="s">
        <v>16</v>
      </c>
      <c r="C95" s="242">
        <v>1</v>
      </c>
      <c r="D95" s="243">
        <f>+C75*C95</f>
        <v>5450</v>
      </c>
      <c r="E95" s="244">
        <v>0.5</v>
      </c>
      <c r="F95" s="245">
        <f>E95*D95</f>
        <v>2725</v>
      </c>
      <c r="G95" s="246">
        <f>D95-F95</f>
        <v>2725</v>
      </c>
      <c r="H95" s="178"/>
      <c r="I95" s="212">
        <f t="shared" si="36"/>
        <v>21</v>
      </c>
      <c r="J95" s="213">
        <f t="shared" si="47"/>
        <v>2529.2573533770474</v>
      </c>
      <c r="K95" s="213">
        <f t="shared" si="29"/>
        <v>11.171804170705704</v>
      </c>
      <c r="L95" s="213">
        <f t="shared" si="38"/>
        <v>-164.0764799995537</v>
      </c>
      <c r="M95" s="214">
        <f t="shared" si="27"/>
        <v>2376.3526775481996</v>
      </c>
      <c r="O95" s="212">
        <f t="shared" si="39"/>
        <v>21</v>
      </c>
      <c r="P95" s="215">
        <f t="shared" si="40"/>
        <v>7850</v>
      </c>
      <c r="Q95" s="201">
        <f t="shared" si="28"/>
        <v>2734.9367805389375</v>
      </c>
      <c r="R95" s="201">
        <f t="shared" si="30"/>
        <v>-164.0764799995537</v>
      </c>
      <c r="S95" s="213">
        <f t="shared" si="41"/>
        <v>0</v>
      </c>
      <c r="T95" s="213"/>
      <c r="U95" s="213">
        <f t="shared" si="42"/>
        <v>-136.74683902694687</v>
      </c>
      <c r="V95" s="201">
        <f t="shared" si="45"/>
        <v>-148.39895833333335</v>
      </c>
      <c r="W95" s="204">
        <f t="shared" si="32"/>
        <v>2285.7145031791038</v>
      </c>
      <c r="X95" s="216">
        <f t="shared" si="43"/>
        <v>47213.16081676117</v>
      </c>
      <c r="Z95" s="206">
        <f t="shared" si="44"/>
        <v>71231.5</v>
      </c>
      <c r="AA95" s="193">
        <f t="shared" si="33"/>
        <v>0</v>
      </c>
      <c r="AB95" s="206">
        <f t="shared" si="34"/>
        <v>71231.5</v>
      </c>
    </row>
    <row r="96" spans="1:28" s="177" customFormat="1" x14ac:dyDescent="0.45">
      <c r="A96" s="207">
        <f>A95+1</f>
        <v>2</v>
      </c>
      <c r="B96" s="193" t="s">
        <v>12</v>
      </c>
      <c r="C96" s="247">
        <f>C79</f>
        <v>0.01</v>
      </c>
      <c r="D96" s="248">
        <f>-C96*C75</f>
        <v>-54.5</v>
      </c>
      <c r="E96" s="249">
        <f>E95</f>
        <v>0.5</v>
      </c>
      <c r="F96" s="213">
        <f t="shared" ref="F96:F101" si="48">E96*D96</f>
        <v>-27.25</v>
      </c>
      <c r="G96" s="214">
        <f>D96-F96</f>
        <v>-27.25</v>
      </c>
      <c r="H96" s="178"/>
      <c r="I96" s="212">
        <f t="shared" si="36"/>
        <v>22</v>
      </c>
      <c r="J96" s="213">
        <f t="shared" si="47"/>
        <v>2376.3526775481996</v>
      </c>
      <c r="K96" s="213">
        <f t="shared" si="29"/>
        <v>10.496419717295172</v>
      </c>
      <c r="L96" s="213">
        <f t="shared" si="38"/>
        <v>-164.0764799995537</v>
      </c>
      <c r="M96" s="214">
        <f t="shared" si="27"/>
        <v>2222.7726172659413</v>
      </c>
      <c r="O96" s="212">
        <f t="shared" si="39"/>
        <v>22</v>
      </c>
      <c r="P96" s="215">
        <f t="shared" si="40"/>
        <v>8225</v>
      </c>
      <c r="Q96" s="201">
        <f t="shared" si="28"/>
        <v>2734.9367805389375</v>
      </c>
      <c r="R96" s="201">
        <f t="shared" si="30"/>
        <v>-164.0764799995537</v>
      </c>
      <c r="S96" s="213">
        <f t="shared" si="41"/>
        <v>0</v>
      </c>
      <c r="T96" s="213"/>
      <c r="U96" s="213">
        <f t="shared" si="42"/>
        <v>-136.74683902694687</v>
      </c>
      <c r="V96" s="201">
        <f t="shared" si="45"/>
        <v>-144.65208333333334</v>
      </c>
      <c r="W96" s="204">
        <f t="shared" si="32"/>
        <v>2289.4613781791036</v>
      </c>
      <c r="X96" s="216">
        <f t="shared" si="43"/>
        <v>49502.622194940275</v>
      </c>
      <c r="Z96" s="206">
        <f t="shared" si="44"/>
        <v>69433</v>
      </c>
      <c r="AA96" s="193">
        <f t="shared" si="33"/>
        <v>0</v>
      </c>
      <c r="AB96" s="206">
        <f t="shared" si="34"/>
        <v>69433</v>
      </c>
    </row>
    <row r="97" spans="1:28" s="177" customFormat="1" x14ac:dyDescent="0.45">
      <c r="A97" s="207">
        <f t="shared" ref="A97:A102" si="49">A96+1</f>
        <v>3</v>
      </c>
      <c r="B97" s="193" t="s">
        <v>17</v>
      </c>
      <c r="C97" s="250">
        <f>C76</f>
        <v>5.2999999999999999E-2</v>
      </c>
      <c r="D97" s="213">
        <f>K123</f>
        <v>456.79485943549048</v>
      </c>
      <c r="E97" s="249">
        <v>1</v>
      </c>
      <c r="F97" s="213">
        <f t="shared" si="48"/>
        <v>456.79485943549048</v>
      </c>
      <c r="G97" s="214">
        <f>D97-F97</f>
        <v>0</v>
      </c>
      <c r="H97" s="178"/>
      <c r="I97" s="212">
        <f t="shared" si="36"/>
        <v>23</v>
      </c>
      <c r="J97" s="213">
        <f t="shared" si="47"/>
        <v>2222.7726172659413</v>
      </c>
      <c r="K97" s="213">
        <f t="shared" si="29"/>
        <v>9.8180520708760817</v>
      </c>
      <c r="L97" s="213">
        <f t="shared" si="38"/>
        <v>-164.0764799995537</v>
      </c>
      <c r="M97" s="214">
        <f t="shared" si="27"/>
        <v>2068.5141893372638</v>
      </c>
      <c r="O97" s="212">
        <f t="shared" si="39"/>
        <v>23</v>
      </c>
      <c r="P97" s="215">
        <f t="shared" si="40"/>
        <v>8600</v>
      </c>
      <c r="Q97" s="201">
        <f t="shared" si="28"/>
        <v>2734.9367805389375</v>
      </c>
      <c r="R97" s="201">
        <f t="shared" si="30"/>
        <v>-164.0764799995537</v>
      </c>
      <c r="S97" s="213">
        <f t="shared" si="41"/>
        <v>0</v>
      </c>
      <c r="T97" s="213"/>
      <c r="U97" s="213">
        <f t="shared" si="42"/>
        <v>-136.74683902694687</v>
      </c>
      <c r="V97" s="201">
        <f t="shared" si="45"/>
        <v>-140.90520833333335</v>
      </c>
      <c r="W97" s="204">
        <f t="shared" si="32"/>
        <v>2293.2082531791038</v>
      </c>
      <c r="X97" s="216">
        <f t="shared" si="43"/>
        <v>51795.830448119377</v>
      </c>
      <c r="Z97" s="206">
        <f t="shared" si="44"/>
        <v>67634.5</v>
      </c>
      <c r="AA97" s="193">
        <f t="shared" si="33"/>
        <v>0</v>
      </c>
      <c r="AB97" s="206">
        <f t="shared" si="34"/>
        <v>67634.5</v>
      </c>
    </row>
    <row r="98" spans="1:28" s="177" customFormat="1" x14ac:dyDescent="0.45">
      <c r="A98" s="207">
        <f t="shared" si="49"/>
        <v>4</v>
      </c>
      <c r="B98" s="193" t="s">
        <v>6</v>
      </c>
      <c r="C98" s="249">
        <f>C77</f>
        <v>2.5000000000000001E-2</v>
      </c>
      <c r="D98" s="213">
        <f>-V123</f>
        <v>6493.675000000002</v>
      </c>
      <c r="E98" s="249">
        <v>1</v>
      </c>
      <c r="F98" s="213">
        <f t="shared" si="48"/>
        <v>6493.675000000002</v>
      </c>
      <c r="G98" s="214">
        <f>D98-F98</f>
        <v>0</v>
      </c>
      <c r="H98" s="178"/>
      <c r="I98" s="212">
        <f t="shared" si="36"/>
        <v>24</v>
      </c>
      <c r="J98" s="213">
        <f t="shared" si="47"/>
        <v>2068.5141893372638</v>
      </c>
      <c r="K98" s="213">
        <f t="shared" si="29"/>
        <v>9.1366880545971103</v>
      </c>
      <c r="L98" s="213">
        <f t="shared" si="38"/>
        <v>-164.0764799995537</v>
      </c>
      <c r="M98" s="214">
        <f t="shared" si="27"/>
        <v>1913.5743973923072</v>
      </c>
      <c r="O98" s="212">
        <f t="shared" si="39"/>
        <v>24</v>
      </c>
      <c r="P98" s="215">
        <f t="shared" si="40"/>
        <v>8975</v>
      </c>
      <c r="Q98" s="201">
        <f t="shared" si="28"/>
        <v>2734.9367805389375</v>
      </c>
      <c r="R98" s="201">
        <f t="shared" si="30"/>
        <v>-164.0764799995537</v>
      </c>
      <c r="S98" s="213">
        <f t="shared" si="41"/>
        <v>0</v>
      </c>
      <c r="T98" s="213"/>
      <c r="U98" s="213">
        <f t="shared" si="42"/>
        <v>-136.74683902694687</v>
      </c>
      <c r="V98" s="201">
        <f t="shared" si="45"/>
        <v>-137.15833333333333</v>
      </c>
      <c r="W98" s="204">
        <f t="shared" si="32"/>
        <v>2296.9551281791037</v>
      </c>
      <c r="X98" s="216">
        <f t="shared" si="43"/>
        <v>54092.785576298484</v>
      </c>
      <c r="Z98" s="206">
        <f t="shared" si="44"/>
        <v>65836</v>
      </c>
      <c r="AA98" s="193">
        <f t="shared" si="33"/>
        <v>0</v>
      </c>
      <c r="AB98" s="206">
        <f t="shared" si="34"/>
        <v>65836</v>
      </c>
    </row>
    <row r="99" spans="1:28" s="177" customFormat="1" x14ac:dyDescent="0.45">
      <c r="A99" s="207">
        <f t="shared" si="49"/>
        <v>5</v>
      </c>
      <c r="B99" s="193" t="s">
        <v>27</v>
      </c>
      <c r="C99" s="247">
        <f>+C31</f>
        <v>0.5</v>
      </c>
      <c r="D99" s="251">
        <f>C99*('Summary Equip'!$J$27)*(1+'Summary Equip'!$N$3)</f>
        <v>0</v>
      </c>
      <c r="E99" s="249">
        <v>0</v>
      </c>
      <c r="F99" s="213">
        <f t="shared" si="48"/>
        <v>0</v>
      </c>
      <c r="G99" s="214">
        <f>D99</f>
        <v>0</v>
      </c>
      <c r="H99" s="178"/>
      <c r="I99" s="212">
        <f t="shared" si="36"/>
        <v>25</v>
      </c>
      <c r="J99" s="213">
        <f t="shared" si="47"/>
        <v>1913.5743973923072</v>
      </c>
      <c r="K99" s="213">
        <f t="shared" si="29"/>
        <v>8.4523144334043998</v>
      </c>
      <c r="L99" s="213">
        <f t="shared" si="38"/>
        <v>-164.0764799995537</v>
      </c>
      <c r="M99" s="214">
        <f t="shared" si="27"/>
        <v>1757.950231826158</v>
      </c>
      <c r="O99" s="212">
        <f t="shared" si="39"/>
        <v>25</v>
      </c>
      <c r="P99" s="215">
        <f t="shared" si="40"/>
        <v>9350</v>
      </c>
      <c r="Q99" s="201">
        <f t="shared" si="28"/>
        <v>2734.9367805389375</v>
      </c>
      <c r="R99" s="201">
        <f t="shared" si="30"/>
        <v>-164.0764799995537</v>
      </c>
      <c r="S99" s="213">
        <f t="shared" si="41"/>
        <v>0</v>
      </c>
      <c r="T99" s="213"/>
      <c r="U99" s="213">
        <f t="shared" si="42"/>
        <v>-136.74683902694687</v>
      </c>
      <c r="V99" s="201">
        <f t="shared" si="45"/>
        <v>-133.41145833333334</v>
      </c>
      <c r="W99" s="204">
        <f t="shared" si="32"/>
        <v>2300.7020031791035</v>
      </c>
      <c r="X99" s="216">
        <f t="shared" si="43"/>
        <v>56393.487579477587</v>
      </c>
      <c r="Z99" s="206">
        <f t="shared" si="44"/>
        <v>64037.5</v>
      </c>
      <c r="AA99" s="193">
        <f t="shared" si="33"/>
        <v>0</v>
      </c>
      <c r="AB99" s="206">
        <f t="shared" si="34"/>
        <v>64037.5</v>
      </c>
    </row>
    <row r="100" spans="1:28" s="177" customFormat="1" ht="28.5" x14ac:dyDescent="0.45">
      <c r="A100" s="207">
        <f t="shared" si="49"/>
        <v>6</v>
      </c>
      <c r="B100" s="193" t="s">
        <v>81</v>
      </c>
      <c r="C100" s="247">
        <f>+C32</f>
        <v>0.15</v>
      </c>
      <c r="D100" s="251">
        <f>C100*('Summary Equip'!$J$27)*(1+'Summary Equip'!$N$3)</f>
        <v>0</v>
      </c>
      <c r="E100" s="249">
        <v>0</v>
      </c>
      <c r="F100" s="213">
        <f t="shared" si="48"/>
        <v>0</v>
      </c>
      <c r="G100" s="214">
        <f>D100</f>
        <v>0</v>
      </c>
      <c r="H100" s="178"/>
      <c r="I100" s="212">
        <f t="shared" si="36"/>
        <v>26</v>
      </c>
      <c r="J100" s="213">
        <f t="shared" si="47"/>
        <v>1757.950231826158</v>
      </c>
      <c r="K100" s="213">
        <f t="shared" si="29"/>
        <v>7.7649179137844691</v>
      </c>
      <c r="L100" s="213">
        <f t="shared" si="38"/>
        <v>-164.0764799995537</v>
      </c>
      <c r="M100" s="214">
        <f t="shared" si="27"/>
        <v>1601.6386697403889</v>
      </c>
      <c r="O100" s="212">
        <f t="shared" si="39"/>
        <v>26</v>
      </c>
      <c r="P100" s="215">
        <f t="shared" si="40"/>
        <v>9725</v>
      </c>
      <c r="Q100" s="201">
        <f t="shared" si="28"/>
        <v>2734.9367805389375</v>
      </c>
      <c r="R100" s="201">
        <f t="shared" si="30"/>
        <v>-164.0764799995537</v>
      </c>
      <c r="S100" s="213">
        <f t="shared" si="41"/>
        <v>0</v>
      </c>
      <c r="T100" s="213"/>
      <c r="U100" s="213">
        <f t="shared" si="42"/>
        <v>-136.74683902694687</v>
      </c>
      <c r="V100" s="201">
        <f t="shared" si="45"/>
        <v>-129.66458333333335</v>
      </c>
      <c r="W100" s="204">
        <f t="shared" si="32"/>
        <v>2304.4488781791038</v>
      </c>
      <c r="X100" s="216">
        <f t="shared" si="43"/>
        <v>58697.936457656688</v>
      </c>
      <c r="Z100" s="206">
        <f t="shared" si="44"/>
        <v>62239</v>
      </c>
      <c r="AA100" s="193">
        <f t="shared" si="33"/>
        <v>0</v>
      </c>
      <c r="AB100" s="206">
        <f t="shared" si="34"/>
        <v>62239</v>
      </c>
    </row>
    <row r="101" spans="1:28" s="177" customFormat="1" ht="14.65" thickBot="1" x14ac:dyDescent="0.5">
      <c r="A101" s="221">
        <f t="shared" si="49"/>
        <v>7</v>
      </c>
      <c r="B101" s="222" t="s">
        <v>32</v>
      </c>
      <c r="C101" s="247">
        <f>+C33</f>
        <v>0.03</v>
      </c>
      <c r="D101" s="251">
        <f>C101*('Summary Equip'!$J$27)*(1+'Summary Equip'!$N$3)</f>
        <v>0</v>
      </c>
      <c r="E101" s="252">
        <v>0</v>
      </c>
      <c r="F101" s="253">
        <f t="shared" si="48"/>
        <v>0</v>
      </c>
      <c r="G101" s="254">
        <f>D101</f>
        <v>0</v>
      </c>
      <c r="H101" s="178"/>
      <c r="I101" s="212">
        <f t="shared" si="36"/>
        <v>27</v>
      </c>
      <c r="J101" s="213">
        <f t="shared" si="47"/>
        <v>1601.6386697403889</v>
      </c>
      <c r="K101" s="213">
        <f t="shared" si="29"/>
        <v>7.0744851435059939</v>
      </c>
      <c r="L101" s="213">
        <f t="shared" si="38"/>
        <v>-164.0764799995537</v>
      </c>
      <c r="M101" s="214">
        <f t="shared" si="27"/>
        <v>1444.6366748843413</v>
      </c>
      <c r="O101" s="212">
        <f t="shared" si="39"/>
        <v>27</v>
      </c>
      <c r="P101" s="215">
        <f t="shared" si="40"/>
        <v>10100</v>
      </c>
      <c r="Q101" s="201">
        <f t="shared" si="28"/>
        <v>2734.9367805389375</v>
      </c>
      <c r="R101" s="201">
        <f t="shared" si="30"/>
        <v>-164.0764799995537</v>
      </c>
      <c r="S101" s="213">
        <f t="shared" si="41"/>
        <v>0</v>
      </c>
      <c r="T101" s="213"/>
      <c r="U101" s="213">
        <f t="shared" si="42"/>
        <v>-136.74683902694687</v>
      </c>
      <c r="V101" s="201">
        <f t="shared" si="45"/>
        <v>-125.91770833333334</v>
      </c>
      <c r="W101" s="204">
        <f t="shared" si="32"/>
        <v>2308.1957531791036</v>
      </c>
      <c r="X101" s="216">
        <f t="shared" si="43"/>
        <v>61006.132210835793</v>
      </c>
      <c r="Z101" s="206">
        <f t="shared" si="44"/>
        <v>60440.5</v>
      </c>
      <c r="AA101" s="193">
        <f t="shared" si="33"/>
        <v>0</v>
      </c>
      <c r="AB101" s="206">
        <f t="shared" si="34"/>
        <v>60440.5</v>
      </c>
    </row>
    <row r="102" spans="1:28" s="177" customFormat="1" ht="14.65" thickBot="1" x14ac:dyDescent="0.5">
      <c r="A102" s="255">
        <f t="shared" si="49"/>
        <v>8</v>
      </c>
      <c r="B102" s="256" t="s">
        <v>8</v>
      </c>
      <c r="C102" s="257"/>
      <c r="D102" s="258"/>
      <c r="E102" s="259"/>
      <c r="F102" s="260">
        <f>SUM(F95:F101)</f>
        <v>9648.2198594354923</v>
      </c>
      <c r="G102" s="261">
        <f>SUM(G95:G101)</f>
        <v>2697.75</v>
      </c>
      <c r="H102" s="178"/>
      <c r="I102" s="212">
        <f t="shared" si="36"/>
        <v>28</v>
      </c>
      <c r="J102" s="213">
        <f t="shared" si="47"/>
        <v>1444.6366748843413</v>
      </c>
      <c r="K102" s="213">
        <f t="shared" si="29"/>
        <v>6.3810027113604537</v>
      </c>
      <c r="L102" s="213">
        <f t="shared" si="38"/>
        <v>-164.0764799995537</v>
      </c>
      <c r="M102" s="214">
        <f t="shared" si="27"/>
        <v>1286.9411975961482</v>
      </c>
      <c r="O102" s="212">
        <f t="shared" si="39"/>
        <v>28</v>
      </c>
      <c r="P102" s="215">
        <f t="shared" si="40"/>
        <v>10475</v>
      </c>
      <c r="Q102" s="201">
        <f t="shared" si="28"/>
        <v>2734.9367805389375</v>
      </c>
      <c r="R102" s="201">
        <f t="shared" si="30"/>
        <v>-164.0764799995537</v>
      </c>
      <c r="S102" s="213">
        <f t="shared" si="41"/>
        <v>0</v>
      </c>
      <c r="T102" s="213"/>
      <c r="U102" s="213">
        <f t="shared" si="42"/>
        <v>-136.74683902694687</v>
      </c>
      <c r="V102" s="201">
        <f t="shared" si="45"/>
        <v>-122.17083333333335</v>
      </c>
      <c r="W102" s="204">
        <f t="shared" si="32"/>
        <v>2311.9426281791038</v>
      </c>
      <c r="X102" s="216">
        <f t="shared" si="43"/>
        <v>63318.074839014895</v>
      </c>
      <c r="Z102" s="206">
        <f t="shared" si="44"/>
        <v>58642</v>
      </c>
      <c r="AA102" s="193">
        <f t="shared" si="33"/>
        <v>0</v>
      </c>
      <c r="AB102" s="206">
        <f t="shared" si="34"/>
        <v>58642</v>
      </c>
    </row>
    <row r="103" spans="1:28" s="177" customFormat="1" ht="14.65" thickBot="1" x14ac:dyDescent="0.5">
      <c r="A103" s="262">
        <f>A102+1</f>
        <v>9</v>
      </c>
      <c r="B103" s="263" t="s">
        <v>7</v>
      </c>
      <c r="C103" s="264">
        <f>+C35</f>
        <v>0.05</v>
      </c>
      <c r="D103" s="265"/>
      <c r="E103" s="266"/>
      <c r="F103" s="267">
        <f>F104-F102</f>
        <v>507.80104523344744</v>
      </c>
      <c r="G103" s="268">
        <f>G104-G102</f>
        <v>141.98684210526335</v>
      </c>
      <c r="H103" s="178"/>
      <c r="I103" s="212">
        <f t="shared" si="36"/>
        <v>29</v>
      </c>
      <c r="J103" s="213">
        <f t="shared" si="47"/>
        <v>1286.9411975961482</v>
      </c>
      <c r="K103" s="213">
        <f t="shared" si="29"/>
        <v>5.6844571469016225</v>
      </c>
      <c r="L103" s="213">
        <f t="shared" si="38"/>
        <v>-164.0764799995537</v>
      </c>
      <c r="M103" s="214">
        <f t="shared" si="27"/>
        <v>1128.5491747434962</v>
      </c>
      <c r="O103" s="212">
        <f t="shared" si="39"/>
        <v>29</v>
      </c>
      <c r="P103" s="215">
        <f t="shared" si="40"/>
        <v>10850</v>
      </c>
      <c r="Q103" s="201">
        <f t="shared" si="28"/>
        <v>2734.9367805389375</v>
      </c>
      <c r="R103" s="201">
        <f t="shared" si="30"/>
        <v>-164.0764799995537</v>
      </c>
      <c r="S103" s="213">
        <f t="shared" si="41"/>
        <v>0</v>
      </c>
      <c r="T103" s="213"/>
      <c r="U103" s="213">
        <f t="shared" si="42"/>
        <v>-136.74683902694687</v>
      </c>
      <c r="V103" s="201">
        <f t="shared" si="45"/>
        <v>-118.42395833333335</v>
      </c>
      <c r="W103" s="204">
        <f t="shared" si="32"/>
        <v>2315.6895031791037</v>
      </c>
      <c r="X103" s="216">
        <f t="shared" si="43"/>
        <v>65633.764342194001</v>
      </c>
      <c r="Z103" s="206">
        <f t="shared" si="44"/>
        <v>56843.5</v>
      </c>
      <c r="AA103" s="193">
        <f t="shared" si="33"/>
        <v>0</v>
      </c>
      <c r="AB103" s="206">
        <f t="shared" si="34"/>
        <v>56843.5</v>
      </c>
    </row>
    <row r="104" spans="1:28" s="177" customFormat="1" ht="14.65" thickBot="1" x14ac:dyDescent="0.5">
      <c r="A104" s="269">
        <f>A103+1</f>
        <v>10</v>
      </c>
      <c r="B104" s="270" t="s">
        <v>28</v>
      </c>
      <c r="C104" s="271"/>
      <c r="D104" s="272"/>
      <c r="E104" s="273"/>
      <c r="F104" s="274">
        <f>F102/(100%-C103)</f>
        <v>10156.02090466894</v>
      </c>
      <c r="G104" s="275">
        <f>G102/(100%-C103)</f>
        <v>2839.7368421052633</v>
      </c>
      <c r="H104" s="178"/>
      <c r="I104" s="212">
        <f t="shared" si="36"/>
        <v>30</v>
      </c>
      <c r="J104" s="213">
        <f t="shared" si="47"/>
        <v>1128.5491747434962</v>
      </c>
      <c r="K104" s="213">
        <f t="shared" si="29"/>
        <v>4.9848349201839213</v>
      </c>
      <c r="L104" s="213">
        <f t="shared" si="38"/>
        <v>-164.0764799995537</v>
      </c>
      <c r="M104" s="214">
        <f t="shared" si="27"/>
        <v>969.45752966412635</v>
      </c>
      <c r="O104" s="212">
        <f t="shared" si="39"/>
        <v>30</v>
      </c>
      <c r="P104" s="215">
        <f t="shared" si="40"/>
        <v>11225</v>
      </c>
      <c r="Q104" s="201">
        <f t="shared" si="28"/>
        <v>2734.9367805389375</v>
      </c>
      <c r="R104" s="201">
        <f t="shared" si="30"/>
        <v>-164.0764799995537</v>
      </c>
      <c r="S104" s="213">
        <f t="shared" si="41"/>
        <v>0</v>
      </c>
      <c r="T104" s="213">
        <f>-T124*0.5</f>
        <v>0</v>
      </c>
      <c r="U104" s="213">
        <f t="shared" si="42"/>
        <v>-136.74683902694687</v>
      </c>
      <c r="V104" s="201">
        <f t="shared" si="45"/>
        <v>-114.67708333333333</v>
      </c>
      <c r="W104" s="204">
        <f t="shared" si="32"/>
        <v>2319.4363781791035</v>
      </c>
      <c r="X104" s="216">
        <f t="shared" si="43"/>
        <v>67953.200720373105</v>
      </c>
      <c r="Z104" s="206">
        <f t="shared" si="44"/>
        <v>55045</v>
      </c>
      <c r="AA104" s="193">
        <f t="shared" si="33"/>
        <v>0</v>
      </c>
      <c r="AB104" s="206">
        <f t="shared" si="34"/>
        <v>55045</v>
      </c>
    </row>
    <row r="105" spans="1:28" s="177" customFormat="1" x14ac:dyDescent="0.45">
      <c r="C105" s="178"/>
      <c r="D105" s="178"/>
      <c r="E105" s="178"/>
      <c r="F105" s="178"/>
      <c r="G105" s="178"/>
      <c r="H105" s="178"/>
      <c r="I105" s="212">
        <f t="shared" si="36"/>
        <v>31</v>
      </c>
      <c r="J105" s="213">
        <f t="shared" si="47"/>
        <v>969.45752966412635</v>
      </c>
      <c r="K105" s="213">
        <f t="shared" si="29"/>
        <v>4.282122441499598</v>
      </c>
      <c r="L105" s="213">
        <f t="shared" si="38"/>
        <v>-164.0764799995537</v>
      </c>
      <c r="M105" s="214">
        <f t="shared" si="27"/>
        <v>809.66317210607224</v>
      </c>
      <c r="O105" s="212">
        <f t="shared" si="39"/>
        <v>31</v>
      </c>
      <c r="P105" s="215">
        <f t="shared" si="40"/>
        <v>11600</v>
      </c>
      <c r="Q105" s="201">
        <f t="shared" si="28"/>
        <v>2734.9367805389375</v>
      </c>
      <c r="R105" s="201">
        <f t="shared" si="30"/>
        <v>-164.0764799995537</v>
      </c>
      <c r="S105" s="213">
        <f t="shared" si="41"/>
        <v>0</v>
      </c>
      <c r="T105" s="213"/>
      <c r="U105" s="213">
        <f t="shared" si="42"/>
        <v>-136.74683902694687</v>
      </c>
      <c r="V105" s="201">
        <f t="shared" si="45"/>
        <v>-110.93020833333334</v>
      </c>
      <c r="W105" s="204">
        <f t="shared" si="32"/>
        <v>2323.1832531791038</v>
      </c>
      <c r="X105" s="216">
        <f t="shared" si="43"/>
        <v>70276.383973552205</v>
      </c>
      <c r="Z105" s="206">
        <f t="shared" si="44"/>
        <v>53246.5</v>
      </c>
      <c r="AA105" s="193">
        <f t="shared" si="33"/>
        <v>0</v>
      </c>
      <c r="AB105" s="206">
        <f t="shared" si="34"/>
        <v>53246.5</v>
      </c>
    </row>
    <row r="106" spans="1:28" s="177" customFormat="1" x14ac:dyDescent="0.45">
      <c r="C106" s="178"/>
      <c r="D106" s="178"/>
      <c r="E106" s="178"/>
      <c r="F106" s="178"/>
      <c r="G106" s="178"/>
      <c r="H106" s="178"/>
      <c r="I106" s="212">
        <f t="shared" si="36"/>
        <v>32</v>
      </c>
      <c r="J106" s="213">
        <f t="shared" si="47"/>
        <v>809.66317210607224</v>
      </c>
      <c r="K106" s="213">
        <f t="shared" si="29"/>
        <v>3.5763060611147663</v>
      </c>
      <c r="L106" s="213">
        <f t="shared" si="38"/>
        <v>-164.0764799995537</v>
      </c>
      <c r="M106" s="214">
        <f t="shared" si="27"/>
        <v>649.1629981676333</v>
      </c>
      <c r="O106" s="212">
        <f t="shared" si="39"/>
        <v>32</v>
      </c>
      <c r="P106" s="215">
        <f t="shared" si="40"/>
        <v>11975</v>
      </c>
      <c r="Q106" s="201">
        <f t="shared" si="28"/>
        <v>2734.9367805389375</v>
      </c>
      <c r="R106" s="201">
        <f t="shared" si="30"/>
        <v>-164.0764799995537</v>
      </c>
      <c r="S106" s="213">
        <f t="shared" si="41"/>
        <v>0</v>
      </c>
      <c r="T106" s="213"/>
      <c r="U106" s="213">
        <f t="shared" si="42"/>
        <v>-136.74683902694687</v>
      </c>
      <c r="V106" s="201">
        <f t="shared" si="45"/>
        <v>-107.18333333333334</v>
      </c>
      <c r="W106" s="204">
        <f t="shared" si="32"/>
        <v>2326.9301281791036</v>
      </c>
      <c r="X106" s="216">
        <f t="shared" si="43"/>
        <v>72603.314101731303</v>
      </c>
      <c r="Z106" s="206">
        <f t="shared" si="44"/>
        <v>51448</v>
      </c>
      <c r="AA106" s="193">
        <f t="shared" si="33"/>
        <v>0</v>
      </c>
      <c r="AB106" s="206">
        <f t="shared" si="34"/>
        <v>51448</v>
      </c>
    </row>
    <row r="107" spans="1:28" s="177" customFormat="1" x14ac:dyDescent="0.45">
      <c r="C107" s="178"/>
      <c r="D107" s="178"/>
      <c r="E107" s="178"/>
      <c r="F107" s="178"/>
      <c r="G107" s="178"/>
      <c r="H107" s="178"/>
      <c r="I107" s="212">
        <f t="shared" si="36"/>
        <v>33</v>
      </c>
      <c r="J107" s="213">
        <f t="shared" si="47"/>
        <v>649.1629981676333</v>
      </c>
      <c r="K107" s="213">
        <f t="shared" si="29"/>
        <v>2.8673720690042606</v>
      </c>
      <c r="L107" s="213">
        <f t="shared" si="38"/>
        <v>-164.0764799995537</v>
      </c>
      <c r="M107" s="214">
        <f t="shared" si="27"/>
        <v>487.95389023708378</v>
      </c>
      <c r="O107" s="212">
        <f t="shared" si="39"/>
        <v>33</v>
      </c>
      <c r="P107" s="215">
        <f t="shared" si="40"/>
        <v>12350</v>
      </c>
      <c r="Q107" s="201">
        <f t="shared" si="28"/>
        <v>2734.9367805389375</v>
      </c>
      <c r="R107" s="201">
        <f t="shared" si="30"/>
        <v>-164.0764799995537</v>
      </c>
      <c r="S107" s="213">
        <f t="shared" si="41"/>
        <v>0</v>
      </c>
      <c r="T107" s="213"/>
      <c r="U107" s="213">
        <f t="shared" si="42"/>
        <v>-136.74683902694687</v>
      </c>
      <c r="V107" s="201">
        <f t="shared" si="45"/>
        <v>-103.43645833333335</v>
      </c>
      <c r="W107" s="204">
        <f t="shared" si="32"/>
        <v>2330.6770031791038</v>
      </c>
      <c r="X107" s="216">
        <f t="shared" si="43"/>
        <v>74933.991104910412</v>
      </c>
      <c r="Z107" s="206">
        <f t="shared" si="44"/>
        <v>49649.5</v>
      </c>
      <c r="AA107" s="193">
        <f t="shared" si="33"/>
        <v>0</v>
      </c>
      <c r="AB107" s="206">
        <f t="shared" si="34"/>
        <v>49649.5</v>
      </c>
    </row>
    <row r="108" spans="1:28" s="177" customFormat="1" ht="14.65" thickBot="1" x14ac:dyDescent="0.5">
      <c r="C108" s="178"/>
      <c r="D108" s="178"/>
      <c r="E108" s="178"/>
      <c r="F108" s="178"/>
      <c r="G108" s="178"/>
      <c r="H108" s="178"/>
      <c r="I108" s="212">
        <f t="shared" si="36"/>
        <v>34</v>
      </c>
      <c r="J108" s="213">
        <f t="shared" si="47"/>
        <v>487.95389023708378</v>
      </c>
      <c r="K108" s="213">
        <f t="shared" si="29"/>
        <v>2.1553066945853305</v>
      </c>
      <c r="L108" s="213">
        <f t="shared" si="38"/>
        <v>-164.0764799995537</v>
      </c>
      <c r="M108" s="214">
        <f t="shared" si="27"/>
        <v>326.03271693211536</v>
      </c>
      <c r="O108" s="212">
        <f t="shared" si="39"/>
        <v>34</v>
      </c>
      <c r="P108" s="215">
        <f t="shared" si="40"/>
        <v>12725</v>
      </c>
      <c r="Q108" s="201">
        <f t="shared" si="28"/>
        <v>2734.9367805389375</v>
      </c>
      <c r="R108" s="201">
        <f t="shared" si="30"/>
        <v>-164.0764799995537</v>
      </c>
      <c r="S108" s="213">
        <f t="shared" si="41"/>
        <v>0</v>
      </c>
      <c r="T108" s="213"/>
      <c r="U108" s="213">
        <f t="shared" si="42"/>
        <v>-136.74683902694687</v>
      </c>
      <c r="V108" s="201">
        <f t="shared" si="45"/>
        <v>-99.689583333333346</v>
      </c>
      <c r="W108" s="204">
        <f t="shared" si="32"/>
        <v>2334.4238781791037</v>
      </c>
      <c r="X108" s="216">
        <f t="shared" si="43"/>
        <v>77268.414983089519</v>
      </c>
      <c r="Z108" s="206">
        <f t="shared" si="44"/>
        <v>47851</v>
      </c>
      <c r="AA108" s="193">
        <f t="shared" si="33"/>
        <v>0</v>
      </c>
      <c r="AB108" s="206">
        <f t="shared" si="34"/>
        <v>47851</v>
      </c>
    </row>
    <row r="109" spans="1:28" s="177" customFormat="1" ht="31.15" thickBot="1" x14ac:dyDescent="0.5">
      <c r="A109" s="723" t="s">
        <v>29</v>
      </c>
      <c r="B109" s="724"/>
      <c r="C109" s="724"/>
      <c r="D109" s="724"/>
      <c r="E109" s="724"/>
      <c r="F109" s="724"/>
      <c r="G109" s="725"/>
      <c r="H109" s="178"/>
      <c r="I109" s="212">
        <f t="shared" si="36"/>
        <v>35</v>
      </c>
      <c r="J109" s="213">
        <f t="shared" si="47"/>
        <v>326.03271693211536</v>
      </c>
      <c r="K109" s="213">
        <f t="shared" si="29"/>
        <v>1.4400961064501585</v>
      </c>
      <c r="L109" s="213">
        <f t="shared" si="38"/>
        <v>-164.0764799995537</v>
      </c>
      <c r="M109" s="214">
        <f t="shared" si="27"/>
        <v>163.39633303901181</v>
      </c>
      <c r="O109" s="212">
        <f t="shared" si="39"/>
        <v>35</v>
      </c>
      <c r="P109" s="215">
        <f t="shared" si="40"/>
        <v>13100</v>
      </c>
      <c r="Q109" s="201">
        <f t="shared" si="28"/>
        <v>2734.9367805389375</v>
      </c>
      <c r="R109" s="201">
        <f t="shared" si="30"/>
        <v>-164.0764799995537</v>
      </c>
      <c r="S109" s="213">
        <f t="shared" si="41"/>
        <v>0</v>
      </c>
      <c r="T109" s="213"/>
      <c r="U109" s="213">
        <f t="shared" si="42"/>
        <v>-136.74683902694687</v>
      </c>
      <c r="V109" s="201">
        <f t="shared" si="45"/>
        <v>-95.942708333333329</v>
      </c>
      <c r="W109" s="204">
        <f t="shared" si="32"/>
        <v>2338.1707531791035</v>
      </c>
      <c r="X109" s="216">
        <f t="shared" si="43"/>
        <v>79606.585736268622</v>
      </c>
      <c r="Z109" s="206">
        <f t="shared" si="44"/>
        <v>46052.5</v>
      </c>
      <c r="AA109" s="193">
        <f t="shared" si="33"/>
        <v>0</v>
      </c>
      <c r="AB109" s="206">
        <f t="shared" si="34"/>
        <v>46052.5</v>
      </c>
    </row>
    <row r="110" spans="1:28" s="177" customFormat="1" ht="18" x14ac:dyDescent="0.45">
      <c r="A110" s="276">
        <v>1</v>
      </c>
      <c r="B110" s="702" t="s">
        <v>30</v>
      </c>
      <c r="C110" s="703"/>
      <c r="D110" s="703"/>
      <c r="E110" s="704"/>
      <c r="F110" s="277">
        <f>F104/C80/C82</f>
        <v>403.01670256622776</v>
      </c>
      <c r="G110" s="278">
        <f>G104/C81/C82</f>
        <v>0.22537593984962409</v>
      </c>
      <c r="H110" s="178"/>
      <c r="I110" s="279">
        <f t="shared" si="36"/>
        <v>36</v>
      </c>
      <c r="J110" s="280">
        <f t="shared" si="47"/>
        <v>163.39633303901181</v>
      </c>
      <c r="K110" s="280">
        <f t="shared" si="29"/>
        <v>0.72172641209718968</v>
      </c>
      <c r="L110" s="280">
        <f>L109</f>
        <v>-164.0764799995537</v>
      </c>
      <c r="M110" s="281">
        <f t="shared" si="27"/>
        <v>4.157945155529319E-2</v>
      </c>
      <c r="O110" s="279">
        <f t="shared" si="39"/>
        <v>36</v>
      </c>
      <c r="P110" s="215">
        <f t="shared" si="40"/>
        <v>13475</v>
      </c>
      <c r="Q110" s="201">
        <f t="shared" si="28"/>
        <v>2734.9367805389375</v>
      </c>
      <c r="R110" s="201">
        <f t="shared" si="30"/>
        <v>-164.0764799995537</v>
      </c>
      <c r="S110" s="213">
        <f t="shared" si="41"/>
        <v>0</v>
      </c>
      <c r="T110" s="213"/>
      <c r="U110" s="213">
        <f t="shared" si="42"/>
        <v>-136.74683902694687</v>
      </c>
      <c r="V110" s="201">
        <f t="shared" si="45"/>
        <v>-92.19583333333334</v>
      </c>
      <c r="W110" s="204">
        <f t="shared" si="32"/>
        <v>2341.9176281791038</v>
      </c>
      <c r="X110" s="216">
        <f t="shared" si="43"/>
        <v>81948.503364447723</v>
      </c>
      <c r="Z110" s="206">
        <f t="shared" si="44"/>
        <v>44254</v>
      </c>
      <c r="AA110" s="193">
        <f t="shared" si="33"/>
        <v>0</v>
      </c>
      <c r="AB110" s="206">
        <f t="shared" si="34"/>
        <v>44254</v>
      </c>
    </row>
    <row r="111" spans="1:28" s="177" customFormat="1" ht="18.399999999999999" thickBot="1" x14ac:dyDescent="0.5">
      <c r="A111" s="282">
        <f>A110+1</f>
        <v>2</v>
      </c>
      <c r="B111" s="705" t="s">
        <v>31</v>
      </c>
      <c r="C111" s="706"/>
      <c r="D111" s="706"/>
      <c r="E111" s="707"/>
      <c r="F111" s="283"/>
      <c r="G111" s="284">
        <f>(G104+F104)/C81/C82</f>
        <v>1.0314093449820798</v>
      </c>
      <c r="H111" s="178"/>
      <c r="I111" s="279">
        <f t="shared" si="36"/>
        <v>37</v>
      </c>
      <c r="J111" s="280"/>
      <c r="K111" s="280"/>
      <c r="L111" s="280"/>
      <c r="M111" s="281">
        <f t="shared" si="27"/>
        <v>0</v>
      </c>
      <c r="O111" s="279">
        <f t="shared" si="39"/>
        <v>37</v>
      </c>
      <c r="P111" s="215">
        <f t="shared" si="40"/>
        <v>13850</v>
      </c>
      <c r="Q111" s="213">
        <f t="shared" ref="Q111:Q122" si="50">$F$42+($Q$4*$G$42)</f>
        <v>4562.7391195787386</v>
      </c>
      <c r="R111" s="201">
        <f t="shared" si="30"/>
        <v>0</v>
      </c>
      <c r="S111" s="213">
        <f t="shared" si="41"/>
        <v>0</v>
      </c>
      <c r="T111" s="213"/>
      <c r="U111" s="213">
        <f t="shared" si="42"/>
        <v>-136.74683902694687</v>
      </c>
      <c r="V111" s="201">
        <f t="shared" si="45"/>
        <v>-88.448958333333337</v>
      </c>
      <c r="W111" s="204">
        <f t="shared" si="32"/>
        <v>4337.5433222184583</v>
      </c>
      <c r="X111" s="216">
        <f t="shared" si="43"/>
        <v>86286.046686666174</v>
      </c>
      <c r="Z111" s="206">
        <f t="shared" si="44"/>
        <v>42455.5</v>
      </c>
      <c r="AA111" s="193">
        <f t="shared" si="33"/>
        <v>0</v>
      </c>
      <c r="AB111" s="206">
        <f t="shared" si="34"/>
        <v>42455.5</v>
      </c>
    </row>
    <row r="112" spans="1:28" s="177" customFormat="1" x14ac:dyDescent="0.45">
      <c r="I112" s="279">
        <f t="shared" si="36"/>
        <v>38</v>
      </c>
      <c r="J112" s="280"/>
      <c r="K112" s="280"/>
      <c r="L112" s="280"/>
      <c r="M112" s="281">
        <f t="shared" si="27"/>
        <v>0</v>
      </c>
      <c r="O112" s="279">
        <f t="shared" si="39"/>
        <v>38</v>
      </c>
      <c r="P112" s="215">
        <f t="shared" si="40"/>
        <v>14225</v>
      </c>
      <c r="Q112" s="213">
        <f t="shared" si="50"/>
        <v>4562.7391195787386</v>
      </c>
      <c r="R112" s="201">
        <f t="shared" si="30"/>
        <v>0</v>
      </c>
      <c r="S112" s="213">
        <f t="shared" si="41"/>
        <v>0</v>
      </c>
      <c r="T112" s="213"/>
      <c r="U112" s="213">
        <f t="shared" si="42"/>
        <v>-136.74683902694687</v>
      </c>
      <c r="V112" s="201">
        <f t="shared" si="45"/>
        <v>-84.702083333333334</v>
      </c>
      <c r="W112" s="204">
        <f t="shared" si="32"/>
        <v>4341.2901972184582</v>
      </c>
      <c r="X112" s="216">
        <f t="shared" si="43"/>
        <v>90627.336883884636</v>
      </c>
      <c r="Z112" s="206">
        <f t="shared" si="44"/>
        <v>40657</v>
      </c>
      <c r="AA112" s="193">
        <f t="shared" si="33"/>
        <v>0</v>
      </c>
      <c r="AB112" s="206">
        <f t="shared" si="34"/>
        <v>40657</v>
      </c>
    </row>
    <row r="113" spans="9:28" s="177" customFormat="1" x14ac:dyDescent="0.45">
      <c r="I113" s="279">
        <f t="shared" si="36"/>
        <v>39</v>
      </c>
      <c r="J113" s="280"/>
      <c r="K113" s="280"/>
      <c r="L113" s="280"/>
      <c r="M113" s="281">
        <f t="shared" si="27"/>
        <v>0</v>
      </c>
      <c r="O113" s="279">
        <f t="shared" si="39"/>
        <v>39</v>
      </c>
      <c r="P113" s="215">
        <f t="shared" si="40"/>
        <v>14600</v>
      </c>
      <c r="Q113" s="213">
        <f t="shared" si="50"/>
        <v>4562.7391195787386</v>
      </c>
      <c r="R113" s="201">
        <f t="shared" si="30"/>
        <v>0</v>
      </c>
      <c r="S113" s="213">
        <f t="shared" si="41"/>
        <v>0</v>
      </c>
      <c r="T113" s="213"/>
      <c r="U113" s="213">
        <f t="shared" si="42"/>
        <v>-136.74683902694687</v>
      </c>
      <c r="V113" s="201">
        <f t="shared" si="45"/>
        <v>-80.955208333333346</v>
      </c>
      <c r="W113" s="204">
        <f t="shared" si="32"/>
        <v>4345.037072218458</v>
      </c>
      <c r="X113" s="216">
        <f t="shared" si="43"/>
        <v>94972.373956103096</v>
      </c>
      <c r="Z113" s="206">
        <f t="shared" si="44"/>
        <v>38858.5</v>
      </c>
      <c r="AA113" s="193">
        <f t="shared" si="33"/>
        <v>0</v>
      </c>
      <c r="AB113" s="206">
        <f t="shared" si="34"/>
        <v>38858.5</v>
      </c>
    </row>
    <row r="114" spans="9:28" s="177" customFormat="1" x14ac:dyDescent="0.45">
      <c r="I114" s="279">
        <f t="shared" si="36"/>
        <v>40</v>
      </c>
      <c r="J114" s="280"/>
      <c r="K114" s="280"/>
      <c r="L114" s="280"/>
      <c r="M114" s="281">
        <f t="shared" si="27"/>
        <v>0</v>
      </c>
      <c r="O114" s="279">
        <f t="shared" si="39"/>
        <v>40</v>
      </c>
      <c r="P114" s="215">
        <f t="shared" si="40"/>
        <v>14975</v>
      </c>
      <c r="Q114" s="213">
        <f t="shared" si="50"/>
        <v>4562.7391195787386</v>
      </c>
      <c r="R114" s="201">
        <f t="shared" si="30"/>
        <v>0</v>
      </c>
      <c r="S114" s="213">
        <f t="shared" si="41"/>
        <v>0</v>
      </c>
      <c r="T114" s="213"/>
      <c r="U114" s="213">
        <f t="shared" si="42"/>
        <v>-136.74683902694687</v>
      </c>
      <c r="V114" s="201">
        <f t="shared" si="45"/>
        <v>-77.208333333333329</v>
      </c>
      <c r="W114" s="204">
        <f t="shared" si="32"/>
        <v>4348.7839472184587</v>
      </c>
      <c r="X114" s="216">
        <f t="shared" si="43"/>
        <v>99321.157903321553</v>
      </c>
      <c r="Z114" s="206">
        <f t="shared" si="44"/>
        <v>37060</v>
      </c>
      <c r="AA114" s="193">
        <f t="shared" si="33"/>
        <v>0</v>
      </c>
      <c r="AB114" s="206">
        <f t="shared" si="34"/>
        <v>37060</v>
      </c>
    </row>
    <row r="115" spans="9:28" s="177" customFormat="1" x14ac:dyDescent="0.45">
      <c r="I115" s="279">
        <f t="shared" si="36"/>
        <v>41</v>
      </c>
      <c r="J115" s="280"/>
      <c r="K115" s="280"/>
      <c r="L115" s="280"/>
      <c r="M115" s="281">
        <f t="shared" si="27"/>
        <v>0</v>
      </c>
      <c r="O115" s="279">
        <f t="shared" si="39"/>
        <v>41</v>
      </c>
      <c r="P115" s="215">
        <f t="shared" si="40"/>
        <v>15350</v>
      </c>
      <c r="Q115" s="213">
        <f t="shared" si="50"/>
        <v>4562.7391195787386</v>
      </c>
      <c r="R115" s="201">
        <f t="shared" si="30"/>
        <v>0</v>
      </c>
      <c r="S115" s="213">
        <f t="shared" si="41"/>
        <v>0</v>
      </c>
      <c r="T115" s="213"/>
      <c r="U115" s="213">
        <f t="shared" si="42"/>
        <v>-136.74683902694687</v>
      </c>
      <c r="V115" s="201">
        <f t="shared" si="45"/>
        <v>-73.46145833333334</v>
      </c>
      <c r="W115" s="204">
        <f t="shared" si="32"/>
        <v>4352.5308222184585</v>
      </c>
      <c r="X115" s="216">
        <f t="shared" si="43"/>
        <v>103673.68872554001</v>
      </c>
      <c r="Z115" s="206">
        <f t="shared" si="44"/>
        <v>35261.5</v>
      </c>
      <c r="AA115" s="193">
        <f t="shared" si="33"/>
        <v>0</v>
      </c>
      <c r="AB115" s="206">
        <f t="shared" si="34"/>
        <v>35261.5</v>
      </c>
    </row>
    <row r="116" spans="9:28" s="177" customFormat="1" x14ac:dyDescent="0.45">
      <c r="I116" s="279">
        <f t="shared" si="36"/>
        <v>42</v>
      </c>
      <c r="J116" s="280"/>
      <c r="K116" s="280"/>
      <c r="L116" s="280"/>
      <c r="M116" s="281">
        <f t="shared" si="27"/>
        <v>0</v>
      </c>
      <c r="O116" s="279">
        <f t="shared" si="39"/>
        <v>42</v>
      </c>
      <c r="P116" s="215">
        <f t="shared" si="40"/>
        <v>15725</v>
      </c>
      <c r="Q116" s="213">
        <f t="shared" si="50"/>
        <v>4562.7391195787386</v>
      </c>
      <c r="R116" s="201">
        <f t="shared" si="30"/>
        <v>0</v>
      </c>
      <c r="S116" s="213">
        <f t="shared" si="41"/>
        <v>0</v>
      </c>
      <c r="T116" s="213"/>
      <c r="U116" s="213">
        <f t="shared" si="42"/>
        <v>-136.74683902694687</v>
      </c>
      <c r="V116" s="201">
        <f t="shared" si="45"/>
        <v>-69.714583333333337</v>
      </c>
      <c r="W116" s="204">
        <f t="shared" si="32"/>
        <v>4356.2776972184583</v>
      </c>
      <c r="X116" s="216">
        <f t="shared" si="43"/>
        <v>108029.96642275847</v>
      </c>
      <c r="Z116" s="206">
        <f t="shared" si="44"/>
        <v>33463</v>
      </c>
      <c r="AA116" s="193">
        <f t="shared" si="33"/>
        <v>0</v>
      </c>
      <c r="AB116" s="206">
        <f t="shared" si="34"/>
        <v>33463</v>
      </c>
    </row>
    <row r="117" spans="9:28" s="177" customFormat="1" x14ac:dyDescent="0.45">
      <c r="I117" s="279">
        <f t="shared" si="36"/>
        <v>43</v>
      </c>
      <c r="J117" s="280"/>
      <c r="K117" s="280"/>
      <c r="L117" s="280"/>
      <c r="M117" s="281">
        <f t="shared" si="27"/>
        <v>0</v>
      </c>
      <c r="O117" s="279">
        <f t="shared" si="39"/>
        <v>43</v>
      </c>
      <c r="P117" s="215">
        <f t="shared" si="40"/>
        <v>16100</v>
      </c>
      <c r="Q117" s="213">
        <f t="shared" si="50"/>
        <v>4562.7391195787386</v>
      </c>
      <c r="R117" s="201">
        <f t="shared" si="30"/>
        <v>0</v>
      </c>
      <c r="S117" s="213">
        <f t="shared" si="41"/>
        <v>0</v>
      </c>
      <c r="T117" s="213"/>
      <c r="U117" s="213">
        <f t="shared" si="42"/>
        <v>-136.74683902694687</v>
      </c>
      <c r="V117" s="201">
        <f t="shared" si="45"/>
        <v>-65.967708333333334</v>
      </c>
      <c r="W117" s="204">
        <f t="shared" si="32"/>
        <v>4360.0245722184582</v>
      </c>
      <c r="X117" s="216">
        <f t="shared" si="43"/>
        <v>112389.99099497694</v>
      </c>
      <c r="Z117" s="206">
        <f t="shared" si="44"/>
        <v>31664.5</v>
      </c>
      <c r="AA117" s="193">
        <f t="shared" si="33"/>
        <v>0</v>
      </c>
      <c r="AB117" s="206">
        <f t="shared" si="34"/>
        <v>31664.5</v>
      </c>
    </row>
    <row r="118" spans="9:28" s="177" customFormat="1" x14ac:dyDescent="0.45">
      <c r="I118" s="279">
        <f t="shared" si="36"/>
        <v>44</v>
      </c>
      <c r="J118" s="280"/>
      <c r="K118" s="280"/>
      <c r="L118" s="280"/>
      <c r="M118" s="281">
        <f t="shared" si="27"/>
        <v>0</v>
      </c>
      <c r="O118" s="279">
        <f t="shared" si="39"/>
        <v>44</v>
      </c>
      <c r="P118" s="215">
        <f t="shared" si="40"/>
        <v>16475</v>
      </c>
      <c r="Q118" s="213">
        <f t="shared" si="50"/>
        <v>4562.7391195787386</v>
      </c>
      <c r="R118" s="201">
        <f t="shared" si="30"/>
        <v>0</v>
      </c>
      <c r="S118" s="213">
        <f t="shared" si="41"/>
        <v>0</v>
      </c>
      <c r="T118" s="213"/>
      <c r="U118" s="213">
        <f t="shared" si="42"/>
        <v>-136.74683902694687</v>
      </c>
      <c r="V118" s="201">
        <f t="shared" si="45"/>
        <v>-62.220833333333339</v>
      </c>
      <c r="W118" s="204">
        <f t="shared" si="32"/>
        <v>4363.771447218458</v>
      </c>
      <c r="X118" s="216">
        <f t="shared" si="43"/>
        <v>116753.7624421954</v>
      </c>
      <c r="Z118" s="206">
        <f t="shared" si="44"/>
        <v>29866</v>
      </c>
      <c r="AA118" s="193">
        <f t="shared" si="33"/>
        <v>0</v>
      </c>
      <c r="AB118" s="206">
        <f t="shared" si="34"/>
        <v>29866</v>
      </c>
    </row>
    <row r="119" spans="9:28" s="177" customFormat="1" x14ac:dyDescent="0.45">
      <c r="I119" s="279">
        <f t="shared" si="36"/>
        <v>45</v>
      </c>
      <c r="J119" s="280"/>
      <c r="K119" s="280"/>
      <c r="L119" s="280"/>
      <c r="M119" s="281">
        <f t="shared" si="27"/>
        <v>0</v>
      </c>
      <c r="O119" s="279">
        <f t="shared" si="39"/>
        <v>45</v>
      </c>
      <c r="P119" s="215">
        <f t="shared" si="40"/>
        <v>16850</v>
      </c>
      <c r="Q119" s="213">
        <f t="shared" si="50"/>
        <v>4562.7391195787386</v>
      </c>
      <c r="R119" s="201">
        <f t="shared" si="30"/>
        <v>0</v>
      </c>
      <c r="S119" s="213">
        <f t="shared" si="41"/>
        <v>0</v>
      </c>
      <c r="T119" s="213"/>
      <c r="U119" s="213">
        <f t="shared" si="42"/>
        <v>-136.74683902694687</v>
      </c>
      <c r="V119" s="201">
        <f t="shared" si="45"/>
        <v>-58.473958333333336</v>
      </c>
      <c r="W119" s="204">
        <f t="shared" si="32"/>
        <v>4367.5183222184587</v>
      </c>
      <c r="X119" s="216">
        <f t="shared" si="43"/>
        <v>121121.28076441385</v>
      </c>
      <c r="Z119" s="206">
        <f t="shared" si="44"/>
        <v>28067.5</v>
      </c>
      <c r="AA119" s="193">
        <f t="shared" si="33"/>
        <v>0</v>
      </c>
      <c r="AB119" s="206">
        <f t="shared" si="34"/>
        <v>28067.5</v>
      </c>
    </row>
    <row r="120" spans="9:28" s="177" customFormat="1" x14ac:dyDescent="0.45">
      <c r="I120" s="279">
        <f t="shared" si="36"/>
        <v>46</v>
      </c>
      <c r="J120" s="280"/>
      <c r="K120" s="280"/>
      <c r="L120" s="280"/>
      <c r="M120" s="281">
        <f t="shared" si="27"/>
        <v>0</v>
      </c>
      <c r="O120" s="279">
        <f t="shared" si="39"/>
        <v>46</v>
      </c>
      <c r="P120" s="215">
        <f t="shared" si="40"/>
        <v>17225</v>
      </c>
      <c r="Q120" s="213">
        <f t="shared" si="50"/>
        <v>4562.7391195787386</v>
      </c>
      <c r="R120" s="201">
        <f t="shared" si="30"/>
        <v>0</v>
      </c>
      <c r="S120" s="213">
        <f t="shared" si="41"/>
        <v>0</v>
      </c>
      <c r="T120" s="213"/>
      <c r="U120" s="213">
        <f t="shared" si="42"/>
        <v>-136.74683902694687</v>
      </c>
      <c r="V120" s="201">
        <f t="shared" si="45"/>
        <v>-54.727083333333333</v>
      </c>
      <c r="W120" s="204">
        <f t="shared" si="32"/>
        <v>4371.2651972184585</v>
      </c>
      <c r="X120" s="216">
        <f t="shared" si="43"/>
        <v>125492.54596163231</v>
      </c>
      <c r="Z120" s="206">
        <f t="shared" si="44"/>
        <v>26269</v>
      </c>
      <c r="AA120" s="193">
        <f t="shared" si="33"/>
        <v>0</v>
      </c>
      <c r="AB120" s="206">
        <f t="shared" si="34"/>
        <v>26269</v>
      </c>
    </row>
    <row r="121" spans="9:28" s="177" customFormat="1" x14ac:dyDescent="0.45">
      <c r="I121" s="279">
        <f t="shared" si="36"/>
        <v>47</v>
      </c>
      <c r="J121" s="280"/>
      <c r="K121" s="280"/>
      <c r="L121" s="280"/>
      <c r="M121" s="281">
        <f t="shared" si="27"/>
        <v>0</v>
      </c>
      <c r="O121" s="279">
        <f t="shared" si="39"/>
        <v>47</v>
      </c>
      <c r="P121" s="215">
        <f t="shared" si="40"/>
        <v>17600</v>
      </c>
      <c r="Q121" s="213">
        <f t="shared" si="50"/>
        <v>4562.7391195787386</v>
      </c>
      <c r="R121" s="201">
        <f t="shared" si="30"/>
        <v>0</v>
      </c>
      <c r="S121" s="213">
        <f t="shared" si="41"/>
        <v>0</v>
      </c>
      <c r="T121" s="213"/>
      <c r="U121" s="213">
        <f t="shared" si="42"/>
        <v>-136.74683902694687</v>
      </c>
      <c r="V121" s="201">
        <f t="shared" si="45"/>
        <v>-50.980208333333337</v>
      </c>
      <c r="W121" s="204">
        <f t="shared" si="32"/>
        <v>4375.0120722184583</v>
      </c>
      <c r="X121" s="216">
        <f t="shared" si="43"/>
        <v>129867.55803385077</v>
      </c>
      <c r="Z121" s="206">
        <f t="shared" si="44"/>
        <v>24470.5</v>
      </c>
      <c r="AA121" s="193">
        <f t="shared" si="33"/>
        <v>0</v>
      </c>
      <c r="AB121" s="206">
        <f t="shared" si="34"/>
        <v>24470.5</v>
      </c>
    </row>
    <row r="122" spans="9:28" s="177" customFormat="1" ht="14.65" thickBot="1" x14ac:dyDescent="0.5">
      <c r="I122" s="279">
        <f t="shared" si="36"/>
        <v>48</v>
      </c>
      <c r="J122" s="280"/>
      <c r="K122" s="280"/>
      <c r="L122" s="280"/>
      <c r="M122" s="281">
        <f t="shared" si="27"/>
        <v>0</v>
      </c>
      <c r="O122" s="279">
        <f t="shared" si="39"/>
        <v>48</v>
      </c>
      <c r="P122" s="215">
        <f t="shared" si="40"/>
        <v>17975</v>
      </c>
      <c r="Q122" s="213">
        <f t="shared" si="50"/>
        <v>4562.7391195787386</v>
      </c>
      <c r="R122" s="201">
        <f t="shared" si="30"/>
        <v>0</v>
      </c>
      <c r="S122" s="213">
        <f t="shared" si="41"/>
        <v>0</v>
      </c>
      <c r="T122" s="213">
        <f>-T124*0.5</f>
        <v>0</v>
      </c>
      <c r="U122" s="213">
        <f t="shared" si="42"/>
        <v>-136.74683902694687</v>
      </c>
      <c r="V122" s="201">
        <f t="shared" si="45"/>
        <v>-47.233333333333341</v>
      </c>
      <c r="W122" s="204">
        <f t="shared" si="32"/>
        <v>4378.7589472184582</v>
      </c>
      <c r="X122" s="285">
        <f t="shared" si="43"/>
        <v>134246.31698106922</v>
      </c>
      <c r="Z122" s="206">
        <f t="shared" si="44"/>
        <v>22672</v>
      </c>
      <c r="AA122" s="193">
        <f t="shared" si="33"/>
        <v>0</v>
      </c>
      <c r="AB122" s="206">
        <f t="shared" si="34"/>
        <v>22672</v>
      </c>
    </row>
    <row r="123" spans="9:28" s="177" customFormat="1" ht="14.65" thickBot="1" x14ac:dyDescent="0.5">
      <c r="I123" s="286" t="s">
        <v>20</v>
      </c>
      <c r="J123" s="267">
        <f>C75*C79</f>
        <v>54.5</v>
      </c>
      <c r="K123" s="267">
        <f>SUM(K75:K122)</f>
        <v>456.79485943549048</v>
      </c>
      <c r="L123" s="287">
        <f>+SUM(L75:L122)</f>
        <v>-5906.7532799839364</v>
      </c>
      <c r="M123" s="288"/>
      <c r="O123" s="289"/>
      <c r="P123" s="290"/>
      <c r="Q123" s="287"/>
      <c r="R123" s="267">
        <f>SUM(R75:R122)</f>
        <v>-5906.7532799839364</v>
      </c>
      <c r="S123" s="291">
        <f>SUM(S75:S122)</f>
        <v>0</v>
      </c>
      <c r="T123" s="291">
        <f>SUM(T75:T122)</f>
        <v>0</v>
      </c>
      <c r="U123" s="267">
        <f>SUM(U75:U122)</f>
        <v>-6563.8482732934499</v>
      </c>
      <c r="V123" s="267">
        <f>SUM(V75:V122)</f>
        <v>-6493.675000000002</v>
      </c>
      <c r="W123" s="292"/>
      <c r="X123" s="288"/>
    </row>
    <row r="124" spans="9:28" s="177" customFormat="1" x14ac:dyDescent="0.45">
      <c r="Q124" s="293"/>
      <c r="R124" s="293"/>
      <c r="S124" s="294">
        <f>D99</f>
        <v>0</v>
      </c>
      <c r="T124" s="246">
        <f>D100</f>
        <v>0</v>
      </c>
      <c r="U124" s="293"/>
      <c r="V124" s="293"/>
      <c r="W124" s="293"/>
      <c r="X124" s="293"/>
    </row>
    <row r="125" spans="9:28" s="177" customFormat="1" ht="14.65" thickBot="1" x14ac:dyDescent="0.5">
      <c r="L125" s="295">
        <f>+PMT(C76/12,C80,(C75),,)</f>
        <v>-164.0764799995537</v>
      </c>
      <c r="Q125" s="293"/>
      <c r="R125" s="293"/>
      <c r="S125" s="296">
        <f>S123+S124</f>
        <v>0</v>
      </c>
      <c r="T125" s="254">
        <f>T123+T124</f>
        <v>0</v>
      </c>
      <c r="U125" s="293"/>
      <c r="V125" s="293"/>
      <c r="W125" s="293"/>
      <c r="X125" s="293"/>
    </row>
    <row r="126" spans="9:28" s="177" customFormat="1" x14ac:dyDescent="0.45"/>
    <row r="127" spans="9:28" s="177" customFormat="1" x14ac:dyDescent="0.45"/>
    <row r="128" spans="9:28" s="177" customFormat="1" x14ac:dyDescent="0.45"/>
    <row r="129" s="177" customFormat="1" x14ac:dyDescent="0.45"/>
    <row r="130" s="177" customFormat="1" x14ac:dyDescent="0.45"/>
  </sheetData>
  <mergeCells count="21">
    <mergeCell ref="B110:E110"/>
    <mergeCell ref="B111:E111"/>
    <mergeCell ref="A73:C73"/>
    <mergeCell ref="I73:M73"/>
    <mergeCell ref="O73:X73"/>
    <mergeCell ref="A84:E84"/>
    <mergeCell ref="A93:G93"/>
    <mergeCell ref="A109:G109"/>
    <mergeCell ref="A71:C71"/>
    <mergeCell ref="D71:X71"/>
    <mergeCell ref="A1:X1"/>
    <mergeCell ref="A3:C3"/>
    <mergeCell ref="D3:X3"/>
    <mergeCell ref="A5:C5"/>
    <mergeCell ref="I5:M5"/>
    <mergeCell ref="O5:X5"/>
    <mergeCell ref="A16:E16"/>
    <mergeCell ref="A25:G25"/>
    <mergeCell ref="A41:G41"/>
    <mergeCell ref="B42:E42"/>
    <mergeCell ref="B43:E43"/>
  </mergeCells>
  <printOptions horizontalCentered="1"/>
  <pageMargins left="0.70866141732283505" right="0.70866141732283505" top="0.74803149606299202" bottom="0.74803149606299202" header="0.31496062992126" footer="0.31496062992126"/>
  <headerFooter>
    <oddHeader>&amp;R&amp;A</oddHeader>
    <oddFooter>&amp;L&amp;D&amp;C&amp;P&amp;R&amp;A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1B91-1D3E-564A-A49E-DFFAFCC41C7F}">
  <sheetPr>
    <tabColor theme="9" tint="-0.249977111117893"/>
    <pageSetUpPr fitToPage="1"/>
  </sheetPr>
  <dimension ref="A1:AE130"/>
  <sheetViews>
    <sheetView zoomScale="99" workbookViewId="0">
      <selection activeCell="A2" sqref="A2"/>
    </sheetView>
  </sheetViews>
  <sheetFormatPr defaultColWidth="9.1328125" defaultRowHeight="14.25" x14ac:dyDescent="0.45"/>
  <cols>
    <col min="1" max="1" width="6.265625" style="3" customWidth="1"/>
    <col min="2" max="2" width="18.265625" style="3" bestFit="1" customWidth="1"/>
    <col min="3" max="4" width="15" style="3" bestFit="1" customWidth="1"/>
    <col min="5" max="5" width="14" style="3" bestFit="1" customWidth="1"/>
    <col min="6" max="6" width="17.3984375" style="3" bestFit="1" customWidth="1"/>
    <col min="7" max="7" width="15.1328125" style="3" bestFit="1" customWidth="1"/>
    <col min="8" max="8" width="9.1328125" style="3"/>
    <col min="9" max="9" width="7.3984375" style="3" bestFit="1" customWidth="1"/>
    <col min="10" max="10" width="15" style="3" bestFit="1" customWidth="1"/>
    <col min="11" max="12" width="14" style="3" bestFit="1" customWidth="1"/>
    <col min="13" max="13" width="15" style="3" bestFit="1" customWidth="1"/>
    <col min="14" max="16" width="9.1328125" style="3"/>
    <col min="17" max="19" width="15.86328125" style="3" bestFit="1" customWidth="1"/>
    <col min="20" max="21" width="14.73046875" style="3" customWidth="1"/>
    <col min="22" max="22" width="13.265625" style="3" bestFit="1" customWidth="1"/>
    <col min="23" max="23" width="14.86328125" style="3" bestFit="1" customWidth="1"/>
    <col min="24" max="24" width="15.1328125" style="3" bestFit="1" customWidth="1"/>
    <col min="25" max="25" width="9.1328125" style="3"/>
    <col min="26" max="26" width="22" style="3" customWidth="1"/>
    <col min="27" max="27" width="9.1328125" style="3"/>
    <col min="28" max="29" width="16.265625" style="3" customWidth="1"/>
    <col min="30" max="30" width="16.3984375" style="3" customWidth="1"/>
    <col min="31" max="16384" width="9.1328125" style="3"/>
  </cols>
  <sheetData>
    <row r="1" spans="1:31" ht="62.25" customHeight="1" thickBot="1" x14ac:dyDescent="0.5">
      <c r="A1" s="676">
        <f>+ASSUMPTIONS!B1</f>
        <v>0</v>
      </c>
      <c r="B1" s="677"/>
      <c r="C1" s="677"/>
      <c r="D1" s="677"/>
      <c r="E1" s="677"/>
      <c r="F1" s="677"/>
      <c r="G1" s="677"/>
      <c r="H1" s="677"/>
      <c r="I1" s="677"/>
      <c r="J1" s="677"/>
      <c r="K1" s="677"/>
      <c r="L1" s="677"/>
      <c r="M1" s="677"/>
      <c r="N1" s="677"/>
      <c r="O1" s="677"/>
      <c r="P1" s="677"/>
      <c r="Q1" s="677"/>
      <c r="R1" s="677"/>
      <c r="S1" s="677"/>
      <c r="T1" s="677"/>
      <c r="U1" s="677"/>
      <c r="V1" s="677"/>
      <c r="W1" s="677"/>
      <c r="X1" s="678"/>
    </row>
    <row r="2" spans="1:31" ht="16.149999999999999" thickBot="1" x14ac:dyDescent="0.5">
      <c r="A2" s="2"/>
      <c r="B2" s="2"/>
      <c r="C2" s="10"/>
      <c r="D2" s="10"/>
      <c r="E2" s="10"/>
      <c r="F2" s="10"/>
      <c r="G2" s="10"/>
      <c r="H2" s="10"/>
      <c r="I2" s="13"/>
      <c r="J2" s="10"/>
      <c r="K2" s="10"/>
      <c r="L2" s="10"/>
      <c r="M2" s="10"/>
      <c r="S2" s="145"/>
    </row>
    <row r="3" spans="1:31" ht="32.25" customHeight="1" thickBot="1" x14ac:dyDescent="0.5">
      <c r="A3" s="679" t="s">
        <v>240</v>
      </c>
      <c r="B3" s="680"/>
      <c r="C3" s="681"/>
      <c r="D3" s="682" t="s">
        <v>2</v>
      </c>
      <c r="E3" s="683"/>
      <c r="F3" s="683"/>
      <c r="G3" s="683"/>
      <c r="H3" s="683"/>
      <c r="I3" s="683"/>
      <c r="J3" s="683"/>
      <c r="K3" s="683"/>
      <c r="L3" s="683"/>
      <c r="M3" s="683"/>
      <c r="N3" s="683"/>
      <c r="O3" s="683"/>
      <c r="P3" s="683"/>
      <c r="Q3" s="683"/>
      <c r="R3" s="683"/>
      <c r="S3" s="683"/>
      <c r="T3" s="683"/>
      <c r="U3" s="683"/>
      <c r="V3" s="683"/>
      <c r="W3" s="683"/>
      <c r="X3" s="684"/>
    </row>
    <row r="4" spans="1:31" ht="14.65" thickBot="1" x14ac:dyDescent="0.5">
      <c r="C4" s="11"/>
      <c r="D4" s="11"/>
      <c r="E4" s="11"/>
      <c r="F4" s="11"/>
      <c r="G4" s="11"/>
      <c r="H4" s="11"/>
      <c r="I4" s="12"/>
      <c r="J4" s="11"/>
      <c r="K4" s="11"/>
      <c r="L4" s="11"/>
      <c r="M4" s="11"/>
      <c r="Q4" s="368">
        <f>+'Summary Equip'!AC17</f>
        <v>375</v>
      </c>
      <c r="U4" s="57">
        <v>0.05</v>
      </c>
    </row>
    <row r="5" spans="1:31" ht="23.25" customHeight="1" thickBot="1" x14ac:dyDescent="0.5">
      <c r="A5" s="685" t="s">
        <v>9</v>
      </c>
      <c r="B5" s="686"/>
      <c r="C5" s="687"/>
      <c r="D5" s="11"/>
      <c r="E5" s="11"/>
      <c r="F5" s="11"/>
      <c r="G5" s="11"/>
      <c r="H5" s="11"/>
      <c r="I5" s="688" t="s">
        <v>34</v>
      </c>
      <c r="J5" s="689"/>
      <c r="K5" s="689"/>
      <c r="L5" s="689"/>
      <c r="M5" s="690"/>
      <c r="O5" s="688" t="s">
        <v>35</v>
      </c>
      <c r="P5" s="691"/>
      <c r="Q5" s="689"/>
      <c r="R5" s="689"/>
      <c r="S5" s="689"/>
      <c r="T5" s="689"/>
      <c r="U5" s="689"/>
      <c r="V5" s="689"/>
      <c r="W5" s="692"/>
      <c r="X5" s="693"/>
      <c r="AA5" s="145">
        <v>0</v>
      </c>
    </row>
    <row r="6" spans="1:31" ht="28.9" thickBot="1" x14ac:dyDescent="0.5">
      <c r="A6" s="29" t="s">
        <v>0</v>
      </c>
      <c r="B6" s="28" t="s">
        <v>1</v>
      </c>
      <c r="C6" s="50" t="s">
        <v>10</v>
      </c>
      <c r="D6" s="11"/>
      <c r="E6" s="11"/>
      <c r="F6" s="11"/>
      <c r="G6" s="11"/>
      <c r="H6" s="11"/>
      <c r="I6" s="16" t="s">
        <v>15</v>
      </c>
      <c r="J6" s="17" t="s">
        <v>70</v>
      </c>
      <c r="K6" s="17" t="s">
        <v>17</v>
      </c>
      <c r="L6" s="17" t="s">
        <v>18</v>
      </c>
      <c r="M6" s="18" t="s">
        <v>19</v>
      </c>
      <c r="O6" s="16" t="s">
        <v>15</v>
      </c>
      <c r="P6" s="52" t="s">
        <v>39</v>
      </c>
      <c r="Q6" s="17" t="s">
        <v>36</v>
      </c>
      <c r="R6" s="17" t="s">
        <v>37</v>
      </c>
      <c r="S6" s="17" t="s">
        <v>27</v>
      </c>
      <c r="T6" s="17" t="s">
        <v>38</v>
      </c>
      <c r="U6" s="17" t="s">
        <v>7</v>
      </c>
      <c r="V6" s="17" t="s">
        <v>41</v>
      </c>
      <c r="W6" s="18" t="s">
        <v>40</v>
      </c>
      <c r="X6" s="55" t="s">
        <v>42</v>
      </c>
      <c r="Z6" s="5" t="s">
        <v>71</v>
      </c>
      <c r="AA6" s="5" t="s">
        <v>46</v>
      </c>
      <c r="AB6" s="5" t="s">
        <v>47</v>
      </c>
    </row>
    <row r="7" spans="1:31" x14ac:dyDescent="0.45">
      <c r="A7" s="8">
        <v>1</v>
      </c>
      <c r="B7" s="9" t="s">
        <v>11</v>
      </c>
      <c r="C7" s="152">
        <f>+F11*(1+'Summary Equip'!$N$3)</f>
        <v>320775</v>
      </c>
      <c r="D7" s="11"/>
      <c r="E7" s="8" t="s">
        <v>61</v>
      </c>
      <c r="F7" s="150">
        <f>+'Summary Equip'!J17</f>
        <v>305500</v>
      </c>
      <c r="G7" s="106"/>
      <c r="H7" s="383">
        <v>1</v>
      </c>
      <c r="I7" s="15">
        <v>1</v>
      </c>
      <c r="J7" s="77">
        <f>C7</f>
        <v>320775</v>
      </c>
      <c r="K7" s="77">
        <f>J7*$C$8*30.44/365.25</f>
        <v>1416.8726160164272</v>
      </c>
      <c r="L7" s="77">
        <f>+L69</f>
        <v>-6097.607250621103</v>
      </c>
      <c r="M7" s="78">
        <f t="shared" ref="M7:M66" si="0">J7+K7+L7</f>
        <v>316094.26536539535</v>
      </c>
      <c r="O7" s="15">
        <v>1</v>
      </c>
      <c r="P7" s="53">
        <f>Q4</f>
        <v>375</v>
      </c>
      <c r="Q7" s="77">
        <f>$F$42+($Q$4*$G$42)</f>
        <v>21393.937673894405</v>
      </c>
      <c r="R7" s="77">
        <f>+L7</f>
        <v>-6097.607250621103</v>
      </c>
      <c r="S7" s="77">
        <f>+IF(R7=0,,-S68/C12)</f>
        <v>-3309.5833333333335</v>
      </c>
      <c r="T7" s="77"/>
      <c r="U7" s="77">
        <f>-Q7*U4</f>
        <v>-1069.6968836947203</v>
      </c>
      <c r="V7" s="77">
        <f>-(AB7*$C$9/12)</f>
        <v>-625.95677083333339</v>
      </c>
      <c r="W7" s="83">
        <f>SUM(Q7:V7)</f>
        <v>10291.093435411916</v>
      </c>
      <c r="X7" s="84">
        <f>W7</f>
        <v>10291.093435411916</v>
      </c>
      <c r="Z7" s="92">
        <f>+$D$27-(($D$27+$D$28)*O7/$B$22)</f>
        <v>300459.25</v>
      </c>
      <c r="AA7" s="5">
        <f>+Z7*$AA$5</f>
        <v>0</v>
      </c>
      <c r="AB7" s="92">
        <f>+Z7+AA7</f>
        <v>300459.25</v>
      </c>
      <c r="AC7" s="132"/>
      <c r="AD7" s="132">
        <f>+S7</f>
        <v>-3309.5833333333335</v>
      </c>
      <c r="AE7" s="3">
        <f>+IF(AD7=0,0,1)</f>
        <v>1</v>
      </c>
    </row>
    <row r="8" spans="1:31" ht="28.5" x14ac:dyDescent="0.45">
      <c r="A8" s="4">
        <f>A7+1</f>
        <v>2</v>
      </c>
      <c r="B8" s="5" t="s">
        <v>3</v>
      </c>
      <c r="C8" s="156">
        <f>+'Summary Equip'!R17</f>
        <v>5.2999999999999999E-2</v>
      </c>
      <c r="D8" s="11"/>
      <c r="E8" s="107" t="s">
        <v>64</v>
      </c>
      <c r="F8" s="311">
        <f>+'Summary Equip'!D17</f>
        <v>0</v>
      </c>
      <c r="G8" s="108"/>
      <c r="H8" s="383">
        <f>+'Summary Equip'!C17</f>
        <v>1</v>
      </c>
      <c r="I8" s="14">
        <f>I7+1</f>
        <v>2</v>
      </c>
      <c r="J8" s="63">
        <f>+IF(M7&lt;0,,M7)</f>
        <v>316094.26536539535</v>
      </c>
      <c r="K8" s="63">
        <f t="shared" ref="K8:K54" si="1">J8*$C$8*30.44/365.25</f>
        <v>1396.1976733724837</v>
      </c>
      <c r="L8" s="63">
        <f>IF(M7&lt;0,,L7)</f>
        <v>-6097.607250621103</v>
      </c>
      <c r="M8" s="65">
        <f t="shared" si="0"/>
        <v>311392.85578814673</v>
      </c>
      <c r="O8" s="14">
        <f>O7+1</f>
        <v>2</v>
      </c>
      <c r="P8" s="54">
        <f>P7+$Q$4</f>
        <v>750</v>
      </c>
      <c r="Q8" s="63">
        <f>$F$42+($Q$4*$G$42)</f>
        <v>21393.937673894405</v>
      </c>
      <c r="R8" s="77">
        <f t="shared" ref="R8:R66" si="2">+L8</f>
        <v>-6097.607250621103</v>
      </c>
      <c r="S8" s="63">
        <f>+IF(R8=0,,S7)</f>
        <v>-3309.5833333333335</v>
      </c>
      <c r="T8" s="63"/>
      <c r="U8" s="63">
        <f>U7</f>
        <v>-1069.6968836947203</v>
      </c>
      <c r="V8" s="77">
        <f t="shared" ref="V8:V14" si="3">-(AB8*$C$9/12)</f>
        <v>-615.45520833333342</v>
      </c>
      <c r="W8" s="83">
        <f t="shared" ref="W8:W66" si="4">SUM(Q8:V8)</f>
        <v>10301.594997911916</v>
      </c>
      <c r="X8" s="85">
        <f>X7+W8</f>
        <v>20592.688433323834</v>
      </c>
      <c r="Z8" s="92">
        <f>+$D$27-(($D$27+$D$28)*O8/$B$22)</f>
        <v>295418.5</v>
      </c>
      <c r="AA8" s="5">
        <f t="shared" ref="AA8:AA66" si="5">+Z8*$AA$5</f>
        <v>0</v>
      </c>
      <c r="AB8" s="92">
        <f t="shared" ref="AB8:AB66" si="6">+Z8+AA8</f>
        <v>295418.5</v>
      </c>
      <c r="AD8" s="133">
        <f t="shared" ref="AD8:AD39" si="7">IF(AD7=0,0,IF(+S8+AD7&lt;-$S$68,0,+S8+AD7))</f>
        <v>-6619.166666666667</v>
      </c>
      <c r="AE8" s="3">
        <f t="shared" ref="AE8:AE66" si="8">+IF(AD8=0,0,1)</f>
        <v>1</v>
      </c>
    </row>
    <row r="9" spans="1:31" x14ac:dyDescent="0.45">
      <c r="A9" s="4">
        <f t="shared" ref="A9:A14" si="9">A8+1</f>
        <v>3</v>
      </c>
      <c r="B9" s="5" t="s">
        <v>4</v>
      </c>
      <c r="C9" s="157">
        <f>+'Summary Equip'!S17</f>
        <v>2.5000000000000001E-2</v>
      </c>
      <c r="D9" s="11"/>
      <c r="E9" s="109" t="s">
        <v>69</v>
      </c>
      <c r="F9" s="339">
        <f>+'Summary Equip'!F17</f>
        <v>15275</v>
      </c>
      <c r="G9" s="110"/>
      <c r="H9" s="383">
        <f>+'Summary Equip'!E17</f>
        <v>1</v>
      </c>
      <c r="I9" s="14">
        <f t="shared" ref="I9:I66" si="10">I8+1</f>
        <v>3</v>
      </c>
      <c r="J9" s="63">
        <f t="shared" ref="J9:J66" si="11">+IF(M8&lt;0,,M8)</f>
        <v>311392.85578814673</v>
      </c>
      <c r="K9" s="63">
        <f t="shared" si="1"/>
        <v>1375.4314088983788</v>
      </c>
      <c r="L9" s="63">
        <f t="shared" ref="L9:L66" si="12">IF(M8&lt;0,,L8)</f>
        <v>-6097.607250621103</v>
      </c>
      <c r="M9" s="65">
        <f t="shared" si="0"/>
        <v>306670.67994642403</v>
      </c>
      <c r="O9" s="14">
        <f t="shared" ref="O9:O66" si="13">O8+1</f>
        <v>3</v>
      </c>
      <c r="P9" s="54">
        <f t="shared" ref="P9:P66" si="14">P8+$Q$4</f>
        <v>1125</v>
      </c>
      <c r="Q9" s="63">
        <f t="shared" ref="Q9:Q66" si="15">$F$42+($Q$4*$G$42)</f>
        <v>21393.937673894405</v>
      </c>
      <c r="R9" s="77">
        <f t="shared" si="2"/>
        <v>-6097.607250621103</v>
      </c>
      <c r="S9" s="63">
        <f t="shared" ref="S9:S62" si="16">+S8</f>
        <v>-3309.5833333333335</v>
      </c>
      <c r="T9" s="63"/>
      <c r="U9" s="63">
        <f t="shared" ref="U9:U62" si="17">U8</f>
        <v>-1069.6968836947203</v>
      </c>
      <c r="V9" s="77">
        <f t="shared" si="3"/>
        <v>-604.95364583333333</v>
      </c>
      <c r="W9" s="83">
        <f t="shared" si="4"/>
        <v>10312.096560411916</v>
      </c>
      <c r="X9" s="85">
        <f t="shared" ref="X9:X62" si="18">X8+W9</f>
        <v>30904.78499373575</v>
      </c>
      <c r="Z9" s="92">
        <f t="shared" ref="Z9:Z66" si="19">+$D$27-(($D$27+$D$28)*O9/$B$22)</f>
        <v>290377.75</v>
      </c>
      <c r="AA9" s="5">
        <f t="shared" si="5"/>
        <v>0</v>
      </c>
      <c r="AB9" s="92">
        <f t="shared" si="6"/>
        <v>290377.75</v>
      </c>
      <c r="AD9" s="133">
        <f t="shared" si="7"/>
        <v>-9928.75</v>
      </c>
      <c r="AE9" s="3">
        <f t="shared" si="8"/>
        <v>1</v>
      </c>
    </row>
    <row r="10" spans="1:31" ht="14.65" thickBot="1" x14ac:dyDescent="0.5">
      <c r="A10" s="4">
        <f t="shared" si="9"/>
        <v>4</v>
      </c>
      <c r="B10" s="5" t="s">
        <v>5</v>
      </c>
      <c r="C10" s="158">
        <f>+'Summary Equip'!T17</f>
        <v>0.05</v>
      </c>
      <c r="D10" s="11"/>
      <c r="E10" s="111" t="s">
        <v>52</v>
      </c>
      <c r="F10" s="312">
        <f>SUM(F7:F8)*G10</f>
        <v>0</v>
      </c>
      <c r="G10" s="151">
        <f>+'Summary Equip'!H17</f>
        <v>0</v>
      </c>
      <c r="H10" s="383">
        <f>+'Summary Equip'!G17</f>
        <v>0</v>
      </c>
      <c r="I10" s="14">
        <f t="shared" si="10"/>
        <v>4</v>
      </c>
      <c r="J10" s="63">
        <f t="shared" si="11"/>
        <v>306670.67994642403</v>
      </c>
      <c r="K10" s="63">
        <f t="shared" si="1"/>
        <v>1354.5734192229015</v>
      </c>
      <c r="L10" s="63">
        <f t="shared" si="12"/>
        <v>-6097.607250621103</v>
      </c>
      <c r="M10" s="65">
        <f t="shared" si="0"/>
        <v>301927.64611502585</v>
      </c>
      <c r="O10" s="14">
        <f t="shared" si="13"/>
        <v>4</v>
      </c>
      <c r="P10" s="54">
        <f t="shared" si="14"/>
        <v>1500</v>
      </c>
      <c r="Q10" s="63">
        <f t="shared" si="15"/>
        <v>21393.937673894405</v>
      </c>
      <c r="R10" s="77">
        <f t="shared" si="2"/>
        <v>-6097.607250621103</v>
      </c>
      <c r="S10" s="63">
        <f t="shared" si="16"/>
        <v>-3309.5833333333335</v>
      </c>
      <c r="T10" s="63"/>
      <c r="U10" s="63">
        <f t="shared" si="17"/>
        <v>-1069.6968836947203</v>
      </c>
      <c r="V10" s="77">
        <f t="shared" si="3"/>
        <v>-594.45208333333335</v>
      </c>
      <c r="W10" s="83">
        <f t="shared" si="4"/>
        <v>10322.598122911915</v>
      </c>
      <c r="X10" s="85">
        <f t="shared" si="18"/>
        <v>41227.383116647667</v>
      </c>
      <c r="Z10" s="92">
        <f t="shared" si="19"/>
        <v>285337</v>
      </c>
      <c r="AA10" s="5">
        <f t="shared" si="5"/>
        <v>0</v>
      </c>
      <c r="AB10" s="92">
        <f t="shared" si="6"/>
        <v>285337</v>
      </c>
      <c r="AD10" s="133">
        <f t="shared" si="7"/>
        <v>-13238.333333333334</v>
      </c>
      <c r="AE10" s="3">
        <f t="shared" si="8"/>
        <v>1</v>
      </c>
    </row>
    <row r="11" spans="1:31" ht="14.65" thickBot="1" x14ac:dyDescent="0.5">
      <c r="A11" s="4">
        <f t="shared" si="9"/>
        <v>5</v>
      </c>
      <c r="B11" s="5" t="s">
        <v>12</v>
      </c>
      <c r="C11" s="159">
        <f>+'Summary Equip'!U17</f>
        <v>0.01</v>
      </c>
      <c r="D11" s="11"/>
      <c r="E11" s="112" t="s">
        <v>28</v>
      </c>
      <c r="F11" s="313">
        <f>SUMPRODUCT(F7:F10,H7:H10)</f>
        <v>320775</v>
      </c>
      <c r="G11" s="113"/>
      <c r="H11" s="11"/>
      <c r="I11" s="14">
        <f t="shared" si="10"/>
        <v>5</v>
      </c>
      <c r="J11" s="63">
        <f t="shared" si="11"/>
        <v>301927.64611502585</v>
      </c>
      <c r="K11" s="63">
        <f t="shared" si="1"/>
        <v>1333.6232991931377</v>
      </c>
      <c r="L11" s="63">
        <f t="shared" si="12"/>
        <v>-6097.607250621103</v>
      </c>
      <c r="M11" s="65">
        <f t="shared" si="0"/>
        <v>297163.66216359794</v>
      </c>
      <c r="O11" s="14">
        <f t="shared" si="13"/>
        <v>5</v>
      </c>
      <c r="P11" s="54">
        <f t="shared" si="14"/>
        <v>1875</v>
      </c>
      <c r="Q11" s="63">
        <f t="shared" si="15"/>
        <v>21393.937673894405</v>
      </c>
      <c r="R11" s="77">
        <f t="shared" si="2"/>
        <v>-6097.607250621103</v>
      </c>
      <c r="S11" s="63">
        <f t="shared" si="16"/>
        <v>-3309.5833333333335</v>
      </c>
      <c r="T11" s="63"/>
      <c r="U11" s="63">
        <f t="shared" si="17"/>
        <v>-1069.6968836947203</v>
      </c>
      <c r="V11" s="77">
        <f t="shared" si="3"/>
        <v>-583.95052083333337</v>
      </c>
      <c r="W11" s="83">
        <f t="shared" si="4"/>
        <v>10333.099685411915</v>
      </c>
      <c r="X11" s="85">
        <f t="shared" si="18"/>
        <v>51560.482802059581</v>
      </c>
      <c r="Z11" s="92">
        <f t="shared" si="19"/>
        <v>280296.25</v>
      </c>
      <c r="AA11" s="5">
        <f t="shared" si="5"/>
        <v>0</v>
      </c>
      <c r="AB11" s="92">
        <f t="shared" si="6"/>
        <v>280296.25</v>
      </c>
      <c r="AD11" s="133">
        <f t="shared" si="7"/>
        <v>-16547.916666666668</v>
      </c>
      <c r="AE11" s="3">
        <f t="shared" si="8"/>
        <v>1</v>
      </c>
    </row>
    <row r="12" spans="1:31" x14ac:dyDescent="0.45">
      <c r="A12" s="4">
        <f t="shared" si="9"/>
        <v>6</v>
      </c>
      <c r="B12" s="5" t="s">
        <v>13</v>
      </c>
      <c r="C12" s="160">
        <f>+'Summary Equip'!V17</f>
        <v>60</v>
      </c>
      <c r="D12" s="11"/>
      <c r="E12" s="11"/>
      <c r="F12" s="11"/>
      <c r="G12" s="11"/>
      <c r="H12" s="11"/>
      <c r="I12" s="14">
        <f t="shared" si="10"/>
        <v>6</v>
      </c>
      <c r="J12" s="63">
        <f t="shared" si="11"/>
        <v>297163.66216359794</v>
      </c>
      <c r="K12" s="63">
        <f t="shared" si="1"/>
        <v>1312.5806418666007</v>
      </c>
      <c r="L12" s="63">
        <f t="shared" si="12"/>
        <v>-6097.607250621103</v>
      </c>
      <c r="M12" s="65">
        <f t="shared" si="0"/>
        <v>292378.63555484347</v>
      </c>
      <c r="O12" s="14">
        <f t="shared" si="13"/>
        <v>6</v>
      </c>
      <c r="P12" s="54">
        <f t="shared" si="14"/>
        <v>2250</v>
      </c>
      <c r="Q12" s="63">
        <f t="shared" si="15"/>
        <v>21393.937673894405</v>
      </c>
      <c r="R12" s="77">
        <f t="shared" si="2"/>
        <v>-6097.607250621103</v>
      </c>
      <c r="S12" s="63">
        <f t="shared" si="16"/>
        <v>-3309.5833333333335</v>
      </c>
      <c r="T12" s="63"/>
      <c r="U12" s="63">
        <f t="shared" si="17"/>
        <v>-1069.6968836947203</v>
      </c>
      <c r="V12" s="77">
        <f t="shared" si="3"/>
        <v>-573.44895833333339</v>
      </c>
      <c r="W12" s="83">
        <f t="shared" si="4"/>
        <v>10343.601247911916</v>
      </c>
      <c r="X12" s="85">
        <f t="shared" si="18"/>
        <v>61904.084049971498</v>
      </c>
      <c r="Z12" s="92">
        <f t="shared" si="19"/>
        <v>275255.5</v>
      </c>
      <c r="AA12" s="5">
        <f t="shared" si="5"/>
        <v>0</v>
      </c>
      <c r="AB12" s="92">
        <f t="shared" si="6"/>
        <v>275255.5</v>
      </c>
      <c r="AD12" s="133">
        <f t="shared" si="7"/>
        <v>-19857.5</v>
      </c>
      <c r="AE12" s="3">
        <f t="shared" si="8"/>
        <v>1</v>
      </c>
    </row>
    <row r="13" spans="1:31" x14ac:dyDescent="0.45">
      <c r="A13" s="4">
        <f t="shared" si="9"/>
        <v>7</v>
      </c>
      <c r="B13" s="5" t="s">
        <v>14</v>
      </c>
      <c r="C13" s="161">
        <f>+'Summary Equip'!W17</f>
        <v>10000</v>
      </c>
      <c r="D13" s="176">
        <f>+C13*C14</f>
        <v>10000</v>
      </c>
      <c r="E13" s="11"/>
      <c r="F13" s="11"/>
      <c r="G13" s="11"/>
      <c r="H13" s="11"/>
      <c r="I13" s="14">
        <f t="shared" si="10"/>
        <v>7</v>
      </c>
      <c r="J13" s="63">
        <f t="shared" si="11"/>
        <v>292378.63555484347</v>
      </c>
      <c r="K13" s="63">
        <f t="shared" si="1"/>
        <v>1291.4450385033267</v>
      </c>
      <c r="L13" s="63">
        <f t="shared" si="12"/>
        <v>-6097.607250621103</v>
      </c>
      <c r="M13" s="65">
        <f t="shared" si="0"/>
        <v>287572.47334272572</v>
      </c>
      <c r="O13" s="14">
        <f t="shared" si="13"/>
        <v>7</v>
      </c>
      <c r="P13" s="54">
        <f t="shared" si="14"/>
        <v>2625</v>
      </c>
      <c r="Q13" s="63">
        <f t="shared" si="15"/>
        <v>21393.937673894405</v>
      </c>
      <c r="R13" s="77">
        <f t="shared" si="2"/>
        <v>-6097.607250621103</v>
      </c>
      <c r="S13" s="63">
        <f t="shared" si="16"/>
        <v>-3309.5833333333335</v>
      </c>
      <c r="T13" s="63"/>
      <c r="U13" s="63">
        <f t="shared" si="17"/>
        <v>-1069.6968836947203</v>
      </c>
      <c r="V13" s="77">
        <f t="shared" si="3"/>
        <v>-562.94739583333342</v>
      </c>
      <c r="W13" s="83">
        <f t="shared" si="4"/>
        <v>10354.102810411916</v>
      </c>
      <c r="X13" s="85">
        <f t="shared" si="18"/>
        <v>72258.186860383415</v>
      </c>
      <c r="Z13" s="92">
        <f t="shared" si="19"/>
        <v>270214.75</v>
      </c>
      <c r="AA13" s="5">
        <f t="shared" si="5"/>
        <v>0</v>
      </c>
      <c r="AB13" s="92">
        <f t="shared" si="6"/>
        <v>270214.75</v>
      </c>
      <c r="AD13" s="133">
        <f t="shared" si="7"/>
        <v>-23167.083333333332</v>
      </c>
      <c r="AE13" s="3">
        <f t="shared" si="8"/>
        <v>1</v>
      </c>
    </row>
    <row r="14" spans="1:31" ht="14.65" thickBot="1" x14ac:dyDescent="0.5">
      <c r="A14" s="6">
        <f t="shared" si="9"/>
        <v>8</v>
      </c>
      <c r="B14" s="7"/>
      <c r="C14" s="162">
        <v>1</v>
      </c>
      <c r="D14" s="337">
        <f>+D13/48</f>
        <v>208.33333333333334</v>
      </c>
      <c r="E14" s="11"/>
      <c r="F14" s="11"/>
      <c r="G14" s="11"/>
      <c r="H14" s="11"/>
      <c r="I14" s="14">
        <f t="shared" si="10"/>
        <v>8</v>
      </c>
      <c r="J14" s="63">
        <f t="shared" si="11"/>
        <v>287572.47334272572</v>
      </c>
      <c r="K14" s="63">
        <f t="shared" si="1"/>
        <v>1270.2160785579365</v>
      </c>
      <c r="L14" s="63">
        <f t="shared" si="12"/>
        <v>-6097.607250621103</v>
      </c>
      <c r="M14" s="65">
        <f t="shared" si="0"/>
        <v>282745.08217066259</v>
      </c>
      <c r="O14" s="14">
        <f t="shared" si="13"/>
        <v>8</v>
      </c>
      <c r="P14" s="54">
        <f t="shared" si="14"/>
        <v>3000</v>
      </c>
      <c r="Q14" s="63">
        <f t="shared" si="15"/>
        <v>21393.937673894405</v>
      </c>
      <c r="R14" s="77">
        <f t="shared" si="2"/>
        <v>-6097.607250621103</v>
      </c>
      <c r="S14" s="63">
        <f t="shared" si="16"/>
        <v>-3309.5833333333335</v>
      </c>
      <c r="T14" s="63"/>
      <c r="U14" s="63">
        <f t="shared" si="17"/>
        <v>-1069.6968836947203</v>
      </c>
      <c r="V14" s="77">
        <f t="shared" si="3"/>
        <v>-552.44583333333333</v>
      </c>
      <c r="W14" s="83">
        <f t="shared" si="4"/>
        <v>10364.604372911916</v>
      </c>
      <c r="X14" s="85">
        <f t="shared" si="18"/>
        <v>82622.791233295327</v>
      </c>
      <c r="Z14" s="92">
        <f t="shared" si="19"/>
        <v>265174</v>
      </c>
      <c r="AA14" s="5">
        <f t="shared" si="5"/>
        <v>0</v>
      </c>
      <c r="AB14" s="92">
        <f t="shared" si="6"/>
        <v>265174</v>
      </c>
      <c r="AD14" s="133">
        <f t="shared" si="7"/>
        <v>-26476.666666666664</v>
      </c>
      <c r="AE14" s="3">
        <f t="shared" si="8"/>
        <v>1</v>
      </c>
    </row>
    <row r="15" spans="1:31" ht="14.65" thickBot="1" x14ac:dyDescent="0.5">
      <c r="C15" s="11"/>
      <c r="D15" s="11"/>
      <c r="E15" s="11"/>
      <c r="F15" s="11"/>
      <c r="G15" s="11"/>
      <c r="H15" s="11"/>
      <c r="I15" s="14">
        <f t="shared" si="10"/>
        <v>9</v>
      </c>
      <c r="J15" s="63">
        <f t="shared" si="11"/>
        <v>282745.08217066259</v>
      </c>
      <c r="K15" s="63">
        <f t="shared" si="1"/>
        <v>1248.8933496716588</v>
      </c>
      <c r="L15" s="63">
        <f t="shared" si="12"/>
        <v>-6097.607250621103</v>
      </c>
      <c r="M15" s="65">
        <f t="shared" si="0"/>
        <v>277896.36826971319</v>
      </c>
      <c r="O15" s="14">
        <f t="shared" si="13"/>
        <v>9</v>
      </c>
      <c r="P15" s="54">
        <f t="shared" si="14"/>
        <v>3375</v>
      </c>
      <c r="Q15" s="63">
        <f t="shared" si="15"/>
        <v>21393.937673894405</v>
      </c>
      <c r="R15" s="77">
        <f t="shared" si="2"/>
        <v>-6097.607250621103</v>
      </c>
      <c r="S15" s="63">
        <f t="shared" si="16"/>
        <v>-3309.5833333333335</v>
      </c>
      <c r="T15" s="63"/>
      <c r="U15" s="63">
        <f t="shared" si="17"/>
        <v>-1069.6968836947203</v>
      </c>
      <c r="V15" s="77">
        <f>-(AB15*$C$9/12)</f>
        <v>-541.94427083333335</v>
      </c>
      <c r="W15" s="83">
        <f t="shared" si="4"/>
        <v>10375.105935411915</v>
      </c>
      <c r="X15" s="85">
        <f t="shared" si="18"/>
        <v>92997.897168707248</v>
      </c>
      <c r="Z15" s="92">
        <f t="shared" si="19"/>
        <v>260133.25</v>
      </c>
      <c r="AA15" s="5">
        <f t="shared" si="5"/>
        <v>0</v>
      </c>
      <c r="AB15" s="92">
        <f t="shared" si="6"/>
        <v>260133.25</v>
      </c>
      <c r="AD15" s="133">
        <f t="shared" si="7"/>
        <v>-29786.249999999996</v>
      </c>
      <c r="AE15" s="3">
        <f t="shared" si="8"/>
        <v>1</v>
      </c>
    </row>
    <row r="16" spans="1:31" ht="16.149999999999999" thickBot="1" x14ac:dyDescent="0.5">
      <c r="A16" s="661" t="s">
        <v>43</v>
      </c>
      <c r="B16" s="662"/>
      <c r="C16" s="662"/>
      <c r="D16" s="662"/>
      <c r="E16" s="663"/>
      <c r="F16" s="1"/>
      <c r="G16" s="1"/>
      <c r="H16" s="117"/>
      <c r="I16" s="14">
        <f t="shared" si="10"/>
        <v>10</v>
      </c>
      <c r="J16" s="63">
        <f t="shared" si="11"/>
        <v>277896.36826971319</v>
      </c>
      <c r="K16" s="63">
        <f t="shared" si="1"/>
        <v>1227.4764376643222</v>
      </c>
      <c r="L16" s="63">
        <f t="shared" si="12"/>
        <v>-6097.607250621103</v>
      </c>
      <c r="M16" s="65">
        <f t="shared" si="0"/>
        <v>273026.23745675641</v>
      </c>
      <c r="O16" s="14">
        <f t="shared" si="13"/>
        <v>10</v>
      </c>
      <c r="P16" s="54">
        <f t="shared" si="14"/>
        <v>3750</v>
      </c>
      <c r="Q16" s="63">
        <f t="shared" si="15"/>
        <v>21393.937673894405</v>
      </c>
      <c r="R16" s="77">
        <f t="shared" si="2"/>
        <v>-6097.607250621103</v>
      </c>
      <c r="S16" s="63">
        <f t="shared" si="16"/>
        <v>-3309.5833333333335</v>
      </c>
      <c r="T16" s="63"/>
      <c r="U16" s="63">
        <f t="shared" si="17"/>
        <v>-1069.6968836947203</v>
      </c>
      <c r="V16" s="77">
        <f t="shared" ref="V16:V66" si="20">-(AB16*$C$9/12)</f>
        <v>-531.44270833333337</v>
      </c>
      <c r="W16" s="83">
        <f t="shared" si="4"/>
        <v>10385.607497911915</v>
      </c>
      <c r="X16" s="85">
        <f t="shared" si="18"/>
        <v>103383.50466661916</v>
      </c>
      <c r="Z16" s="92">
        <f t="shared" si="19"/>
        <v>255092.5</v>
      </c>
      <c r="AA16" s="5">
        <f t="shared" si="5"/>
        <v>0</v>
      </c>
      <c r="AB16" s="92">
        <f t="shared" si="6"/>
        <v>255092.5</v>
      </c>
      <c r="AD16" s="133">
        <f t="shared" si="7"/>
        <v>-33095.833333333328</v>
      </c>
      <c r="AE16" s="3">
        <f t="shared" si="8"/>
        <v>1</v>
      </c>
    </row>
    <row r="17" spans="1:31" ht="14.65" thickBot="1" x14ac:dyDescent="0.5">
      <c r="A17" s="97" t="s">
        <v>44</v>
      </c>
      <c r="B17" s="98" t="s">
        <v>48</v>
      </c>
      <c r="C17" s="98" t="s">
        <v>45</v>
      </c>
      <c r="D17" s="99" t="s">
        <v>46</v>
      </c>
      <c r="E17" s="55" t="s">
        <v>47</v>
      </c>
      <c r="F17" s="1"/>
      <c r="G17" s="1"/>
      <c r="H17" s="117"/>
      <c r="I17" s="14">
        <f t="shared" si="10"/>
        <v>11</v>
      </c>
      <c r="J17" s="63">
        <f t="shared" si="11"/>
        <v>273026.23745675641</v>
      </c>
      <c r="K17" s="63">
        <f t="shared" si="1"/>
        <v>1205.9649265263088</v>
      </c>
      <c r="L17" s="63">
        <f t="shared" si="12"/>
        <v>-6097.607250621103</v>
      </c>
      <c r="M17" s="65">
        <f t="shared" si="0"/>
        <v>268134.59513266163</v>
      </c>
      <c r="O17" s="14">
        <f t="shared" si="13"/>
        <v>11</v>
      </c>
      <c r="P17" s="54">
        <f t="shared" si="14"/>
        <v>4125</v>
      </c>
      <c r="Q17" s="63">
        <f t="shared" si="15"/>
        <v>21393.937673894405</v>
      </c>
      <c r="R17" s="77">
        <f t="shared" si="2"/>
        <v>-6097.607250621103</v>
      </c>
      <c r="S17" s="63">
        <f t="shared" si="16"/>
        <v>-3309.5833333333335</v>
      </c>
      <c r="T17" s="63"/>
      <c r="U17" s="63">
        <f t="shared" si="17"/>
        <v>-1069.6968836947203</v>
      </c>
      <c r="V17" s="77">
        <f t="shared" si="20"/>
        <v>-520.94114583333339</v>
      </c>
      <c r="W17" s="83">
        <f t="shared" si="4"/>
        <v>10396.109060411916</v>
      </c>
      <c r="X17" s="85">
        <f t="shared" si="18"/>
        <v>113779.61372703107</v>
      </c>
      <c r="Z17" s="92">
        <f t="shared" si="19"/>
        <v>250051.75</v>
      </c>
      <c r="AA17" s="5">
        <f t="shared" si="5"/>
        <v>0</v>
      </c>
      <c r="AB17" s="92">
        <f t="shared" si="6"/>
        <v>250051.75</v>
      </c>
      <c r="AD17" s="133">
        <f t="shared" si="7"/>
        <v>-36405.416666666664</v>
      </c>
      <c r="AE17" s="3">
        <f t="shared" si="8"/>
        <v>1</v>
      </c>
    </row>
    <row r="18" spans="1:31" x14ac:dyDescent="0.45">
      <c r="A18" s="94">
        <v>1</v>
      </c>
      <c r="B18" s="95">
        <v>12</v>
      </c>
      <c r="C18" s="96">
        <f>D$27-(D$27+D$28)*B18/60</f>
        <v>245011</v>
      </c>
      <c r="D18" s="100">
        <v>0.1</v>
      </c>
      <c r="E18" s="103">
        <f t="shared" ref="E18:E23" si="21">C18/(100%-D18)</f>
        <v>272234.44444444444</v>
      </c>
      <c r="F18" s="11"/>
      <c r="G18" s="11"/>
      <c r="H18" s="11"/>
      <c r="I18" s="14">
        <f t="shared" si="10"/>
        <v>12</v>
      </c>
      <c r="J18" s="63">
        <f t="shared" si="11"/>
        <v>268134.59513266163</v>
      </c>
      <c r="K18" s="63">
        <f t="shared" si="1"/>
        <v>1184.3583984104741</v>
      </c>
      <c r="L18" s="63">
        <f t="shared" si="12"/>
        <v>-6097.607250621103</v>
      </c>
      <c r="M18" s="65">
        <f t="shared" si="0"/>
        <v>263221.34628045105</v>
      </c>
      <c r="O18" s="14">
        <f t="shared" si="13"/>
        <v>12</v>
      </c>
      <c r="P18" s="54">
        <f t="shared" si="14"/>
        <v>4500</v>
      </c>
      <c r="Q18" s="63">
        <f t="shared" si="15"/>
        <v>21393.937673894405</v>
      </c>
      <c r="R18" s="77">
        <f t="shared" si="2"/>
        <v>-6097.607250621103</v>
      </c>
      <c r="S18" s="63">
        <f t="shared" si="16"/>
        <v>-3309.5833333333335</v>
      </c>
      <c r="T18" s="63"/>
      <c r="U18" s="63">
        <f t="shared" si="17"/>
        <v>-1069.6968836947203</v>
      </c>
      <c r="V18" s="77">
        <f t="shared" si="20"/>
        <v>-510.43958333333336</v>
      </c>
      <c r="W18" s="83">
        <f t="shared" si="4"/>
        <v>10406.610622911916</v>
      </c>
      <c r="X18" s="85">
        <f t="shared" si="18"/>
        <v>124186.22434994299</v>
      </c>
      <c r="Z18" s="92">
        <f t="shared" si="19"/>
        <v>245011</v>
      </c>
      <c r="AA18" s="5">
        <f t="shared" si="5"/>
        <v>0</v>
      </c>
      <c r="AB18" s="92">
        <f t="shared" si="6"/>
        <v>245011</v>
      </c>
      <c r="AD18" s="133">
        <f t="shared" si="7"/>
        <v>-39715</v>
      </c>
      <c r="AE18" s="3">
        <f t="shared" si="8"/>
        <v>1</v>
      </c>
    </row>
    <row r="19" spans="1:31" x14ac:dyDescent="0.45">
      <c r="A19" s="4">
        <f>A18+1</f>
        <v>2</v>
      </c>
      <c r="B19" s="5">
        <f>B18+12</f>
        <v>24</v>
      </c>
      <c r="C19" s="92">
        <f>D$27-(D$27+D$28)*B19/60</f>
        <v>184522</v>
      </c>
      <c r="D19" s="101">
        <f>D18</f>
        <v>0.1</v>
      </c>
      <c r="E19" s="104">
        <f t="shared" si="21"/>
        <v>205024.44444444444</v>
      </c>
      <c r="F19" s="11"/>
      <c r="G19" s="11"/>
      <c r="H19" s="11"/>
      <c r="I19" s="14">
        <f t="shared" si="10"/>
        <v>13</v>
      </c>
      <c r="J19" s="63">
        <f t="shared" si="11"/>
        <v>263221.34628045105</v>
      </c>
      <c r="K19" s="63">
        <f t="shared" si="1"/>
        <v>1162.656433624031</v>
      </c>
      <c r="L19" s="63">
        <f t="shared" si="12"/>
        <v>-6097.607250621103</v>
      </c>
      <c r="M19" s="65">
        <f t="shared" si="0"/>
        <v>258286.39546345398</v>
      </c>
      <c r="O19" s="14">
        <f t="shared" si="13"/>
        <v>13</v>
      </c>
      <c r="P19" s="54">
        <f t="shared" si="14"/>
        <v>4875</v>
      </c>
      <c r="Q19" s="63">
        <f t="shared" si="15"/>
        <v>21393.937673894405</v>
      </c>
      <c r="R19" s="77">
        <f t="shared" si="2"/>
        <v>-6097.607250621103</v>
      </c>
      <c r="S19" s="63">
        <f t="shared" si="16"/>
        <v>-3309.5833333333335</v>
      </c>
      <c r="T19" s="63"/>
      <c r="U19" s="63">
        <f t="shared" si="17"/>
        <v>-1069.6968836947203</v>
      </c>
      <c r="V19" s="77">
        <f t="shared" si="20"/>
        <v>-499.93802083333338</v>
      </c>
      <c r="W19" s="83">
        <f t="shared" si="4"/>
        <v>10417.112185411916</v>
      </c>
      <c r="X19" s="85">
        <f t="shared" si="18"/>
        <v>134603.3365353549</v>
      </c>
      <c r="Z19" s="92">
        <f t="shared" si="19"/>
        <v>239970.25</v>
      </c>
      <c r="AA19" s="5">
        <f t="shared" si="5"/>
        <v>0</v>
      </c>
      <c r="AB19" s="92">
        <f t="shared" si="6"/>
        <v>239970.25</v>
      </c>
      <c r="AD19" s="133">
        <f t="shared" si="7"/>
        <v>-43024.583333333336</v>
      </c>
      <c r="AE19" s="3">
        <f t="shared" si="8"/>
        <v>1</v>
      </c>
    </row>
    <row r="20" spans="1:31" x14ac:dyDescent="0.45">
      <c r="A20" s="4">
        <f>A19+1</f>
        <v>3</v>
      </c>
      <c r="B20" s="5">
        <f>B19+12</f>
        <v>36</v>
      </c>
      <c r="C20" s="92">
        <f>D$27-(D$27+D$28)*B20/60</f>
        <v>124033</v>
      </c>
      <c r="D20" s="101">
        <f>D19</f>
        <v>0.1</v>
      </c>
      <c r="E20" s="104">
        <f t="shared" si="21"/>
        <v>137814.44444444444</v>
      </c>
      <c r="F20" s="11"/>
      <c r="G20" s="11"/>
      <c r="H20" s="11"/>
      <c r="I20" s="14">
        <f t="shared" si="10"/>
        <v>14</v>
      </c>
      <c r="J20" s="63">
        <f t="shared" si="11"/>
        <v>258286.39546345398</v>
      </c>
      <c r="K20" s="63">
        <f t="shared" si="1"/>
        <v>1140.8586106203959</v>
      </c>
      <c r="L20" s="63">
        <f t="shared" si="12"/>
        <v>-6097.607250621103</v>
      </c>
      <c r="M20" s="65">
        <f t="shared" si="0"/>
        <v>253329.64682345328</v>
      </c>
      <c r="O20" s="14">
        <f t="shared" si="13"/>
        <v>14</v>
      </c>
      <c r="P20" s="54">
        <f t="shared" si="14"/>
        <v>5250</v>
      </c>
      <c r="Q20" s="63">
        <f t="shared" si="15"/>
        <v>21393.937673894405</v>
      </c>
      <c r="R20" s="77">
        <f t="shared" si="2"/>
        <v>-6097.607250621103</v>
      </c>
      <c r="S20" s="63">
        <f t="shared" si="16"/>
        <v>-3309.5833333333335</v>
      </c>
      <c r="T20" s="63"/>
      <c r="U20" s="63">
        <f t="shared" si="17"/>
        <v>-1069.6968836947203</v>
      </c>
      <c r="V20" s="77">
        <f t="shared" si="20"/>
        <v>-489.43645833333335</v>
      </c>
      <c r="W20" s="83">
        <f t="shared" si="4"/>
        <v>10427.613747911915</v>
      </c>
      <c r="X20" s="85">
        <f t="shared" si="18"/>
        <v>145030.95028326681</v>
      </c>
      <c r="Z20" s="92">
        <f t="shared" si="19"/>
        <v>234929.5</v>
      </c>
      <c r="AA20" s="5">
        <f t="shared" si="5"/>
        <v>0</v>
      </c>
      <c r="AB20" s="92">
        <f t="shared" si="6"/>
        <v>234929.5</v>
      </c>
      <c r="AD20" s="133">
        <f t="shared" si="7"/>
        <v>-46334.166666666672</v>
      </c>
      <c r="AE20" s="3">
        <f t="shared" si="8"/>
        <v>1</v>
      </c>
    </row>
    <row r="21" spans="1:31" x14ac:dyDescent="0.45">
      <c r="A21" s="4">
        <f>A20+1</f>
        <v>4</v>
      </c>
      <c r="B21" s="5">
        <f>B20+12</f>
        <v>48</v>
      </c>
      <c r="C21" s="92">
        <f>D$27-(D$27+D$28)*B21/60</f>
        <v>63544</v>
      </c>
      <c r="D21" s="101">
        <f>D20</f>
        <v>0.1</v>
      </c>
      <c r="E21" s="104">
        <f t="shared" si="21"/>
        <v>70604.444444444438</v>
      </c>
      <c r="F21" s="11"/>
      <c r="G21" s="11"/>
      <c r="H21" s="11"/>
      <c r="I21" s="14">
        <f t="shared" si="10"/>
        <v>15</v>
      </c>
      <c r="J21" s="63">
        <f t="shared" si="11"/>
        <v>253329.64682345328</v>
      </c>
      <c r="K21" s="63">
        <f t="shared" si="1"/>
        <v>1118.9645059910026</v>
      </c>
      <c r="L21" s="63">
        <f t="shared" si="12"/>
        <v>-6097.607250621103</v>
      </c>
      <c r="M21" s="65">
        <f t="shared" si="0"/>
        <v>248351.00407882317</v>
      </c>
      <c r="O21" s="14">
        <f t="shared" si="13"/>
        <v>15</v>
      </c>
      <c r="P21" s="54">
        <f t="shared" si="14"/>
        <v>5625</v>
      </c>
      <c r="Q21" s="63">
        <f t="shared" si="15"/>
        <v>21393.937673894405</v>
      </c>
      <c r="R21" s="77">
        <f t="shared" si="2"/>
        <v>-6097.607250621103</v>
      </c>
      <c r="S21" s="63">
        <f t="shared" si="16"/>
        <v>-3309.5833333333335</v>
      </c>
      <c r="T21" s="63"/>
      <c r="U21" s="63">
        <f t="shared" si="17"/>
        <v>-1069.6968836947203</v>
      </c>
      <c r="V21" s="77">
        <f t="shared" si="20"/>
        <v>-478.93489583333331</v>
      </c>
      <c r="W21" s="83">
        <f t="shared" si="4"/>
        <v>10438.115310411915</v>
      </c>
      <c r="X21" s="85">
        <f t="shared" si="18"/>
        <v>155469.06559367874</v>
      </c>
      <c r="Z21" s="92">
        <f t="shared" si="19"/>
        <v>229888.75</v>
      </c>
      <c r="AA21" s="5">
        <f t="shared" si="5"/>
        <v>0</v>
      </c>
      <c r="AB21" s="92">
        <f t="shared" si="6"/>
        <v>229888.75</v>
      </c>
      <c r="AD21" s="133">
        <f t="shared" si="7"/>
        <v>-49643.750000000007</v>
      </c>
      <c r="AE21" s="3">
        <f t="shared" si="8"/>
        <v>1</v>
      </c>
    </row>
    <row r="22" spans="1:31" x14ac:dyDescent="0.45">
      <c r="A22" s="4">
        <f>A21+1</f>
        <v>5</v>
      </c>
      <c r="B22" s="5">
        <f>B21+12</f>
        <v>60</v>
      </c>
      <c r="C22" s="92">
        <f>D$27-(D$27+D$28)*B22/60</f>
        <v>3055</v>
      </c>
      <c r="D22" s="101">
        <f>D21</f>
        <v>0.1</v>
      </c>
      <c r="E22" s="104">
        <f t="shared" si="21"/>
        <v>3394.4444444444443</v>
      </c>
      <c r="F22" s="11"/>
      <c r="G22" s="11"/>
      <c r="H22" s="11"/>
      <c r="I22" s="14">
        <f t="shared" si="10"/>
        <v>16</v>
      </c>
      <c r="J22" s="63">
        <f t="shared" si="11"/>
        <v>248351.00407882317</v>
      </c>
      <c r="K22" s="63">
        <f t="shared" si="1"/>
        <v>1096.9736944570761</v>
      </c>
      <c r="L22" s="63">
        <f t="shared" si="12"/>
        <v>-6097.607250621103</v>
      </c>
      <c r="M22" s="65">
        <f t="shared" si="0"/>
        <v>243350.37052265916</v>
      </c>
      <c r="O22" s="14">
        <f t="shared" si="13"/>
        <v>16</v>
      </c>
      <c r="P22" s="54">
        <f t="shared" si="14"/>
        <v>6000</v>
      </c>
      <c r="Q22" s="63">
        <f t="shared" si="15"/>
        <v>21393.937673894405</v>
      </c>
      <c r="R22" s="77">
        <f t="shared" si="2"/>
        <v>-6097.607250621103</v>
      </c>
      <c r="S22" s="63">
        <f t="shared" si="16"/>
        <v>-3309.5833333333335</v>
      </c>
      <c r="T22" s="63"/>
      <c r="U22" s="63">
        <f t="shared" si="17"/>
        <v>-1069.6968836947203</v>
      </c>
      <c r="V22" s="77">
        <f t="shared" si="20"/>
        <v>-468.43333333333339</v>
      </c>
      <c r="W22" s="83">
        <f t="shared" si="4"/>
        <v>10448.616872911916</v>
      </c>
      <c r="X22" s="85">
        <f t="shared" si="18"/>
        <v>165917.68246659066</v>
      </c>
      <c r="Z22" s="92">
        <f t="shared" si="19"/>
        <v>224848</v>
      </c>
      <c r="AA22" s="5">
        <f t="shared" si="5"/>
        <v>0</v>
      </c>
      <c r="AB22" s="92">
        <f t="shared" si="6"/>
        <v>224848</v>
      </c>
      <c r="AD22" s="133">
        <f t="shared" si="7"/>
        <v>-52953.333333333343</v>
      </c>
      <c r="AE22" s="3">
        <f t="shared" si="8"/>
        <v>1</v>
      </c>
    </row>
    <row r="23" spans="1:31" ht="14.65" thickBot="1" x14ac:dyDescent="0.5">
      <c r="A23" s="6">
        <f>A22+1</f>
        <v>6</v>
      </c>
      <c r="B23" s="7">
        <f>B22+12</f>
        <v>72</v>
      </c>
      <c r="C23" s="93">
        <v>1</v>
      </c>
      <c r="D23" s="102">
        <f>D22</f>
        <v>0.1</v>
      </c>
      <c r="E23" s="105">
        <f t="shared" si="21"/>
        <v>1.1111111111111112</v>
      </c>
      <c r="H23" s="11"/>
      <c r="I23" s="14">
        <f t="shared" si="10"/>
        <v>17</v>
      </c>
      <c r="J23" s="63">
        <f t="shared" si="11"/>
        <v>243350.37052265916</v>
      </c>
      <c r="K23" s="63">
        <f t="shared" si="1"/>
        <v>1074.885748861373</v>
      </c>
      <c r="L23" s="63">
        <f t="shared" si="12"/>
        <v>-6097.607250621103</v>
      </c>
      <c r="M23" s="65">
        <f t="shared" si="0"/>
        <v>238327.64902089944</v>
      </c>
      <c r="O23" s="14">
        <f t="shared" si="13"/>
        <v>17</v>
      </c>
      <c r="P23" s="54">
        <f t="shared" si="14"/>
        <v>6375</v>
      </c>
      <c r="Q23" s="63">
        <f t="shared" si="15"/>
        <v>21393.937673894405</v>
      </c>
      <c r="R23" s="77">
        <f t="shared" si="2"/>
        <v>-6097.607250621103</v>
      </c>
      <c r="S23" s="63">
        <f t="shared" si="16"/>
        <v>-3309.5833333333335</v>
      </c>
      <c r="T23" s="63"/>
      <c r="U23" s="63">
        <f t="shared" si="17"/>
        <v>-1069.6968836947203</v>
      </c>
      <c r="V23" s="77">
        <f t="shared" si="20"/>
        <v>-457.93177083333336</v>
      </c>
      <c r="W23" s="83">
        <f t="shared" si="4"/>
        <v>10459.118435411916</v>
      </c>
      <c r="X23" s="85">
        <f t="shared" si="18"/>
        <v>176376.80090200258</v>
      </c>
      <c r="Z23" s="92">
        <f t="shared" si="19"/>
        <v>219807.25</v>
      </c>
      <c r="AA23" s="5">
        <f t="shared" si="5"/>
        <v>0</v>
      </c>
      <c r="AB23" s="92">
        <f t="shared" si="6"/>
        <v>219807.25</v>
      </c>
      <c r="AD23" s="133">
        <f t="shared" si="7"/>
        <v>-56262.916666666679</v>
      </c>
      <c r="AE23" s="3">
        <f t="shared" si="8"/>
        <v>1</v>
      </c>
    </row>
    <row r="24" spans="1:31" ht="14.65" thickBot="1" x14ac:dyDescent="0.5">
      <c r="H24" s="11"/>
      <c r="I24" s="14">
        <f>I23+1</f>
        <v>18</v>
      </c>
      <c r="J24" s="63">
        <f t="shared" si="11"/>
        <v>238327.64902089944</v>
      </c>
      <c r="K24" s="63">
        <f t="shared" si="1"/>
        <v>1052.7002401598836</v>
      </c>
      <c r="L24" s="63">
        <f t="shared" si="12"/>
        <v>-6097.607250621103</v>
      </c>
      <c r="M24" s="65">
        <f t="shared" si="0"/>
        <v>233282.7420104382</v>
      </c>
      <c r="O24" s="14">
        <f>O23+1</f>
        <v>18</v>
      </c>
      <c r="P24" s="54">
        <f t="shared" si="14"/>
        <v>6750</v>
      </c>
      <c r="Q24" s="63">
        <f t="shared" si="15"/>
        <v>21393.937673894405</v>
      </c>
      <c r="R24" s="77">
        <f t="shared" si="2"/>
        <v>-6097.607250621103</v>
      </c>
      <c r="S24" s="63">
        <f t="shared" si="16"/>
        <v>-3309.5833333333335</v>
      </c>
      <c r="T24" s="63"/>
      <c r="U24" s="63">
        <f t="shared" si="17"/>
        <v>-1069.6968836947203</v>
      </c>
      <c r="V24" s="77">
        <f t="shared" si="20"/>
        <v>-447.43020833333338</v>
      </c>
      <c r="W24" s="83">
        <f t="shared" si="4"/>
        <v>10469.619997911916</v>
      </c>
      <c r="X24" s="85">
        <f t="shared" si="18"/>
        <v>186846.42089991449</v>
      </c>
      <c r="Z24" s="92">
        <f t="shared" si="19"/>
        <v>214766.5</v>
      </c>
      <c r="AA24" s="5">
        <f t="shared" si="5"/>
        <v>0</v>
      </c>
      <c r="AB24" s="92">
        <f t="shared" si="6"/>
        <v>214766.5</v>
      </c>
      <c r="AD24" s="133">
        <f t="shared" si="7"/>
        <v>-59572.500000000015</v>
      </c>
      <c r="AE24" s="3">
        <f t="shared" si="8"/>
        <v>1</v>
      </c>
    </row>
    <row r="25" spans="1:31" ht="32.25" customHeight="1" thickBot="1" x14ac:dyDescent="0.5">
      <c r="A25" s="664" t="s">
        <v>21</v>
      </c>
      <c r="B25" s="665"/>
      <c r="C25" s="665"/>
      <c r="D25" s="665"/>
      <c r="E25" s="665"/>
      <c r="F25" s="665"/>
      <c r="G25" s="666"/>
      <c r="H25" s="11"/>
      <c r="I25" s="14">
        <f t="shared" si="10"/>
        <v>19</v>
      </c>
      <c r="J25" s="63">
        <f t="shared" si="11"/>
        <v>233282.7420104382</v>
      </c>
      <c r="K25" s="63">
        <f t="shared" si="1"/>
        <v>1030.4167374134981</v>
      </c>
      <c r="L25" s="63">
        <f t="shared" si="12"/>
        <v>-6097.607250621103</v>
      </c>
      <c r="M25" s="65">
        <f t="shared" si="0"/>
        <v>228215.5514972306</v>
      </c>
      <c r="O25" s="14">
        <f t="shared" si="13"/>
        <v>19</v>
      </c>
      <c r="P25" s="54">
        <f t="shared" si="14"/>
        <v>7125</v>
      </c>
      <c r="Q25" s="63">
        <f t="shared" si="15"/>
        <v>21393.937673894405</v>
      </c>
      <c r="R25" s="77">
        <f t="shared" si="2"/>
        <v>-6097.607250621103</v>
      </c>
      <c r="S25" s="63">
        <f t="shared" si="16"/>
        <v>-3309.5833333333335</v>
      </c>
      <c r="T25" s="63"/>
      <c r="U25" s="63">
        <f t="shared" si="17"/>
        <v>-1069.6968836947203</v>
      </c>
      <c r="V25" s="77">
        <f t="shared" si="20"/>
        <v>-436.92864583333335</v>
      </c>
      <c r="W25" s="83">
        <f t="shared" si="4"/>
        <v>10480.121560411915</v>
      </c>
      <c r="X25" s="85">
        <f t="shared" si="18"/>
        <v>197326.5424603264</v>
      </c>
      <c r="Z25" s="92">
        <f t="shared" si="19"/>
        <v>209725.75</v>
      </c>
      <c r="AA25" s="5">
        <f t="shared" si="5"/>
        <v>0</v>
      </c>
      <c r="AB25" s="92">
        <f t="shared" si="6"/>
        <v>209725.75</v>
      </c>
      <c r="AD25" s="133">
        <f t="shared" si="7"/>
        <v>-62882.08333333335</v>
      </c>
      <c r="AE25" s="3">
        <f t="shared" si="8"/>
        <v>1</v>
      </c>
    </row>
    <row r="26" spans="1:31" ht="28.9" thickBot="1" x14ac:dyDescent="0.5">
      <c r="A26" s="26" t="s">
        <v>0</v>
      </c>
      <c r="B26" s="27" t="s">
        <v>1</v>
      </c>
      <c r="C26" s="43" t="s">
        <v>22</v>
      </c>
      <c r="D26" s="43" t="s">
        <v>10</v>
      </c>
      <c r="E26" s="43" t="s">
        <v>23</v>
      </c>
      <c r="F26" s="43" t="s">
        <v>24</v>
      </c>
      <c r="G26" s="44" t="s">
        <v>25</v>
      </c>
      <c r="H26" s="11"/>
      <c r="I26" s="14">
        <f t="shared" si="10"/>
        <v>20</v>
      </c>
      <c r="J26" s="63">
        <f t="shared" si="11"/>
        <v>228215.5514972306</v>
      </c>
      <c r="K26" s="63">
        <f t="shared" si="1"/>
        <v>1008.0348077796359</v>
      </c>
      <c r="L26" s="63">
        <f t="shared" si="12"/>
        <v>-6097.607250621103</v>
      </c>
      <c r="M26" s="65">
        <f t="shared" si="0"/>
        <v>223125.97905438911</v>
      </c>
      <c r="O26" s="14">
        <f t="shared" si="13"/>
        <v>20</v>
      </c>
      <c r="P26" s="54">
        <f t="shared" si="14"/>
        <v>7500</v>
      </c>
      <c r="Q26" s="63">
        <f t="shared" si="15"/>
        <v>21393.937673894405</v>
      </c>
      <c r="R26" s="77">
        <f t="shared" si="2"/>
        <v>-6097.607250621103</v>
      </c>
      <c r="S26" s="63">
        <f t="shared" si="16"/>
        <v>-3309.5833333333335</v>
      </c>
      <c r="T26" s="63"/>
      <c r="U26" s="63">
        <f t="shared" si="17"/>
        <v>-1069.6968836947203</v>
      </c>
      <c r="V26" s="77">
        <f t="shared" si="20"/>
        <v>-426.42708333333331</v>
      </c>
      <c r="W26" s="83">
        <f t="shared" si="4"/>
        <v>10490.623122911915</v>
      </c>
      <c r="X26" s="85">
        <f t="shared" si="18"/>
        <v>207817.1655832383</v>
      </c>
      <c r="Z26" s="92">
        <f t="shared" si="19"/>
        <v>204685</v>
      </c>
      <c r="AA26" s="5">
        <f t="shared" si="5"/>
        <v>0</v>
      </c>
      <c r="AB26" s="92">
        <f t="shared" si="6"/>
        <v>204685</v>
      </c>
      <c r="AD26" s="133">
        <f t="shared" si="7"/>
        <v>-66191.666666666686</v>
      </c>
      <c r="AE26" s="3">
        <f t="shared" si="8"/>
        <v>1</v>
      </c>
    </row>
    <row r="27" spans="1:31" x14ac:dyDescent="0.45">
      <c r="A27" s="8">
        <v>1</v>
      </c>
      <c r="B27" s="9" t="s">
        <v>16</v>
      </c>
      <c r="C27" s="48">
        <v>1</v>
      </c>
      <c r="D27" s="153">
        <f>+F7</f>
        <v>305500</v>
      </c>
      <c r="E27" s="342">
        <f>+'Summary Equip'!AE17</f>
        <v>0.5</v>
      </c>
      <c r="F27" s="62">
        <f>E27*D27</f>
        <v>152750</v>
      </c>
      <c r="G27" s="60">
        <f>D27-F27</f>
        <v>152750</v>
      </c>
      <c r="H27" s="11"/>
      <c r="I27" s="14">
        <f t="shared" si="10"/>
        <v>21</v>
      </c>
      <c r="J27" s="63">
        <f t="shared" si="11"/>
        <v>223125.97905438911</v>
      </c>
      <c r="K27" s="63">
        <f t="shared" si="1"/>
        <v>985.55401650383862</v>
      </c>
      <c r="L27" s="63">
        <f t="shared" si="12"/>
        <v>-6097.607250621103</v>
      </c>
      <c r="M27" s="65">
        <f t="shared" si="0"/>
        <v>218013.92582027183</v>
      </c>
      <c r="O27" s="14">
        <f t="shared" si="13"/>
        <v>21</v>
      </c>
      <c r="P27" s="54">
        <f t="shared" si="14"/>
        <v>7875</v>
      </c>
      <c r="Q27" s="63">
        <f t="shared" si="15"/>
        <v>21393.937673894405</v>
      </c>
      <c r="R27" s="77">
        <f t="shared" si="2"/>
        <v>-6097.607250621103</v>
      </c>
      <c r="S27" s="63">
        <f t="shared" si="16"/>
        <v>-3309.5833333333335</v>
      </c>
      <c r="T27" s="63"/>
      <c r="U27" s="63">
        <f t="shared" si="17"/>
        <v>-1069.6968836947203</v>
      </c>
      <c r="V27" s="77">
        <f t="shared" si="20"/>
        <v>-415.92552083333339</v>
      </c>
      <c r="W27" s="83">
        <f t="shared" si="4"/>
        <v>10501.124685411916</v>
      </c>
      <c r="X27" s="85">
        <f t="shared" si="18"/>
        <v>218318.29026865022</v>
      </c>
      <c r="Z27" s="92">
        <f t="shared" si="19"/>
        <v>199644.25</v>
      </c>
      <c r="AA27" s="5">
        <f t="shared" si="5"/>
        <v>0</v>
      </c>
      <c r="AB27" s="92">
        <f t="shared" si="6"/>
        <v>199644.25</v>
      </c>
      <c r="AD27" s="133">
        <f t="shared" si="7"/>
        <v>-69501.250000000015</v>
      </c>
      <c r="AE27" s="3">
        <f t="shared" si="8"/>
        <v>1</v>
      </c>
    </row>
    <row r="28" spans="1:31" x14ac:dyDescent="0.45">
      <c r="A28" s="4">
        <f>A27+1</f>
        <v>2</v>
      </c>
      <c r="B28" s="5" t="s">
        <v>12</v>
      </c>
      <c r="C28" s="19">
        <f>C11</f>
        <v>0.01</v>
      </c>
      <c r="D28" s="300">
        <f>-C28*D27</f>
        <v>-3055</v>
      </c>
      <c r="E28" s="23">
        <f>E27</f>
        <v>0.5</v>
      </c>
      <c r="F28" s="63">
        <f t="shared" ref="F28:F33" si="22">E28*D28</f>
        <v>-1527.5</v>
      </c>
      <c r="G28" s="65">
        <f>D28-F28</f>
        <v>-1527.5</v>
      </c>
      <c r="H28" s="11"/>
      <c r="I28" s="14">
        <f t="shared" si="10"/>
        <v>22</v>
      </c>
      <c r="J28" s="63">
        <f t="shared" si="11"/>
        <v>218013.92582027183</v>
      </c>
      <c r="K28" s="63">
        <f t="shared" si="1"/>
        <v>962.9739269113237</v>
      </c>
      <c r="L28" s="63">
        <f t="shared" si="12"/>
        <v>-6097.607250621103</v>
      </c>
      <c r="M28" s="65">
        <f t="shared" si="0"/>
        <v>212879.29249656206</v>
      </c>
      <c r="O28" s="14">
        <f t="shared" si="13"/>
        <v>22</v>
      </c>
      <c r="P28" s="54">
        <f t="shared" si="14"/>
        <v>8250</v>
      </c>
      <c r="Q28" s="63">
        <f t="shared" si="15"/>
        <v>21393.937673894405</v>
      </c>
      <c r="R28" s="77">
        <f t="shared" si="2"/>
        <v>-6097.607250621103</v>
      </c>
      <c r="S28" s="63">
        <f t="shared" si="16"/>
        <v>-3309.5833333333335</v>
      </c>
      <c r="T28" s="63"/>
      <c r="U28" s="63">
        <f t="shared" si="17"/>
        <v>-1069.6968836947203</v>
      </c>
      <c r="V28" s="77">
        <f t="shared" si="20"/>
        <v>-405.42395833333336</v>
      </c>
      <c r="W28" s="83">
        <f t="shared" si="4"/>
        <v>10511.626247911916</v>
      </c>
      <c r="X28" s="85">
        <f t="shared" si="18"/>
        <v>228829.91651656214</v>
      </c>
      <c r="Z28" s="92">
        <f t="shared" si="19"/>
        <v>194603.5</v>
      </c>
      <c r="AA28" s="5">
        <f t="shared" si="5"/>
        <v>0</v>
      </c>
      <c r="AB28" s="92">
        <f t="shared" si="6"/>
        <v>194603.5</v>
      </c>
      <c r="AD28" s="133">
        <f t="shared" si="7"/>
        <v>-72810.833333333343</v>
      </c>
      <c r="AE28" s="3">
        <f t="shared" si="8"/>
        <v>1</v>
      </c>
    </row>
    <row r="29" spans="1:31" x14ac:dyDescent="0.45">
      <c r="A29" s="4">
        <f t="shared" ref="A29:A34" si="23">A28+1</f>
        <v>3</v>
      </c>
      <c r="B29" s="5" t="s">
        <v>17</v>
      </c>
      <c r="C29" s="24">
        <f>C8</f>
        <v>5.2999999999999999E-2</v>
      </c>
      <c r="D29" s="63">
        <f>K67</f>
        <v>43027.409911981034</v>
      </c>
      <c r="E29" s="23">
        <v>1</v>
      </c>
      <c r="F29" s="63">
        <f t="shared" si="22"/>
        <v>43027.409911981034</v>
      </c>
      <c r="G29" s="65">
        <f>D29-F29</f>
        <v>0</v>
      </c>
      <c r="H29" s="11"/>
      <c r="I29" s="14">
        <f t="shared" si="10"/>
        <v>23</v>
      </c>
      <c r="J29" s="63">
        <f t="shared" si="11"/>
        <v>212879.29249656206</v>
      </c>
      <c r="K29" s="63">
        <f t="shared" si="1"/>
        <v>940.2941003985037</v>
      </c>
      <c r="L29" s="63">
        <f t="shared" si="12"/>
        <v>-6097.607250621103</v>
      </c>
      <c r="M29" s="65">
        <f t="shared" si="0"/>
        <v>207721.97934633947</v>
      </c>
      <c r="O29" s="14">
        <f t="shared" si="13"/>
        <v>23</v>
      </c>
      <c r="P29" s="54">
        <f t="shared" si="14"/>
        <v>8625</v>
      </c>
      <c r="Q29" s="63">
        <f t="shared" si="15"/>
        <v>21393.937673894405</v>
      </c>
      <c r="R29" s="77">
        <f t="shared" si="2"/>
        <v>-6097.607250621103</v>
      </c>
      <c r="S29" s="63">
        <f t="shared" si="16"/>
        <v>-3309.5833333333335</v>
      </c>
      <c r="T29" s="63"/>
      <c r="U29" s="63">
        <f t="shared" si="17"/>
        <v>-1069.6968836947203</v>
      </c>
      <c r="V29" s="77">
        <f t="shared" si="20"/>
        <v>-394.92239583333338</v>
      </c>
      <c r="W29" s="83">
        <f t="shared" si="4"/>
        <v>10522.127810411916</v>
      </c>
      <c r="X29" s="85">
        <f t="shared" si="18"/>
        <v>239352.04432697405</v>
      </c>
      <c r="Z29" s="92">
        <f t="shared" si="19"/>
        <v>189562.75</v>
      </c>
      <c r="AA29" s="5">
        <f t="shared" si="5"/>
        <v>0</v>
      </c>
      <c r="AB29" s="92">
        <f t="shared" si="6"/>
        <v>189562.75</v>
      </c>
      <c r="AD29" s="133">
        <f t="shared" si="7"/>
        <v>-76120.416666666672</v>
      </c>
      <c r="AE29" s="3">
        <f t="shared" si="8"/>
        <v>1</v>
      </c>
    </row>
    <row r="30" spans="1:31" x14ac:dyDescent="0.45">
      <c r="A30" s="4">
        <f t="shared" si="23"/>
        <v>4</v>
      </c>
      <c r="B30" s="5" t="s">
        <v>6</v>
      </c>
      <c r="C30" s="23">
        <f>C9</f>
        <v>2.5000000000000001E-2</v>
      </c>
      <c r="D30" s="63">
        <f>-V67</f>
        <v>18200.162500000002</v>
      </c>
      <c r="E30" s="23">
        <v>1</v>
      </c>
      <c r="F30" s="63">
        <f t="shared" si="22"/>
        <v>18200.162500000002</v>
      </c>
      <c r="G30" s="65">
        <f>D30-F30</f>
        <v>0</v>
      </c>
      <c r="H30" s="11"/>
      <c r="I30" s="14">
        <f t="shared" si="10"/>
        <v>24</v>
      </c>
      <c r="J30" s="63">
        <f t="shared" si="11"/>
        <v>207721.97934633947</v>
      </c>
      <c r="K30" s="63">
        <f t="shared" si="1"/>
        <v>917.51409642446663</v>
      </c>
      <c r="L30" s="63">
        <f t="shared" si="12"/>
        <v>-6097.607250621103</v>
      </c>
      <c r="M30" s="65">
        <f t="shared" si="0"/>
        <v>202541.88619214285</v>
      </c>
      <c r="O30" s="14">
        <f t="shared" si="13"/>
        <v>24</v>
      </c>
      <c r="P30" s="54">
        <f t="shared" si="14"/>
        <v>9000</v>
      </c>
      <c r="Q30" s="63">
        <f t="shared" si="15"/>
        <v>21393.937673894405</v>
      </c>
      <c r="R30" s="77">
        <f t="shared" si="2"/>
        <v>-6097.607250621103</v>
      </c>
      <c r="S30" s="63">
        <f t="shared" si="16"/>
        <v>-3309.5833333333335</v>
      </c>
      <c r="T30" s="63"/>
      <c r="U30" s="63">
        <f t="shared" si="17"/>
        <v>-1069.6968836947203</v>
      </c>
      <c r="V30" s="77">
        <f t="shared" si="20"/>
        <v>-384.42083333333335</v>
      </c>
      <c r="W30" s="83">
        <f t="shared" si="4"/>
        <v>10532.629372911915</v>
      </c>
      <c r="X30" s="85">
        <f t="shared" si="18"/>
        <v>249884.67369988596</v>
      </c>
      <c r="Z30" s="92">
        <f t="shared" si="19"/>
        <v>184522</v>
      </c>
      <c r="AA30" s="5">
        <f t="shared" si="5"/>
        <v>0</v>
      </c>
      <c r="AB30" s="92">
        <f t="shared" si="6"/>
        <v>184522</v>
      </c>
      <c r="AD30" s="133">
        <f t="shared" si="7"/>
        <v>-79430</v>
      </c>
      <c r="AE30" s="3">
        <f t="shared" si="8"/>
        <v>1</v>
      </c>
    </row>
    <row r="31" spans="1:31" x14ac:dyDescent="0.45">
      <c r="A31" s="4">
        <f t="shared" si="23"/>
        <v>5</v>
      </c>
      <c r="B31" s="5" t="s">
        <v>27</v>
      </c>
      <c r="C31" s="334">
        <f>+'Summary Equip'!AH17</f>
        <v>0.65</v>
      </c>
      <c r="D31" s="63">
        <f>D27*C31</f>
        <v>198575</v>
      </c>
      <c r="E31" s="514">
        <v>0</v>
      </c>
      <c r="F31" s="63">
        <f t="shared" si="22"/>
        <v>0</v>
      </c>
      <c r="G31" s="65">
        <f>D31</f>
        <v>198575</v>
      </c>
      <c r="H31" s="11"/>
      <c r="I31" s="14">
        <f t="shared" si="10"/>
        <v>25</v>
      </c>
      <c r="J31" s="63">
        <f t="shared" si="11"/>
        <v>202541.88619214285</v>
      </c>
      <c r="K31" s="63">
        <f t="shared" si="1"/>
        <v>894.63347250241725</v>
      </c>
      <c r="L31" s="63">
        <f t="shared" si="12"/>
        <v>-6097.607250621103</v>
      </c>
      <c r="M31" s="65">
        <f t="shared" si="0"/>
        <v>197338.91241402415</v>
      </c>
      <c r="O31" s="14">
        <f t="shared" si="13"/>
        <v>25</v>
      </c>
      <c r="P31" s="54">
        <f t="shared" si="14"/>
        <v>9375</v>
      </c>
      <c r="Q31" s="63">
        <f t="shared" si="15"/>
        <v>21393.937673894405</v>
      </c>
      <c r="R31" s="77">
        <f t="shared" si="2"/>
        <v>-6097.607250621103</v>
      </c>
      <c r="S31" s="63">
        <f t="shared" si="16"/>
        <v>-3309.5833333333335</v>
      </c>
      <c r="T31" s="63"/>
      <c r="U31" s="63">
        <f t="shared" si="17"/>
        <v>-1069.6968836947203</v>
      </c>
      <c r="V31" s="77">
        <f t="shared" si="20"/>
        <v>-373.91927083333331</v>
      </c>
      <c r="W31" s="83">
        <f t="shared" si="4"/>
        <v>10543.130935411915</v>
      </c>
      <c r="X31" s="85">
        <f t="shared" si="18"/>
        <v>260427.80463529786</v>
      </c>
      <c r="Z31" s="92">
        <f t="shared" si="19"/>
        <v>179481.25</v>
      </c>
      <c r="AA31" s="5">
        <f t="shared" si="5"/>
        <v>0</v>
      </c>
      <c r="AB31" s="92">
        <f t="shared" si="6"/>
        <v>179481.25</v>
      </c>
      <c r="AD31" s="133">
        <f t="shared" si="7"/>
        <v>-82739.583333333328</v>
      </c>
      <c r="AE31" s="3">
        <f t="shared" si="8"/>
        <v>1</v>
      </c>
    </row>
    <row r="32" spans="1:31" x14ac:dyDescent="0.45">
      <c r="A32" s="4">
        <f t="shared" si="23"/>
        <v>6</v>
      </c>
      <c r="B32" s="5" t="s">
        <v>26</v>
      </c>
      <c r="C32" s="335">
        <f>+'Summary Equip'!AI17</f>
        <v>0.25</v>
      </c>
      <c r="D32" s="63">
        <f>D27*C32</f>
        <v>76375</v>
      </c>
      <c r="E32" s="514">
        <v>0</v>
      </c>
      <c r="F32" s="63">
        <f t="shared" si="22"/>
        <v>0</v>
      </c>
      <c r="G32" s="65">
        <f>D32</f>
        <v>76375</v>
      </c>
      <c r="H32" s="11"/>
      <c r="I32" s="14">
        <f t="shared" si="10"/>
        <v>26</v>
      </c>
      <c r="J32" s="63">
        <f t="shared" si="11"/>
        <v>197338.91241402415</v>
      </c>
      <c r="K32" s="63">
        <f t="shared" si="1"/>
        <v>871.65178419108406</v>
      </c>
      <c r="L32" s="63">
        <f t="shared" si="12"/>
        <v>-6097.607250621103</v>
      </c>
      <c r="M32" s="65">
        <f t="shared" si="0"/>
        <v>192112.95694759412</v>
      </c>
      <c r="O32" s="14">
        <f t="shared" si="13"/>
        <v>26</v>
      </c>
      <c r="P32" s="54">
        <f t="shared" si="14"/>
        <v>9750</v>
      </c>
      <c r="Q32" s="63">
        <f t="shared" si="15"/>
        <v>21393.937673894405</v>
      </c>
      <c r="R32" s="77">
        <f t="shared" si="2"/>
        <v>-6097.607250621103</v>
      </c>
      <c r="S32" s="63">
        <f t="shared" si="16"/>
        <v>-3309.5833333333335</v>
      </c>
      <c r="T32" s="63"/>
      <c r="U32" s="63">
        <f t="shared" si="17"/>
        <v>-1069.6968836947203</v>
      </c>
      <c r="V32" s="77">
        <f t="shared" si="20"/>
        <v>-363.41770833333334</v>
      </c>
      <c r="W32" s="83">
        <f t="shared" si="4"/>
        <v>10553.632497911916</v>
      </c>
      <c r="X32" s="85">
        <f t="shared" si="18"/>
        <v>270981.43713320978</v>
      </c>
      <c r="Z32" s="92">
        <f t="shared" si="19"/>
        <v>174440.5</v>
      </c>
      <c r="AA32" s="5">
        <f t="shared" si="5"/>
        <v>0</v>
      </c>
      <c r="AB32" s="92">
        <f t="shared" si="6"/>
        <v>174440.5</v>
      </c>
      <c r="AD32" s="133">
        <f t="shared" si="7"/>
        <v>-86049.166666666657</v>
      </c>
      <c r="AE32" s="3">
        <f t="shared" si="8"/>
        <v>1</v>
      </c>
    </row>
    <row r="33" spans="1:31" ht="14.65" thickBot="1" x14ac:dyDescent="0.5">
      <c r="A33" s="6">
        <f t="shared" si="23"/>
        <v>7</v>
      </c>
      <c r="B33" s="7" t="s">
        <v>32</v>
      </c>
      <c r="C33" s="336">
        <f>+'Summary Equip'!AJ17</f>
        <v>7.0000000000000007E-2</v>
      </c>
      <c r="D33" s="64">
        <f>D27*C33</f>
        <v>21385.000000000004</v>
      </c>
      <c r="E33" s="334">
        <f>+ASSUMPTIONS!B45</f>
        <v>0</v>
      </c>
      <c r="F33" s="64">
        <f t="shared" si="22"/>
        <v>0</v>
      </c>
      <c r="G33" s="66">
        <f>D33</f>
        <v>21385.000000000004</v>
      </c>
      <c r="H33" s="11"/>
      <c r="I33" s="14">
        <f t="shared" si="10"/>
        <v>27</v>
      </c>
      <c r="J33" s="63">
        <f t="shared" si="11"/>
        <v>192112.95694759412</v>
      </c>
      <c r="K33" s="63">
        <f t="shared" si="1"/>
        <v>848.56858508608491</v>
      </c>
      <c r="L33" s="63">
        <f t="shared" si="12"/>
        <v>-6097.607250621103</v>
      </c>
      <c r="M33" s="65">
        <f t="shared" si="0"/>
        <v>186863.91828205911</v>
      </c>
      <c r="O33" s="14">
        <f t="shared" si="13"/>
        <v>27</v>
      </c>
      <c r="P33" s="54">
        <f t="shared" si="14"/>
        <v>10125</v>
      </c>
      <c r="Q33" s="63">
        <f t="shared" si="15"/>
        <v>21393.937673894405</v>
      </c>
      <c r="R33" s="77">
        <f t="shared" si="2"/>
        <v>-6097.607250621103</v>
      </c>
      <c r="S33" s="63">
        <f t="shared" si="16"/>
        <v>-3309.5833333333335</v>
      </c>
      <c r="T33" s="63"/>
      <c r="U33" s="63">
        <f t="shared" si="17"/>
        <v>-1069.6968836947203</v>
      </c>
      <c r="V33" s="77">
        <f t="shared" si="20"/>
        <v>-352.91614583333336</v>
      </c>
      <c r="W33" s="83">
        <f t="shared" si="4"/>
        <v>10564.134060411916</v>
      </c>
      <c r="X33" s="85">
        <f t="shared" si="18"/>
        <v>281545.57119362167</v>
      </c>
      <c r="Z33" s="92">
        <f t="shared" si="19"/>
        <v>169399.75</v>
      </c>
      <c r="AA33" s="5">
        <f t="shared" si="5"/>
        <v>0</v>
      </c>
      <c r="AB33" s="92">
        <f t="shared" si="6"/>
        <v>169399.75</v>
      </c>
      <c r="AD33" s="133">
        <f t="shared" si="7"/>
        <v>-89358.749999999985</v>
      </c>
      <c r="AE33" s="3">
        <f t="shared" si="8"/>
        <v>1</v>
      </c>
    </row>
    <row r="34" spans="1:31" ht="14.65" thickBot="1" x14ac:dyDescent="0.5">
      <c r="A34" s="33">
        <f t="shared" si="23"/>
        <v>8</v>
      </c>
      <c r="B34" s="30" t="s">
        <v>8</v>
      </c>
      <c r="C34" s="45"/>
      <c r="D34" s="46"/>
      <c r="E34" s="47"/>
      <c r="F34" s="67">
        <f>SUM(F27:F33)</f>
        <v>212450.07241198103</v>
      </c>
      <c r="G34" s="68">
        <f>SUM(G27:G33)</f>
        <v>447557.5</v>
      </c>
      <c r="H34" s="11"/>
      <c r="I34" s="14">
        <f t="shared" si="10"/>
        <v>28</v>
      </c>
      <c r="J34" s="63">
        <f t="shared" si="11"/>
        <v>186863.91828205911</v>
      </c>
      <c r="K34" s="63">
        <f t="shared" si="1"/>
        <v>825.38342681125698</v>
      </c>
      <c r="L34" s="63">
        <f t="shared" si="12"/>
        <v>-6097.607250621103</v>
      </c>
      <c r="M34" s="65">
        <f t="shared" si="0"/>
        <v>181591.69445824926</v>
      </c>
      <c r="O34" s="14">
        <f t="shared" si="13"/>
        <v>28</v>
      </c>
      <c r="P34" s="54">
        <f t="shared" si="14"/>
        <v>10500</v>
      </c>
      <c r="Q34" s="63">
        <f t="shared" si="15"/>
        <v>21393.937673894405</v>
      </c>
      <c r="R34" s="77">
        <f t="shared" si="2"/>
        <v>-6097.607250621103</v>
      </c>
      <c r="S34" s="63">
        <f t="shared" si="16"/>
        <v>-3309.5833333333335</v>
      </c>
      <c r="T34" s="63"/>
      <c r="U34" s="63">
        <f t="shared" si="17"/>
        <v>-1069.6968836947203</v>
      </c>
      <c r="V34" s="77">
        <f t="shared" si="20"/>
        <v>-342.41458333333338</v>
      </c>
      <c r="W34" s="83">
        <f t="shared" si="4"/>
        <v>10574.635622911916</v>
      </c>
      <c r="X34" s="85">
        <f t="shared" si="18"/>
        <v>292120.20681653358</v>
      </c>
      <c r="Z34" s="92">
        <f t="shared" si="19"/>
        <v>164359</v>
      </c>
      <c r="AA34" s="5">
        <f t="shared" si="5"/>
        <v>0</v>
      </c>
      <c r="AB34" s="92">
        <f t="shared" si="6"/>
        <v>164359</v>
      </c>
      <c r="AD34" s="133">
        <f t="shared" si="7"/>
        <v>-92668.333333333314</v>
      </c>
      <c r="AE34" s="3">
        <f t="shared" si="8"/>
        <v>1</v>
      </c>
    </row>
    <row r="35" spans="1:31" ht="14.65" thickBot="1" x14ac:dyDescent="0.5">
      <c r="A35" s="31">
        <f>A34+1</f>
        <v>9</v>
      </c>
      <c r="B35" s="32" t="s">
        <v>7</v>
      </c>
      <c r="C35" s="42">
        <f>+C10</f>
        <v>0.05</v>
      </c>
      <c r="D35" s="22"/>
      <c r="E35" s="34"/>
      <c r="F35" s="69">
        <f>F36-F34</f>
        <v>11181.582758525328</v>
      </c>
      <c r="G35" s="70">
        <f>G36-G34</f>
        <v>23555.657894736854</v>
      </c>
      <c r="H35" s="11"/>
      <c r="I35" s="14">
        <f t="shared" si="10"/>
        <v>29</v>
      </c>
      <c r="J35" s="63">
        <f t="shared" si="11"/>
        <v>181591.69445824926</v>
      </c>
      <c r="K35" s="63">
        <f t="shared" si="1"/>
        <v>802.0958590099458</v>
      </c>
      <c r="L35" s="63">
        <f t="shared" si="12"/>
        <v>-6097.607250621103</v>
      </c>
      <c r="M35" s="65">
        <f t="shared" si="0"/>
        <v>176296.1830666381</v>
      </c>
      <c r="O35" s="14">
        <f t="shared" si="13"/>
        <v>29</v>
      </c>
      <c r="P35" s="54">
        <f t="shared" si="14"/>
        <v>10875</v>
      </c>
      <c r="Q35" s="63">
        <f t="shared" si="15"/>
        <v>21393.937673894405</v>
      </c>
      <c r="R35" s="77">
        <f t="shared" si="2"/>
        <v>-6097.607250621103</v>
      </c>
      <c r="S35" s="63">
        <f t="shared" si="16"/>
        <v>-3309.5833333333335</v>
      </c>
      <c r="T35" s="63"/>
      <c r="U35" s="63">
        <f t="shared" si="17"/>
        <v>-1069.6968836947203</v>
      </c>
      <c r="V35" s="77">
        <f t="shared" si="20"/>
        <v>-331.91302083333335</v>
      </c>
      <c r="W35" s="83">
        <f t="shared" si="4"/>
        <v>10585.137185411915</v>
      </c>
      <c r="X35" s="85">
        <f t="shared" si="18"/>
        <v>302705.34400194552</v>
      </c>
      <c r="Z35" s="92">
        <f t="shared" si="19"/>
        <v>159318.25</v>
      </c>
      <c r="AA35" s="5">
        <f t="shared" si="5"/>
        <v>0</v>
      </c>
      <c r="AB35" s="92">
        <f t="shared" si="6"/>
        <v>159318.25</v>
      </c>
      <c r="AD35" s="133">
        <f t="shared" si="7"/>
        <v>-95977.916666666642</v>
      </c>
      <c r="AE35" s="3">
        <f t="shared" si="8"/>
        <v>1</v>
      </c>
    </row>
    <row r="36" spans="1:31" ht="14.65" thickBot="1" x14ac:dyDescent="0.5">
      <c r="A36" s="37">
        <f>A35+1</f>
        <v>10</v>
      </c>
      <c r="B36" s="38" t="s">
        <v>28</v>
      </c>
      <c r="C36" s="39"/>
      <c r="D36" s="40"/>
      <c r="E36" s="41"/>
      <c r="F36" s="71">
        <f>F34/(100%-C35)</f>
        <v>223631.65517050636</v>
      </c>
      <c r="G36" s="72">
        <f>G34/(100%-C35)</f>
        <v>471113.15789473685</v>
      </c>
      <c r="H36" s="11"/>
      <c r="I36" s="14">
        <f t="shared" si="10"/>
        <v>30</v>
      </c>
      <c r="J36" s="63">
        <f t="shared" si="11"/>
        <v>176296.1830666381</v>
      </c>
      <c r="K36" s="63">
        <f t="shared" si="1"/>
        <v>778.70542933625893</v>
      </c>
      <c r="L36" s="63">
        <f t="shared" si="12"/>
        <v>-6097.607250621103</v>
      </c>
      <c r="M36" s="65">
        <f t="shared" si="0"/>
        <v>170977.28124535325</v>
      </c>
      <c r="O36" s="14">
        <f t="shared" si="13"/>
        <v>30</v>
      </c>
      <c r="P36" s="54">
        <f t="shared" si="14"/>
        <v>11250</v>
      </c>
      <c r="Q36" s="63">
        <f t="shared" si="15"/>
        <v>21393.937673894405</v>
      </c>
      <c r="R36" s="77">
        <f t="shared" si="2"/>
        <v>-6097.607250621103</v>
      </c>
      <c r="S36" s="63">
        <f t="shared" si="16"/>
        <v>-3309.5833333333335</v>
      </c>
      <c r="T36" s="63">
        <f>-T68*0.5</f>
        <v>-38187.5</v>
      </c>
      <c r="U36" s="63">
        <f t="shared" si="17"/>
        <v>-1069.6968836947203</v>
      </c>
      <c r="V36" s="77">
        <f t="shared" si="20"/>
        <v>-321.41145833333331</v>
      </c>
      <c r="W36" s="83">
        <f t="shared" si="4"/>
        <v>-27591.861252088082</v>
      </c>
      <c r="X36" s="85">
        <f t="shared" si="18"/>
        <v>275113.48274985742</v>
      </c>
      <c r="Z36" s="92">
        <f t="shared" si="19"/>
        <v>154277.5</v>
      </c>
      <c r="AA36" s="5">
        <f t="shared" si="5"/>
        <v>0</v>
      </c>
      <c r="AB36" s="92">
        <f t="shared" si="6"/>
        <v>154277.5</v>
      </c>
      <c r="AD36" s="133">
        <f t="shared" si="7"/>
        <v>-99287.499999999971</v>
      </c>
      <c r="AE36" s="3">
        <f t="shared" si="8"/>
        <v>1</v>
      </c>
    </row>
    <row r="37" spans="1:31" x14ac:dyDescent="0.45">
      <c r="C37" s="11"/>
      <c r="D37" s="11"/>
      <c r="E37" s="11"/>
      <c r="F37" s="11"/>
      <c r="G37" s="11"/>
      <c r="H37" s="11"/>
      <c r="I37" s="14">
        <f t="shared" si="10"/>
        <v>31</v>
      </c>
      <c r="J37" s="63">
        <f t="shared" si="11"/>
        <v>170977.28124535325</v>
      </c>
      <c r="K37" s="63">
        <f t="shared" si="1"/>
        <v>755.21168344627881</v>
      </c>
      <c r="L37" s="63">
        <f t="shared" si="12"/>
        <v>-6097.607250621103</v>
      </c>
      <c r="M37" s="65">
        <f t="shared" si="0"/>
        <v>165634.88567817843</v>
      </c>
      <c r="O37" s="14">
        <f t="shared" si="13"/>
        <v>31</v>
      </c>
      <c r="P37" s="54">
        <f t="shared" si="14"/>
        <v>11625</v>
      </c>
      <c r="Q37" s="63">
        <f t="shared" si="15"/>
        <v>21393.937673894405</v>
      </c>
      <c r="R37" s="77">
        <f t="shared" si="2"/>
        <v>-6097.607250621103</v>
      </c>
      <c r="S37" s="63">
        <f t="shared" si="16"/>
        <v>-3309.5833333333335</v>
      </c>
      <c r="T37" s="63"/>
      <c r="U37" s="63">
        <f t="shared" si="17"/>
        <v>-1069.6968836947203</v>
      </c>
      <c r="V37" s="77">
        <f t="shared" si="20"/>
        <v>-310.90989583333334</v>
      </c>
      <c r="W37" s="83">
        <f t="shared" si="4"/>
        <v>10606.140310411916</v>
      </c>
      <c r="X37" s="85">
        <f t="shared" si="18"/>
        <v>285719.62306026934</v>
      </c>
      <c r="Z37" s="92">
        <f t="shared" si="19"/>
        <v>149236.75</v>
      </c>
      <c r="AA37" s="5">
        <f t="shared" si="5"/>
        <v>0</v>
      </c>
      <c r="AB37" s="92">
        <f t="shared" si="6"/>
        <v>149236.75</v>
      </c>
      <c r="AD37" s="133">
        <f t="shared" si="7"/>
        <v>-102597.0833333333</v>
      </c>
      <c r="AE37" s="3">
        <f t="shared" si="8"/>
        <v>1</v>
      </c>
    </row>
    <row r="38" spans="1:31" x14ac:dyDescent="0.45">
      <c r="C38" s="11"/>
      <c r="D38" s="11"/>
      <c r="E38" s="11"/>
      <c r="F38" s="11"/>
      <c r="G38" s="11"/>
      <c r="H38" s="11"/>
      <c r="I38" s="14">
        <f t="shared" si="10"/>
        <v>32</v>
      </c>
      <c r="J38" s="63">
        <f t="shared" si="11"/>
        <v>165634.88567817843</v>
      </c>
      <c r="K38" s="63">
        <f t="shared" si="1"/>
        <v>731.614164989237</v>
      </c>
      <c r="L38" s="63">
        <f t="shared" si="12"/>
        <v>-6097.607250621103</v>
      </c>
      <c r="M38" s="65">
        <f t="shared" si="0"/>
        <v>160268.89259254656</v>
      </c>
      <c r="O38" s="14">
        <f t="shared" si="13"/>
        <v>32</v>
      </c>
      <c r="P38" s="54">
        <f t="shared" si="14"/>
        <v>12000</v>
      </c>
      <c r="Q38" s="63">
        <f t="shared" si="15"/>
        <v>21393.937673894405</v>
      </c>
      <c r="R38" s="77">
        <f t="shared" si="2"/>
        <v>-6097.607250621103</v>
      </c>
      <c r="S38" s="63">
        <f t="shared" si="16"/>
        <v>-3309.5833333333335</v>
      </c>
      <c r="T38" s="63"/>
      <c r="U38" s="63">
        <f t="shared" si="17"/>
        <v>-1069.6968836947203</v>
      </c>
      <c r="V38" s="77">
        <f t="shared" si="20"/>
        <v>-300.40833333333336</v>
      </c>
      <c r="W38" s="83">
        <f t="shared" si="4"/>
        <v>10616.641872911916</v>
      </c>
      <c r="X38" s="85">
        <f t="shared" si="18"/>
        <v>296336.26493318123</v>
      </c>
      <c r="Z38" s="92">
        <f t="shared" si="19"/>
        <v>144196</v>
      </c>
      <c r="AA38" s="5">
        <f t="shared" si="5"/>
        <v>0</v>
      </c>
      <c r="AB38" s="92">
        <f t="shared" si="6"/>
        <v>144196</v>
      </c>
      <c r="AD38" s="133">
        <f t="shared" si="7"/>
        <v>-105906.66666666663</v>
      </c>
      <c r="AE38" s="3">
        <f t="shared" si="8"/>
        <v>1</v>
      </c>
    </row>
    <row r="39" spans="1:31" x14ac:dyDescent="0.45">
      <c r="C39" s="11"/>
      <c r="D39" s="11"/>
      <c r="E39" s="11"/>
      <c r="F39" s="11"/>
      <c r="G39" s="11"/>
      <c r="H39" s="11"/>
      <c r="I39" s="14">
        <f t="shared" si="10"/>
        <v>33</v>
      </c>
      <c r="J39" s="63">
        <f t="shared" si="11"/>
        <v>160268.89259254656</v>
      </c>
      <c r="K39" s="63">
        <f t="shared" si="1"/>
        <v>707.91241559865091</v>
      </c>
      <c r="L39" s="63">
        <f t="shared" si="12"/>
        <v>-6097.607250621103</v>
      </c>
      <c r="M39" s="65">
        <f t="shared" si="0"/>
        <v>154879.19775752412</v>
      </c>
      <c r="O39" s="14">
        <f t="shared" si="13"/>
        <v>33</v>
      </c>
      <c r="P39" s="54">
        <f t="shared" si="14"/>
        <v>12375</v>
      </c>
      <c r="Q39" s="63">
        <f t="shared" si="15"/>
        <v>21393.937673894405</v>
      </c>
      <c r="R39" s="77">
        <f t="shared" si="2"/>
        <v>-6097.607250621103</v>
      </c>
      <c r="S39" s="63">
        <f t="shared" si="16"/>
        <v>-3309.5833333333335</v>
      </c>
      <c r="T39" s="63"/>
      <c r="U39" s="63">
        <f t="shared" si="17"/>
        <v>-1069.6968836947203</v>
      </c>
      <c r="V39" s="77">
        <f t="shared" si="20"/>
        <v>-289.90677083333338</v>
      </c>
      <c r="W39" s="83">
        <f t="shared" si="4"/>
        <v>10627.143435411916</v>
      </c>
      <c r="X39" s="85">
        <f t="shared" si="18"/>
        <v>306963.40836859314</v>
      </c>
      <c r="Z39" s="92">
        <f t="shared" si="19"/>
        <v>139155.25</v>
      </c>
      <c r="AA39" s="5">
        <f t="shared" si="5"/>
        <v>0</v>
      </c>
      <c r="AB39" s="92">
        <f t="shared" si="6"/>
        <v>139155.25</v>
      </c>
      <c r="AD39" s="133">
        <f t="shared" si="7"/>
        <v>-109216.24999999996</v>
      </c>
      <c r="AE39" s="3">
        <f t="shared" si="8"/>
        <v>1</v>
      </c>
    </row>
    <row r="40" spans="1:31" ht="14.65" thickBot="1" x14ac:dyDescent="0.5">
      <c r="C40" s="11"/>
      <c r="D40" s="11"/>
      <c r="E40" s="11"/>
      <c r="F40" s="11"/>
      <c r="G40" s="11"/>
      <c r="H40" s="11"/>
      <c r="I40" s="14">
        <f t="shared" si="10"/>
        <v>34</v>
      </c>
      <c r="J40" s="63">
        <f t="shared" si="11"/>
        <v>154879.19775752412</v>
      </c>
      <c r="K40" s="63">
        <f t="shared" si="1"/>
        <v>684.10597488341909</v>
      </c>
      <c r="L40" s="63">
        <f t="shared" si="12"/>
        <v>-6097.607250621103</v>
      </c>
      <c r="M40" s="65">
        <f t="shared" si="0"/>
        <v>149465.69648178644</v>
      </c>
      <c r="O40" s="14">
        <f t="shared" si="13"/>
        <v>34</v>
      </c>
      <c r="P40" s="54">
        <f t="shared" si="14"/>
        <v>12750</v>
      </c>
      <c r="Q40" s="63">
        <f t="shared" si="15"/>
        <v>21393.937673894405</v>
      </c>
      <c r="R40" s="77">
        <f t="shared" si="2"/>
        <v>-6097.607250621103</v>
      </c>
      <c r="S40" s="63">
        <f t="shared" si="16"/>
        <v>-3309.5833333333335</v>
      </c>
      <c r="T40" s="63"/>
      <c r="U40" s="63">
        <f t="shared" si="17"/>
        <v>-1069.6968836947203</v>
      </c>
      <c r="V40" s="77">
        <f t="shared" si="20"/>
        <v>-279.40520833333335</v>
      </c>
      <c r="W40" s="83">
        <f t="shared" si="4"/>
        <v>10637.644997911915</v>
      </c>
      <c r="X40" s="85">
        <f t="shared" si="18"/>
        <v>317601.05336650508</v>
      </c>
      <c r="Z40" s="92">
        <f t="shared" si="19"/>
        <v>134114.5</v>
      </c>
      <c r="AA40" s="5">
        <f t="shared" si="5"/>
        <v>0</v>
      </c>
      <c r="AB40" s="92">
        <f t="shared" si="6"/>
        <v>134114.5</v>
      </c>
      <c r="AD40" s="133">
        <f t="shared" ref="AD40:AD62" si="24">IF(AD39=0,0,IF(+S40+AD39&lt;-$S$68,0,+S40+AD39))</f>
        <v>-112525.83333333328</v>
      </c>
      <c r="AE40" s="3">
        <f t="shared" si="8"/>
        <v>1</v>
      </c>
    </row>
    <row r="41" spans="1:31" ht="32.25" customHeight="1" thickBot="1" x14ac:dyDescent="0.5">
      <c r="A41" s="667" t="s">
        <v>29</v>
      </c>
      <c r="B41" s="668"/>
      <c r="C41" s="668"/>
      <c r="D41" s="668"/>
      <c r="E41" s="668"/>
      <c r="F41" s="668"/>
      <c r="G41" s="669"/>
      <c r="H41" s="11"/>
      <c r="I41" s="14">
        <f t="shared" si="10"/>
        <v>35</v>
      </c>
      <c r="J41" s="63">
        <f t="shared" si="11"/>
        <v>149465.69648178644</v>
      </c>
      <c r="K41" s="63">
        <f t="shared" si="1"/>
        <v>660.19438041887929</v>
      </c>
      <c r="L41" s="63">
        <f t="shared" si="12"/>
        <v>-6097.607250621103</v>
      </c>
      <c r="M41" s="65">
        <f t="shared" si="0"/>
        <v>144028.28361158422</v>
      </c>
      <c r="O41" s="14">
        <f t="shared" si="13"/>
        <v>35</v>
      </c>
      <c r="P41" s="54">
        <f t="shared" si="14"/>
        <v>13125</v>
      </c>
      <c r="Q41" s="63">
        <f t="shared" si="15"/>
        <v>21393.937673894405</v>
      </c>
      <c r="R41" s="77">
        <f t="shared" si="2"/>
        <v>-6097.607250621103</v>
      </c>
      <c r="S41" s="63">
        <f t="shared" si="16"/>
        <v>-3309.5833333333335</v>
      </c>
      <c r="T41" s="63"/>
      <c r="U41" s="63">
        <f t="shared" si="17"/>
        <v>-1069.6968836947203</v>
      </c>
      <c r="V41" s="77">
        <f t="shared" si="20"/>
        <v>-268.90364583333331</v>
      </c>
      <c r="W41" s="83">
        <f t="shared" si="4"/>
        <v>10648.146560411915</v>
      </c>
      <c r="X41" s="85">
        <f t="shared" si="18"/>
        <v>328249.19992691698</v>
      </c>
      <c r="Z41" s="92">
        <f t="shared" si="19"/>
        <v>129073.75</v>
      </c>
      <c r="AA41" s="5">
        <f t="shared" si="5"/>
        <v>0</v>
      </c>
      <c r="AB41" s="92">
        <f t="shared" si="6"/>
        <v>129073.75</v>
      </c>
      <c r="AD41" s="133">
        <f t="shared" si="24"/>
        <v>-115835.41666666661</v>
      </c>
      <c r="AE41" s="3">
        <f t="shared" si="8"/>
        <v>1</v>
      </c>
    </row>
    <row r="42" spans="1:31" ht="19.5" customHeight="1" x14ac:dyDescent="0.45">
      <c r="A42" s="35">
        <v>1</v>
      </c>
      <c r="B42" s="670" t="s">
        <v>30</v>
      </c>
      <c r="C42" s="671"/>
      <c r="D42" s="671"/>
      <c r="E42" s="672"/>
      <c r="F42" s="73">
        <f>F36/C12/C14</f>
        <v>3727.1942528417726</v>
      </c>
      <c r="G42" s="74">
        <f>G36/C13/C14</f>
        <v>47.111315789473686</v>
      </c>
      <c r="H42" s="11"/>
      <c r="I42" s="20">
        <f t="shared" si="10"/>
        <v>36</v>
      </c>
      <c r="J42" s="63">
        <f t="shared" si="11"/>
        <v>144028.28361158422</v>
      </c>
      <c r="K42" s="79">
        <f t="shared" si="1"/>
        <v>636.17716773782627</v>
      </c>
      <c r="L42" s="63">
        <f t="shared" si="12"/>
        <v>-6097.607250621103</v>
      </c>
      <c r="M42" s="80">
        <f t="shared" si="0"/>
        <v>138566.85352870094</v>
      </c>
      <c r="O42" s="20">
        <f t="shared" si="13"/>
        <v>36</v>
      </c>
      <c r="P42" s="54">
        <f t="shared" si="14"/>
        <v>13500</v>
      </c>
      <c r="Q42" s="63">
        <f t="shared" si="15"/>
        <v>21393.937673894405</v>
      </c>
      <c r="R42" s="77">
        <f t="shared" si="2"/>
        <v>-6097.607250621103</v>
      </c>
      <c r="S42" s="63">
        <f t="shared" si="16"/>
        <v>-3309.5833333333335</v>
      </c>
      <c r="T42" s="63"/>
      <c r="U42" s="63">
        <f t="shared" si="17"/>
        <v>-1069.6968836947203</v>
      </c>
      <c r="V42" s="77">
        <f t="shared" si="20"/>
        <v>-258.40208333333334</v>
      </c>
      <c r="W42" s="83">
        <f t="shared" si="4"/>
        <v>10658.648122911916</v>
      </c>
      <c r="X42" s="85">
        <f t="shared" si="18"/>
        <v>338907.8480498289</v>
      </c>
      <c r="Z42" s="92">
        <f t="shared" si="19"/>
        <v>124033</v>
      </c>
      <c r="AA42" s="5">
        <f t="shared" si="5"/>
        <v>0</v>
      </c>
      <c r="AB42" s="92">
        <f t="shared" si="6"/>
        <v>124033</v>
      </c>
      <c r="AD42" s="133">
        <f t="shared" si="24"/>
        <v>-119144.99999999994</v>
      </c>
      <c r="AE42" s="3">
        <f t="shared" si="8"/>
        <v>1</v>
      </c>
    </row>
    <row r="43" spans="1:31" ht="19.5" customHeight="1" thickBot="1" x14ac:dyDescent="0.5">
      <c r="A43" s="36">
        <f>A42+1</f>
        <v>2</v>
      </c>
      <c r="B43" s="673" t="s">
        <v>31</v>
      </c>
      <c r="C43" s="674"/>
      <c r="D43" s="674"/>
      <c r="E43" s="675"/>
      <c r="F43" s="75"/>
      <c r="G43" s="76">
        <f>+(F42*C12+D13*G42)/D13</f>
        <v>69.474481306524325</v>
      </c>
      <c r="H43" s="11"/>
      <c r="I43" s="20">
        <f t="shared" si="10"/>
        <v>37</v>
      </c>
      <c r="J43" s="63">
        <f t="shared" si="11"/>
        <v>138566.85352870094</v>
      </c>
      <c r="K43" s="79">
        <f t="shared" si="1"/>
        <v>612.05387032148894</v>
      </c>
      <c r="L43" s="63">
        <f t="shared" si="12"/>
        <v>-6097.607250621103</v>
      </c>
      <c r="M43" s="80">
        <f t="shared" si="0"/>
        <v>133081.30014840132</v>
      </c>
      <c r="O43" s="20">
        <f t="shared" si="13"/>
        <v>37</v>
      </c>
      <c r="P43" s="54">
        <f t="shared" si="14"/>
        <v>13875</v>
      </c>
      <c r="Q43" s="63">
        <f t="shared" si="15"/>
        <v>21393.937673894405</v>
      </c>
      <c r="R43" s="77">
        <f t="shared" si="2"/>
        <v>-6097.607250621103</v>
      </c>
      <c r="S43" s="63">
        <f t="shared" si="16"/>
        <v>-3309.5833333333335</v>
      </c>
      <c r="T43" s="63"/>
      <c r="U43" s="63">
        <f t="shared" si="17"/>
        <v>-1069.6968836947203</v>
      </c>
      <c r="V43" s="77">
        <f t="shared" si="20"/>
        <v>-247.90052083333333</v>
      </c>
      <c r="W43" s="83">
        <f t="shared" si="4"/>
        <v>10669.149685411916</v>
      </c>
      <c r="X43" s="85">
        <f t="shared" si="18"/>
        <v>349576.99773524079</v>
      </c>
      <c r="Z43" s="92">
        <f t="shared" si="19"/>
        <v>118992.25</v>
      </c>
      <c r="AA43" s="5">
        <f t="shared" si="5"/>
        <v>0</v>
      </c>
      <c r="AB43" s="92">
        <f t="shared" si="6"/>
        <v>118992.25</v>
      </c>
      <c r="AD43" s="133">
        <f t="shared" si="24"/>
        <v>-122454.58333333327</v>
      </c>
      <c r="AE43" s="3">
        <f t="shared" si="8"/>
        <v>1</v>
      </c>
    </row>
    <row r="44" spans="1:31" x14ac:dyDescent="0.45">
      <c r="I44" s="20">
        <f t="shared" si="10"/>
        <v>38</v>
      </c>
      <c r="J44" s="63">
        <f t="shared" si="11"/>
        <v>133081.30014840132</v>
      </c>
      <c r="K44" s="79">
        <f t="shared" si="1"/>
        <v>587.82401959046899</v>
      </c>
      <c r="L44" s="63">
        <f t="shared" si="12"/>
        <v>-6097.607250621103</v>
      </c>
      <c r="M44" s="80">
        <f t="shared" si="0"/>
        <v>127571.5169173707</v>
      </c>
      <c r="O44" s="20">
        <f t="shared" si="13"/>
        <v>38</v>
      </c>
      <c r="P44" s="54">
        <f t="shared" si="14"/>
        <v>14250</v>
      </c>
      <c r="Q44" s="63">
        <f t="shared" si="15"/>
        <v>21393.937673894405</v>
      </c>
      <c r="R44" s="77">
        <f t="shared" si="2"/>
        <v>-6097.607250621103</v>
      </c>
      <c r="S44" s="63">
        <f t="shared" si="16"/>
        <v>-3309.5833333333335</v>
      </c>
      <c r="T44" s="63"/>
      <c r="U44" s="63">
        <f t="shared" si="17"/>
        <v>-1069.6968836947203</v>
      </c>
      <c r="V44" s="77">
        <f t="shared" si="20"/>
        <v>-237.39895833333335</v>
      </c>
      <c r="W44" s="83">
        <f t="shared" si="4"/>
        <v>10679.651247911916</v>
      </c>
      <c r="X44" s="85">
        <f t="shared" si="18"/>
        <v>360256.6489831527</v>
      </c>
      <c r="Z44" s="92">
        <f t="shared" si="19"/>
        <v>113951.5</v>
      </c>
      <c r="AA44" s="5">
        <f t="shared" si="5"/>
        <v>0</v>
      </c>
      <c r="AB44" s="92">
        <f t="shared" si="6"/>
        <v>113951.5</v>
      </c>
      <c r="AD44" s="133">
        <f t="shared" si="24"/>
        <v>-125764.1666666666</v>
      </c>
      <c r="AE44" s="3">
        <f t="shared" si="8"/>
        <v>1</v>
      </c>
    </row>
    <row r="45" spans="1:31" x14ac:dyDescent="0.45">
      <c r="I45" s="20">
        <f t="shared" si="10"/>
        <v>39</v>
      </c>
      <c r="J45" s="63">
        <f t="shared" si="11"/>
        <v>127571.5169173707</v>
      </c>
      <c r="K45" s="79">
        <f t="shared" si="1"/>
        <v>563.48714489563997</v>
      </c>
      <c r="L45" s="63">
        <f t="shared" si="12"/>
        <v>-6097.607250621103</v>
      </c>
      <c r="M45" s="80">
        <f t="shared" si="0"/>
        <v>122037.39681164523</v>
      </c>
      <c r="O45" s="20">
        <f t="shared" si="13"/>
        <v>39</v>
      </c>
      <c r="P45" s="54">
        <f t="shared" si="14"/>
        <v>14625</v>
      </c>
      <c r="Q45" s="63">
        <f t="shared" si="15"/>
        <v>21393.937673894405</v>
      </c>
      <c r="R45" s="77">
        <f t="shared" si="2"/>
        <v>-6097.607250621103</v>
      </c>
      <c r="S45" s="63">
        <f t="shared" si="16"/>
        <v>-3309.5833333333335</v>
      </c>
      <c r="T45" s="63"/>
      <c r="U45" s="63">
        <f t="shared" si="17"/>
        <v>-1069.6968836947203</v>
      </c>
      <c r="V45" s="77">
        <f t="shared" si="20"/>
        <v>-226.89739583333335</v>
      </c>
      <c r="W45" s="83">
        <f t="shared" si="4"/>
        <v>10690.152810411915</v>
      </c>
      <c r="X45" s="85">
        <f t="shared" si="18"/>
        <v>370946.80179356463</v>
      </c>
      <c r="Z45" s="92">
        <f t="shared" si="19"/>
        <v>108910.75</v>
      </c>
      <c r="AA45" s="5">
        <f t="shared" si="5"/>
        <v>0</v>
      </c>
      <c r="AB45" s="92">
        <f t="shared" si="6"/>
        <v>108910.75</v>
      </c>
      <c r="AD45" s="133">
        <f t="shared" si="24"/>
        <v>-129073.74999999993</v>
      </c>
      <c r="AE45" s="3">
        <f t="shared" si="8"/>
        <v>1</v>
      </c>
    </row>
    <row r="46" spans="1:31" x14ac:dyDescent="0.45">
      <c r="I46" s="20">
        <f t="shared" si="10"/>
        <v>40</v>
      </c>
      <c r="J46" s="63">
        <f t="shared" si="11"/>
        <v>122037.39681164523</v>
      </c>
      <c r="K46" s="79">
        <f t="shared" si="1"/>
        <v>539.04277350900338</v>
      </c>
      <c r="L46" s="63">
        <f t="shared" si="12"/>
        <v>-6097.607250621103</v>
      </c>
      <c r="M46" s="80">
        <f t="shared" si="0"/>
        <v>116478.83233453313</v>
      </c>
      <c r="O46" s="20">
        <f t="shared" si="13"/>
        <v>40</v>
      </c>
      <c r="P46" s="54">
        <f t="shared" si="14"/>
        <v>15000</v>
      </c>
      <c r="Q46" s="63">
        <f t="shared" si="15"/>
        <v>21393.937673894405</v>
      </c>
      <c r="R46" s="77">
        <f t="shared" si="2"/>
        <v>-6097.607250621103</v>
      </c>
      <c r="S46" s="63">
        <f t="shared" si="16"/>
        <v>-3309.5833333333335</v>
      </c>
      <c r="T46" s="63"/>
      <c r="U46" s="63">
        <f t="shared" si="17"/>
        <v>-1069.6968836947203</v>
      </c>
      <c r="V46" s="77">
        <f t="shared" si="20"/>
        <v>-216.39583333333334</v>
      </c>
      <c r="W46" s="83">
        <f t="shared" si="4"/>
        <v>10700.654372911915</v>
      </c>
      <c r="X46" s="85">
        <f t="shared" si="18"/>
        <v>381647.45616647654</v>
      </c>
      <c r="Z46" s="92">
        <f t="shared" si="19"/>
        <v>103870</v>
      </c>
      <c r="AA46" s="5">
        <f t="shared" si="5"/>
        <v>0</v>
      </c>
      <c r="AB46" s="92">
        <f t="shared" si="6"/>
        <v>103870</v>
      </c>
      <c r="AD46" s="133">
        <f t="shared" si="24"/>
        <v>-132383.33333333326</v>
      </c>
      <c r="AE46" s="3">
        <f t="shared" si="8"/>
        <v>1</v>
      </c>
    </row>
    <row r="47" spans="1:31" x14ac:dyDescent="0.45">
      <c r="I47" s="20">
        <f t="shared" si="10"/>
        <v>41</v>
      </c>
      <c r="J47" s="63">
        <f t="shared" si="11"/>
        <v>116478.83233453313</v>
      </c>
      <c r="K47" s="79">
        <f t="shared" si="1"/>
        <v>514.49043061450777</v>
      </c>
      <c r="L47" s="63">
        <f t="shared" si="12"/>
        <v>-6097.607250621103</v>
      </c>
      <c r="M47" s="80">
        <f t="shared" si="0"/>
        <v>110895.71551452653</v>
      </c>
      <c r="O47" s="20">
        <f t="shared" si="13"/>
        <v>41</v>
      </c>
      <c r="P47" s="54">
        <f t="shared" si="14"/>
        <v>15375</v>
      </c>
      <c r="Q47" s="63">
        <f t="shared" si="15"/>
        <v>21393.937673894405</v>
      </c>
      <c r="R47" s="77">
        <f t="shared" si="2"/>
        <v>-6097.607250621103</v>
      </c>
      <c r="S47" s="63">
        <f t="shared" si="16"/>
        <v>-3309.5833333333335</v>
      </c>
      <c r="T47" s="63"/>
      <c r="U47" s="63">
        <f t="shared" si="17"/>
        <v>-1069.6968836947203</v>
      </c>
      <c r="V47" s="77">
        <f t="shared" si="20"/>
        <v>-205.89427083333337</v>
      </c>
      <c r="W47" s="83">
        <f t="shared" si="4"/>
        <v>10711.155935411916</v>
      </c>
      <c r="X47" s="85">
        <f t="shared" si="18"/>
        <v>392358.61210188846</v>
      </c>
      <c r="Z47" s="92">
        <f t="shared" si="19"/>
        <v>98829.25</v>
      </c>
      <c r="AA47" s="5">
        <f t="shared" si="5"/>
        <v>0</v>
      </c>
      <c r="AB47" s="92">
        <f t="shared" si="6"/>
        <v>98829.25</v>
      </c>
      <c r="AD47" s="133">
        <f t="shared" si="24"/>
        <v>-135692.9166666666</v>
      </c>
      <c r="AE47" s="3">
        <f t="shared" si="8"/>
        <v>1</v>
      </c>
    </row>
    <row r="48" spans="1:31" x14ac:dyDescent="0.45">
      <c r="I48" s="20">
        <f t="shared" si="10"/>
        <v>42</v>
      </c>
      <c r="J48" s="63">
        <f t="shared" si="11"/>
        <v>110895.71551452653</v>
      </c>
      <c r="K48" s="79">
        <f t="shared" si="1"/>
        <v>489.82963929882533</v>
      </c>
      <c r="L48" s="63">
        <f t="shared" si="12"/>
        <v>-6097.607250621103</v>
      </c>
      <c r="M48" s="80">
        <f t="shared" si="0"/>
        <v>105287.93790320425</v>
      </c>
      <c r="O48" s="20">
        <f t="shared" si="13"/>
        <v>42</v>
      </c>
      <c r="P48" s="54">
        <f t="shared" si="14"/>
        <v>15750</v>
      </c>
      <c r="Q48" s="63">
        <f t="shared" si="15"/>
        <v>21393.937673894405</v>
      </c>
      <c r="R48" s="77">
        <f t="shared" si="2"/>
        <v>-6097.607250621103</v>
      </c>
      <c r="S48" s="63">
        <f t="shared" si="16"/>
        <v>-3309.5833333333335</v>
      </c>
      <c r="T48" s="63"/>
      <c r="U48" s="63">
        <f t="shared" si="17"/>
        <v>-1069.6968836947203</v>
      </c>
      <c r="V48" s="77">
        <f t="shared" si="20"/>
        <v>-195.39270833333333</v>
      </c>
      <c r="W48" s="83">
        <f t="shared" si="4"/>
        <v>10721.657497911916</v>
      </c>
      <c r="X48" s="85">
        <f t="shared" si="18"/>
        <v>403080.26959980035</v>
      </c>
      <c r="Z48" s="92">
        <f t="shared" si="19"/>
        <v>93788.5</v>
      </c>
      <c r="AA48" s="5">
        <f t="shared" si="5"/>
        <v>0</v>
      </c>
      <c r="AB48" s="92">
        <f t="shared" si="6"/>
        <v>93788.5</v>
      </c>
      <c r="AD48" s="133">
        <f t="shared" si="24"/>
        <v>-139002.49999999994</v>
      </c>
      <c r="AE48" s="3">
        <f t="shared" si="8"/>
        <v>1</v>
      </c>
    </row>
    <row r="49" spans="9:31" x14ac:dyDescent="0.45">
      <c r="I49" s="20">
        <f t="shared" si="10"/>
        <v>43</v>
      </c>
      <c r="J49" s="63">
        <f t="shared" si="11"/>
        <v>105287.93790320425</v>
      </c>
      <c r="K49" s="79">
        <f t="shared" si="1"/>
        <v>465.05992054208753</v>
      </c>
      <c r="L49" s="63">
        <f t="shared" si="12"/>
        <v>-6097.607250621103</v>
      </c>
      <c r="M49" s="80">
        <f t="shared" si="0"/>
        <v>99655.390573125231</v>
      </c>
      <c r="O49" s="20">
        <f t="shared" si="13"/>
        <v>43</v>
      </c>
      <c r="P49" s="54">
        <f t="shared" si="14"/>
        <v>16125</v>
      </c>
      <c r="Q49" s="63">
        <f t="shared" si="15"/>
        <v>21393.937673894405</v>
      </c>
      <c r="R49" s="77">
        <f t="shared" si="2"/>
        <v>-6097.607250621103</v>
      </c>
      <c r="S49" s="63">
        <f t="shared" si="16"/>
        <v>-3309.5833333333335</v>
      </c>
      <c r="T49" s="63"/>
      <c r="U49" s="63">
        <f t="shared" si="17"/>
        <v>-1069.6968836947203</v>
      </c>
      <c r="V49" s="77">
        <f t="shared" si="20"/>
        <v>-184.89114583333333</v>
      </c>
      <c r="W49" s="83">
        <f t="shared" si="4"/>
        <v>10732.159060411916</v>
      </c>
      <c r="X49" s="85">
        <f t="shared" si="18"/>
        <v>413812.42866021226</v>
      </c>
      <c r="Z49" s="92">
        <f t="shared" si="19"/>
        <v>88747.75</v>
      </c>
      <c r="AA49" s="5">
        <f t="shared" si="5"/>
        <v>0</v>
      </c>
      <c r="AB49" s="92">
        <f t="shared" si="6"/>
        <v>88747.75</v>
      </c>
      <c r="AD49" s="133">
        <f t="shared" si="24"/>
        <v>-142312.08333333328</v>
      </c>
      <c r="AE49" s="3">
        <f t="shared" si="8"/>
        <v>1</v>
      </c>
    </row>
    <row r="50" spans="9:31" x14ac:dyDescent="0.45">
      <c r="I50" s="20">
        <f t="shared" si="10"/>
        <v>44</v>
      </c>
      <c r="J50" s="63">
        <f t="shared" si="11"/>
        <v>99655.390573125231</v>
      </c>
      <c r="K50" s="79">
        <f t="shared" si="1"/>
        <v>440.18079320858152</v>
      </c>
      <c r="L50" s="63">
        <f t="shared" si="12"/>
        <v>-6097.607250621103</v>
      </c>
      <c r="M50" s="80">
        <f t="shared" si="0"/>
        <v>93997.964115712704</v>
      </c>
      <c r="O50" s="20">
        <f t="shared" si="13"/>
        <v>44</v>
      </c>
      <c r="P50" s="54">
        <f t="shared" si="14"/>
        <v>16500</v>
      </c>
      <c r="Q50" s="63">
        <f t="shared" si="15"/>
        <v>21393.937673894405</v>
      </c>
      <c r="R50" s="77">
        <f t="shared" si="2"/>
        <v>-6097.607250621103</v>
      </c>
      <c r="S50" s="63">
        <f t="shared" si="16"/>
        <v>-3309.5833333333335</v>
      </c>
      <c r="T50" s="63"/>
      <c r="U50" s="63">
        <f t="shared" si="17"/>
        <v>-1069.6968836947203</v>
      </c>
      <c r="V50" s="77">
        <f t="shared" si="20"/>
        <v>-174.38958333333335</v>
      </c>
      <c r="W50" s="83">
        <f t="shared" si="4"/>
        <v>10742.660622911915</v>
      </c>
      <c r="X50" s="85">
        <f t="shared" si="18"/>
        <v>424555.08928312419</v>
      </c>
      <c r="Z50" s="92">
        <f t="shared" si="19"/>
        <v>83707</v>
      </c>
      <c r="AA50" s="5">
        <f t="shared" si="5"/>
        <v>0</v>
      </c>
      <c r="AB50" s="92">
        <f t="shared" si="6"/>
        <v>83707</v>
      </c>
      <c r="AD50" s="133">
        <f t="shared" si="24"/>
        <v>-145621.66666666663</v>
      </c>
      <c r="AE50" s="3">
        <f t="shared" si="8"/>
        <v>1</v>
      </c>
    </row>
    <row r="51" spans="9:31" x14ac:dyDescent="0.45">
      <c r="I51" s="20">
        <f t="shared" si="10"/>
        <v>45</v>
      </c>
      <c r="J51" s="63">
        <f t="shared" si="11"/>
        <v>93997.964115712704</v>
      </c>
      <c r="K51" s="79">
        <f t="shared" si="1"/>
        <v>415.19177403740343</v>
      </c>
      <c r="L51" s="63">
        <f t="shared" si="12"/>
        <v>-6097.607250621103</v>
      </c>
      <c r="M51" s="80">
        <f t="shared" si="0"/>
        <v>88315.548639129003</v>
      </c>
      <c r="O51" s="20">
        <f t="shared" si="13"/>
        <v>45</v>
      </c>
      <c r="P51" s="54">
        <f t="shared" si="14"/>
        <v>16875</v>
      </c>
      <c r="Q51" s="63">
        <f t="shared" si="15"/>
        <v>21393.937673894405</v>
      </c>
      <c r="R51" s="77">
        <f t="shared" si="2"/>
        <v>-6097.607250621103</v>
      </c>
      <c r="S51" s="63">
        <f t="shared" si="16"/>
        <v>-3309.5833333333335</v>
      </c>
      <c r="T51" s="63"/>
      <c r="U51" s="63">
        <f t="shared" si="17"/>
        <v>-1069.6968836947203</v>
      </c>
      <c r="V51" s="77">
        <f t="shared" si="20"/>
        <v>-163.88802083333334</v>
      </c>
      <c r="W51" s="83">
        <f t="shared" si="4"/>
        <v>10753.162185411915</v>
      </c>
      <c r="X51" s="85">
        <f t="shared" si="18"/>
        <v>435308.25146853609</v>
      </c>
      <c r="Z51" s="92">
        <f t="shared" si="19"/>
        <v>78666.25</v>
      </c>
      <c r="AA51" s="5">
        <f t="shared" si="5"/>
        <v>0</v>
      </c>
      <c r="AB51" s="92">
        <f t="shared" si="6"/>
        <v>78666.25</v>
      </c>
      <c r="AD51" s="133">
        <f t="shared" si="24"/>
        <v>-148931.24999999997</v>
      </c>
      <c r="AE51" s="3">
        <f t="shared" si="8"/>
        <v>1</v>
      </c>
    </row>
    <row r="52" spans="9:31" x14ac:dyDescent="0.45">
      <c r="I52" s="20">
        <f t="shared" si="10"/>
        <v>46</v>
      </c>
      <c r="J52" s="63">
        <f t="shared" si="11"/>
        <v>88315.548639129003</v>
      </c>
      <c r="K52" s="79">
        <f t="shared" si="1"/>
        <v>390.09237763307215</v>
      </c>
      <c r="L52" s="63">
        <f t="shared" si="12"/>
        <v>-6097.607250621103</v>
      </c>
      <c r="M52" s="80">
        <f t="shared" si="0"/>
        <v>82608.033766140972</v>
      </c>
      <c r="O52" s="20">
        <f t="shared" si="13"/>
        <v>46</v>
      </c>
      <c r="P52" s="54">
        <f t="shared" si="14"/>
        <v>17250</v>
      </c>
      <c r="Q52" s="63">
        <f t="shared" si="15"/>
        <v>21393.937673894405</v>
      </c>
      <c r="R52" s="77">
        <f t="shared" si="2"/>
        <v>-6097.607250621103</v>
      </c>
      <c r="S52" s="63">
        <f t="shared" si="16"/>
        <v>-3309.5833333333335</v>
      </c>
      <c r="T52" s="63"/>
      <c r="U52" s="63">
        <f t="shared" si="17"/>
        <v>-1069.6968836947203</v>
      </c>
      <c r="V52" s="77">
        <f t="shared" si="20"/>
        <v>-153.38645833333334</v>
      </c>
      <c r="W52" s="83">
        <f t="shared" si="4"/>
        <v>10763.663747911916</v>
      </c>
      <c r="X52" s="85">
        <f t="shared" si="18"/>
        <v>446071.91521644802</v>
      </c>
      <c r="Z52" s="92">
        <f t="shared" si="19"/>
        <v>73625.5</v>
      </c>
      <c r="AA52" s="5">
        <f t="shared" si="5"/>
        <v>0</v>
      </c>
      <c r="AB52" s="92">
        <f t="shared" si="6"/>
        <v>73625.5</v>
      </c>
      <c r="AD52" s="133">
        <f t="shared" si="24"/>
        <v>-152240.83333333331</v>
      </c>
      <c r="AE52" s="3">
        <f t="shared" si="8"/>
        <v>1</v>
      </c>
    </row>
    <row r="53" spans="9:31" x14ac:dyDescent="0.45">
      <c r="I53" s="20">
        <f t="shared" si="10"/>
        <v>47</v>
      </c>
      <c r="J53" s="63">
        <f t="shared" si="11"/>
        <v>82608.033766140972</v>
      </c>
      <c r="K53" s="79">
        <f t="shared" si="1"/>
        <v>364.88211645610005</v>
      </c>
      <c r="L53" s="63">
        <f t="shared" si="12"/>
        <v>-6097.607250621103</v>
      </c>
      <c r="M53" s="80">
        <f t="shared" si="0"/>
        <v>76875.30863197596</v>
      </c>
      <c r="O53" s="20">
        <f t="shared" si="13"/>
        <v>47</v>
      </c>
      <c r="P53" s="54">
        <f t="shared" si="14"/>
        <v>17625</v>
      </c>
      <c r="Q53" s="63">
        <f t="shared" si="15"/>
        <v>21393.937673894405</v>
      </c>
      <c r="R53" s="77">
        <f t="shared" si="2"/>
        <v>-6097.607250621103</v>
      </c>
      <c r="S53" s="63">
        <f t="shared" si="16"/>
        <v>-3309.5833333333335</v>
      </c>
      <c r="T53" s="63"/>
      <c r="U53" s="63">
        <f t="shared" si="17"/>
        <v>-1069.6968836947203</v>
      </c>
      <c r="V53" s="77">
        <f t="shared" si="20"/>
        <v>-142.88489583333333</v>
      </c>
      <c r="W53" s="83">
        <f t="shared" si="4"/>
        <v>10774.165310411916</v>
      </c>
      <c r="X53" s="85">
        <f t="shared" si="18"/>
        <v>456846.08052685991</v>
      </c>
      <c r="Z53" s="92">
        <f t="shared" si="19"/>
        <v>68584.75</v>
      </c>
      <c r="AA53" s="5">
        <f t="shared" si="5"/>
        <v>0</v>
      </c>
      <c r="AB53" s="92">
        <f t="shared" si="6"/>
        <v>68584.75</v>
      </c>
      <c r="AD53" s="133">
        <f t="shared" si="24"/>
        <v>-155550.41666666666</v>
      </c>
      <c r="AE53" s="3">
        <f t="shared" si="8"/>
        <v>1</v>
      </c>
    </row>
    <row r="54" spans="9:31" x14ac:dyDescent="0.45">
      <c r="I54" s="20">
        <f t="shared" si="10"/>
        <v>48</v>
      </c>
      <c r="J54" s="63">
        <f t="shared" si="11"/>
        <v>76875.30863197596</v>
      </c>
      <c r="K54" s="79">
        <f t="shared" si="1"/>
        <v>339.5605008135235</v>
      </c>
      <c r="L54" s="63">
        <f t="shared" si="12"/>
        <v>-6097.607250621103</v>
      </c>
      <c r="M54" s="80">
        <f t="shared" si="0"/>
        <v>71117.261882168372</v>
      </c>
      <c r="O54" s="20">
        <f t="shared" si="13"/>
        <v>48</v>
      </c>
      <c r="P54" s="54">
        <f t="shared" si="14"/>
        <v>18000</v>
      </c>
      <c r="Q54" s="63">
        <f t="shared" si="15"/>
        <v>21393.937673894405</v>
      </c>
      <c r="R54" s="77">
        <f t="shared" si="2"/>
        <v>-6097.607250621103</v>
      </c>
      <c r="S54" s="63">
        <f t="shared" si="16"/>
        <v>-3309.5833333333335</v>
      </c>
      <c r="T54" s="63">
        <f t="shared" ref="T54:T59" si="25">-T68*0.5</f>
        <v>-38187.5</v>
      </c>
      <c r="U54" s="63">
        <f t="shared" si="17"/>
        <v>-1069.6968836947203</v>
      </c>
      <c r="V54" s="77">
        <f t="shared" si="20"/>
        <v>-132.38333333333335</v>
      </c>
      <c r="W54" s="83">
        <f t="shared" si="4"/>
        <v>-27402.833127088084</v>
      </c>
      <c r="X54" s="85">
        <f t="shared" si="18"/>
        <v>429443.24739977182</v>
      </c>
      <c r="Z54" s="92">
        <f t="shared" si="19"/>
        <v>63544</v>
      </c>
      <c r="AA54" s="5">
        <f t="shared" si="5"/>
        <v>0</v>
      </c>
      <c r="AB54" s="92">
        <f t="shared" si="6"/>
        <v>63544</v>
      </c>
      <c r="AD54" s="133">
        <f t="shared" si="24"/>
        <v>-158860</v>
      </c>
      <c r="AE54" s="3">
        <f t="shared" si="8"/>
        <v>1</v>
      </c>
    </row>
    <row r="55" spans="9:31" x14ac:dyDescent="0.45">
      <c r="I55" s="20">
        <f t="shared" si="10"/>
        <v>49</v>
      </c>
      <c r="J55" s="63">
        <f t="shared" si="11"/>
        <v>71117.261882168372</v>
      </c>
      <c r="K55" s="79">
        <f>J55*$C$8*30.44/365.25</f>
        <v>314.12703884939049</v>
      </c>
      <c r="L55" s="63">
        <f t="shared" si="12"/>
        <v>-6097.607250621103</v>
      </c>
      <c r="M55" s="80">
        <f t="shared" si="0"/>
        <v>65333.781670396653</v>
      </c>
      <c r="O55" s="20">
        <f t="shared" si="13"/>
        <v>49</v>
      </c>
      <c r="P55" s="54">
        <f t="shared" si="14"/>
        <v>18375</v>
      </c>
      <c r="Q55" s="63">
        <f t="shared" si="15"/>
        <v>21393.937673894405</v>
      </c>
      <c r="R55" s="77">
        <f t="shared" si="2"/>
        <v>-6097.607250621103</v>
      </c>
      <c r="S55" s="63">
        <f t="shared" si="16"/>
        <v>-3309.5833333333335</v>
      </c>
      <c r="T55" s="63">
        <f t="shared" si="25"/>
        <v>0</v>
      </c>
      <c r="U55" s="63">
        <f t="shared" si="17"/>
        <v>-1069.6968836947203</v>
      </c>
      <c r="V55" s="77">
        <f t="shared" si="20"/>
        <v>-121.88177083333335</v>
      </c>
      <c r="W55" s="83">
        <f t="shared" si="4"/>
        <v>10795.168435411915</v>
      </c>
      <c r="X55" s="85">
        <f t="shared" si="18"/>
        <v>440238.41583518375</v>
      </c>
      <c r="Z55" s="92">
        <f t="shared" si="19"/>
        <v>58503.25</v>
      </c>
      <c r="AA55" s="5">
        <f t="shared" si="5"/>
        <v>0</v>
      </c>
      <c r="AB55" s="92">
        <f t="shared" si="6"/>
        <v>58503.25</v>
      </c>
      <c r="AD55" s="133">
        <f t="shared" si="24"/>
        <v>-162169.58333333334</v>
      </c>
      <c r="AE55" s="3">
        <f t="shared" si="8"/>
        <v>1</v>
      </c>
    </row>
    <row r="56" spans="9:31" x14ac:dyDescent="0.45">
      <c r="I56" s="20">
        <f t="shared" si="10"/>
        <v>50</v>
      </c>
      <c r="J56" s="63">
        <f t="shared" si="11"/>
        <v>65333.781670396653</v>
      </c>
      <c r="K56" s="79">
        <f>J56*$C$8*30.44/365.25</f>
        <v>288.58123653520693</v>
      </c>
      <c r="L56" s="63">
        <f t="shared" si="12"/>
        <v>-6097.607250621103</v>
      </c>
      <c r="M56" s="80">
        <f t="shared" si="0"/>
        <v>59524.75565631075</v>
      </c>
      <c r="O56" s="20">
        <f t="shared" si="13"/>
        <v>50</v>
      </c>
      <c r="P56" s="54">
        <f t="shared" si="14"/>
        <v>18750</v>
      </c>
      <c r="Q56" s="63">
        <f t="shared" si="15"/>
        <v>21393.937673894405</v>
      </c>
      <c r="R56" s="77">
        <f t="shared" si="2"/>
        <v>-6097.607250621103</v>
      </c>
      <c r="S56" s="63">
        <f t="shared" si="16"/>
        <v>-3309.5833333333335</v>
      </c>
      <c r="T56" s="63">
        <f t="shared" si="25"/>
        <v>0</v>
      </c>
      <c r="U56" s="63">
        <f t="shared" si="17"/>
        <v>-1069.6968836947203</v>
      </c>
      <c r="V56" s="77">
        <f t="shared" si="20"/>
        <v>-111.38020833333333</v>
      </c>
      <c r="W56" s="83">
        <f t="shared" si="4"/>
        <v>10805.669997911915</v>
      </c>
      <c r="X56" s="85">
        <f t="shared" si="18"/>
        <v>451044.08583309565</v>
      </c>
      <c r="Z56" s="92">
        <f t="shared" si="19"/>
        <v>53462.5</v>
      </c>
      <c r="AA56" s="5">
        <f t="shared" si="5"/>
        <v>0</v>
      </c>
      <c r="AB56" s="92">
        <f t="shared" si="6"/>
        <v>53462.5</v>
      </c>
      <c r="AD56" s="133">
        <f t="shared" si="24"/>
        <v>-165479.16666666669</v>
      </c>
      <c r="AE56" s="3">
        <f t="shared" si="8"/>
        <v>1</v>
      </c>
    </row>
    <row r="57" spans="9:31" x14ac:dyDescent="0.45">
      <c r="I57" s="20">
        <f t="shared" si="10"/>
        <v>51</v>
      </c>
      <c r="J57" s="63">
        <f t="shared" si="11"/>
        <v>59524.75565631075</v>
      </c>
      <c r="K57" s="79">
        <f t="shared" ref="K57:K66" si="26">J57*$C$8*30.44/365.25</f>
        <v>262.92259766034022</v>
      </c>
      <c r="L57" s="63">
        <f t="shared" si="12"/>
        <v>-6097.607250621103</v>
      </c>
      <c r="M57" s="80">
        <f t="shared" si="0"/>
        <v>53690.071003349985</v>
      </c>
      <c r="O57" s="20">
        <f t="shared" si="13"/>
        <v>51</v>
      </c>
      <c r="P57" s="54">
        <f t="shared" si="14"/>
        <v>19125</v>
      </c>
      <c r="Q57" s="63">
        <f t="shared" si="15"/>
        <v>21393.937673894405</v>
      </c>
      <c r="R57" s="77">
        <f t="shared" si="2"/>
        <v>-6097.607250621103</v>
      </c>
      <c r="S57" s="63">
        <f t="shared" si="16"/>
        <v>-3309.5833333333335</v>
      </c>
      <c r="T57" s="63">
        <f t="shared" si="25"/>
        <v>0</v>
      </c>
      <c r="U57" s="63">
        <f t="shared" si="17"/>
        <v>-1069.6968836947203</v>
      </c>
      <c r="V57" s="77">
        <f t="shared" si="20"/>
        <v>-100.87864583333334</v>
      </c>
      <c r="W57" s="83">
        <f t="shared" si="4"/>
        <v>10816.171560411916</v>
      </c>
      <c r="X57" s="85">
        <f t="shared" si="18"/>
        <v>461860.25739350758</v>
      </c>
      <c r="Z57" s="92">
        <f t="shared" si="19"/>
        <v>48421.75</v>
      </c>
      <c r="AA57" s="5">
        <f t="shared" si="5"/>
        <v>0</v>
      </c>
      <c r="AB57" s="92">
        <f t="shared" si="6"/>
        <v>48421.75</v>
      </c>
      <c r="AD57" s="133">
        <f t="shared" si="24"/>
        <v>-168788.75000000003</v>
      </c>
      <c r="AE57" s="3">
        <f t="shared" si="8"/>
        <v>1</v>
      </c>
    </row>
    <row r="58" spans="9:31" x14ac:dyDescent="0.45">
      <c r="I58" s="20">
        <f t="shared" si="10"/>
        <v>52</v>
      </c>
      <c r="J58" s="63">
        <f t="shared" si="11"/>
        <v>53690.071003349985</v>
      </c>
      <c r="K58" s="79">
        <f t="shared" si="26"/>
        <v>237.15062382238085</v>
      </c>
      <c r="L58" s="63">
        <f t="shared" si="12"/>
        <v>-6097.607250621103</v>
      </c>
      <c r="M58" s="80">
        <f t="shared" si="0"/>
        <v>47829.614376551261</v>
      </c>
      <c r="O58" s="20">
        <f t="shared" si="13"/>
        <v>52</v>
      </c>
      <c r="P58" s="54">
        <f t="shared" si="14"/>
        <v>19500</v>
      </c>
      <c r="Q58" s="63">
        <f t="shared" si="15"/>
        <v>21393.937673894405</v>
      </c>
      <c r="R58" s="77">
        <f t="shared" si="2"/>
        <v>-6097.607250621103</v>
      </c>
      <c r="S58" s="63">
        <f t="shared" si="16"/>
        <v>-3309.5833333333335</v>
      </c>
      <c r="T58" s="63">
        <f t="shared" si="25"/>
        <v>0</v>
      </c>
      <c r="U58" s="63">
        <f t="shared" si="17"/>
        <v>-1069.6968836947203</v>
      </c>
      <c r="V58" s="77">
        <f t="shared" si="20"/>
        <v>-90.377083333333346</v>
      </c>
      <c r="W58" s="83">
        <f t="shared" si="4"/>
        <v>10826.673122911916</v>
      </c>
      <c r="X58" s="85">
        <f t="shared" si="18"/>
        <v>472686.93051641947</v>
      </c>
      <c r="Z58" s="92">
        <f t="shared" si="19"/>
        <v>43381</v>
      </c>
      <c r="AA58" s="5">
        <f t="shared" si="5"/>
        <v>0</v>
      </c>
      <c r="AB58" s="92">
        <f t="shared" si="6"/>
        <v>43381</v>
      </c>
      <c r="AD58" s="133">
        <f t="shared" si="24"/>
        <v>-172098.33333333337</v>
      </c>
      <c r="AE58" s="3">
        <f t="shared" si="8"/>
        <v>1</v>
      </c>
    </row>
    <row r="59" spans="9:31" x14ac:dyDescent="0.45">
      <c r="I59" s="20">
        <f t="shared" si="10"/>
        <v>53</v>
      </c>
      <c r="J59" s="63">
        <f t="shared" si="11"/>
        <v>47829.614376551261</v>
      </c>
      <c r="K59" s="79">
        <f t="shared" si="26"/>
        <v>211.26481441746111</v>
      </c>
      <c r="L59" s="63">
        <f t="shared" si="12"/>
        <v>-6097.607250621103</v>
      </c>
      <c r="M59" s="80">
        <f t="shared" si="0"/>
        <v>41943.271940347615</v>
      </c>
      <c r="O59" s="20">
        <f t="shared" si="13"/>
        <v>53</v>
      </c>
      <c r="P59" s="54">
        <f t="shared" si="14"/>
        <v>19875</v>
      </c>
      <c r="Q59" s="63">
        <f t="shared" si="15"/>
        <v>21393.937673894405</v>
      </c>
      <c r="R59" s="77">
        <f t="shared" si="2"/>
        <v>-6097.607250621103</v>
      </c>
      <c r="S59" s="63">
        <f t="shared" si="16"/>
        <v>-3309.5833333333335</v>
      </c>
      <c r="T59" s="63">
        <f t="shared" si="25"/>
        <v>0</v>
      </c>
      <c r="U59" s="63">
        <f t="shared" si="17"/>
        <v>-1069.6968836947203</v>
      </c>
      <c r="V59" s="77">
        <f t="shared" si="20"/>
        <v>-79.87552083333334</v>
      </c>
      <c r="W59" s="83">
        <f t="shared" si="4"/>
        <v>10837.174685411916</v>
      </c>
      <c r="X59" s="85">
        <f t="shared" si="18"/>
        <v>483524.10520183138</v>
      </c>
      <c r="Z59" s="92">
        <f t="shared" si="19"/>
        <v>38340.25</v>
      </c>
      <c r="AA59" s="5">
        <f t="shared" si="5"/>
        <v>0</v>
      </c>
      <c r="AB59" s="92">
        <f t="shared" si="6"/>
        <v>38340.25</v>
      </c>
      <c r="AD59" s="133">
        <f t="shared" si="24"/>
        <v>-175407.91666666672</v>
      </c>
      <c r="AE59" s="3">
        <f t="shared" si="8"/>
        <v>1</v>
      </c>
    </row>
    <row r="60" spans="9:31" x14ac:dyDescent="0.45">
      <c r="I60" s="20">
        <f t="shared" si="10"/>
        <v>54</v>
      </c>
      <c r="J60" s="63">
        <f t="shared" si="11"/>
        <v>41943.271940347615</v>
      </c>
      <c r="K60" s="79">
        <f t="shared" si="26"/>
        <v>185.26466663053142</v>
      </c>
      <c r="L60" s="63">
        <f t="shared" si="12"/>
        <v>-6097.607250621103</v>
      </c>
      <c r="M60" s="80">
        <f t="shared" si="0"/>
        <v>36030.929356357039</v>
      </c>
      <c r="O60" s="20">
        <f t="shared" si="13"/>
        <v>54</v>
      </c>
      <c r="P60" s="54">
        <f t="shared" si="14"/>
        <v>20250</v>
      </c>
      <c r="Q60" s="63">
        <f t="shared" si="15"/>
        <v>21393.937673894405</v>
      </c>
      <c r="R60" s="77">
        <f t="shared" si="2"/>
        <v>-6097.607250621103</v>
      </c>
      <c r="S60" s="63">
        <f t="shared" si="16"/>
        <v>-3309.5833333333335</v>
      </c>
      <c r="T60" s="63"/>
      <c r="U60" s="63">
        <f t="shared" si="17"/>
        <v>-1069.6968836947203</v>
      </c>
      <c r="V60" s="77">
        <f t="shared" si="20"/>
        <v>-69.373958333333334</v>
      </c>
      <c r="W60" s="83">
        <f t="shared" si="4"/>
        <v>10847.676247911915</v>
      </c>
      <c r="X60" s="85">
        <f t="shared" si="18"/>
        <v>494371.78144974331</v>
      </c>
      <c r="Z60" s="92">
        <f t="shared" si="19"/>
        <v>33299.5</v>
      </c>
      <c r="AA60" s="5">
        <f t="shared" si="5"/>
        <v>0</v>
      </c>
      <c r="AB60" s="92">
        <f t="shared" si="6"/>
        <v>33299.5</v>
      </c>
      <c r="AD60" s="133">
        <f t="shared" si="24"/>
        <v>-178717.50000000006</v>
      </c>
      <c r="AE60" s="3">
        <f t="shared" si="8"/>
        <v>1</v>
      </c>
    </row>
    <row r="61" spans="9:31" x14ac:dyDescent="0.45">
      <c r="I61" s="20">
        <f t="shared" si="10"/>
        <v>55</v>
      </c>
      <c r="J61" s="63">
        <f t="shared" si="11"/>
        <v>36030.929356357039</v>
      </c>
      <c r="K61" s="79">
        <f t="shared" si="26"/>
        <v>159.14967542559324</v>
      </c>
      <c r="L61" s="63">
        <f t="shared" si="12"/>
        <v>-6097.607250621103</v>
      </c>
      <c r="M61" s="80">
        <f t="shared" si="0"/>
        <v>30092.47178116153</v>
      </c>
      <c r="O61" s="20">
        <f t="shared" si="13"/>
        <v>55</v>
      </c>
      <c r="P61" s="54">
        <f t="shared" si="14"/>
        <v>20625</v>
      </c>
      <c r="Q61" s="63">
        <f t="shared" si="15"/>
        <v>21393.937673894405</v>
      </c>
      <c r="R61" s="77">
        <f t="shared" si="2"/>
        <v>-6097.607250621103</v>
      </c>
      <c r="S61" s="63">
        <f t="shared" si="16"/>
        <v>-3309.5833333333335</v>
      </c>
      <c r="T61" s="63">
        <f>-T75*0.5</f>
        <v>0</v>
      </c>
      <c r="U61" s="63">
        <f t="shared" si="17"/>
        <v>-1069.6968836947203</v>
      </c>
      <c r="V61" s="77">
        <f t="shared" si="20"/>
        <v>-58.872395833333336</v>
      </c>
      <c r="W61" s="83">
        <f t="shared" si="4"/>
        <v>10858.177810411915</v>
      </c>
      <c r="X61" s="85">
        <f t="shared" si="18"/>
        <v>505229.95926015521</v>
      </c>
      <c r="Z61" s="92">
        <f t="shared" si="19"/>
        <v>28258.75</v>
      </c>
      <c r="AA61" s="5">
        <f t="shared" si="5"/>
        <v>0</v>
      </c>
      <c r="AB61" s="92">
        <f t="shared" si="6"/>
        <v>28258.75</v>
      </c>
      <c r="AD61" s="133">
        <f t="shared" si="24"/>
        <v>-182027.0833333334</v>
      </c>
      <c r="AE61" s="3">
        <f t="shared" si="8"/>
        <v>1</v>
      </c>
    </row>
    <row r="62" spans="9:31" x14ac:dyDescent="0.45">
      <c r="I62" s="20">
        <f t="shared" si="10"/>
        <v>56</v>
      </c>
      <c r="J62" s="63">
        <f t="shared" si="11"/>
        <v>30092.47178116153</v>
      </c>
      <c r="K62" s="79">
        <f t="shared" si="26"/>
        <v>132.91933353588917</v>
      </c>
      <c r="L62" s="63">
        <f t="shared" si="12"/>
        <v>-6097.607250621103</v>
      </c>
      <c r="M62" s="80">
        <f t="shared" si="0"/>
        <v>24127.783864076318</v>
      </c>
      <c r="O62" s="20">
        <f t="shared" si="13"/>
        <v>56</v>
      </c>
      <c r="P62" s="54">
        <f t="shared" si="14"/>
        <v>21000</v>
      </c>
      <c r="Q62" s="63">
        <f t="shared" si="15"/>
        <v>21393.937673894405</v>
      </c>
      <c r="R62" s="77">
        <f t="shared" si="2"/>
        <v>-6097.607250621103</v>
      </c>
      <c r="S62" s="63">
        <f t="shared" si="16"/>
        <v>-3309.5833333333335</v>
      </c>
      <c r="T62" s="63">
        <f>-T76*0.5</f>
        <v>0</v>
      </c>
      <c r="U62" s="63">
        <f t="shared" si="17"/>
        <v>-1069.6968836947203</v>
      </c>
      <c r="V62" s="77">
        <f t="shared" si="20"/>
        <v>-48.370833333333337</v>
      </c>
      <c r="W62" s="83">
        <f t="shared" si="4"/>
        <v>10868.679372911916</v>
      </c>
      <c r="X62" s="85">
        <f t="shared" si="18"/>
        <v>516098.63863306714</v>
      </c>
      <c r="Z62" s="92">
        <f t="shared" si="19"/>
        <v>23218</v>
      </c>
      <c r="AA62" s="5">
        <f t="shared" si="5"/>
        <v>0</v>
      </c>
      <c r="AB62" s="92">
        <f t="shared" si="6"/>
        <v>23218</v>
      </c>
      <c r="AD62" s="133">
        <f t="shared" si="24"/>
        <v>-185336.66666666674</v>
      </c>
      <c r="AE62" s="3">
        <f t="shared" si="8"/>
        <v>1</v>
      </c>
    </row>
    <row r="63" spans="9:31" x14ac:dyDescent="0.45">
      <c r="I63" s="20">
        <f t="shared" si="10"/>
        <v>57</v>
      </c>
      <c r="J63" s="63">
        <f t="shared" si="11"/>
        <v>24127.783864076318</v>
      </c>
      <c r="K63" s="79">
        <f t="shared" si="26"/>
        <v>106.57313145404959</v>
      </c>
      <c r="L63" s="63">
        <f t="shared" si="12"/>
        <v>-6097.607250621103</v>
      </c>
      <c r="M63" s="80">
        <f t="shared" si="0"/>
        <v>18136.749744909266</v>
      </c>
      <c r="O63" s="20">
        <f t="shared" si="13"/>
        <v>57</v>
      </c>
      <c r="P63" s="54">
        <f t="shared" si="14"/>
        <v>21375</v>
      </c>
      <c r="Q63" s="63">
        <f t="shared" si="15"/>
        <v>21393.937673894405</v>
      </c>
      <c r="R63" s="77">
        <f t="shared" si="2"/>
        <v>-6097.607250621103</v>
      </c>
      <c r="S63" s="63">
        <f>+S61</f>
        <v>-3309.5833333333335</v>
      </c>
      <c r="T63" s="63">
        <f>-T76*0.5</f>
        <v>0</v>
      </c>
      <c r="U63" s="63">
        <f>U61</f>
        <v>-1069.6968836947203</v>
      </c>
      <c r="V63" s="77">
        <f t="shared" si="20"/>
        <v>-37.869270833333339</v>
      </c>
      <c r="W63" s="83">
        <f t="shared" si="4"/>
        <v>10879.180935411916</v>
      </c>
      <c r="X63" s="85">
        <f>X61+W63</f>
        <v>516109.1401955671</v>
      </c>
      <c r="Z63" s="92">
        <f t="shared" si="19"/>
        <v>18177.25</v>
      </c>
      <c r="AA63" s="5">
        <f t="shared" si="5"/>
        <v>0</v>
      </c>
      <c r="AB63" s="92">
        <f t="shared" si="6"/>
        <v>18177.25</v>
      </c>
      <c r="AD63" s="133">
        <f>IF(AD61=0,0,IF(+S63+AD61&lt;-$S$68,0,+S63+AD61))</f>
        <v>-185336.66666666674</v>
      </c>
      <c r="AE63" s="3">
        <f t="shared" si="8"/>
        <v>1</v>
      </c>
    </row>
    <row r="64" spans="9:31" x14ac:dyDescent="0.45">
      <c r="I64" s="20">
        <f t="shared" si="10"/>
        <v>58</v>
      </c>
      <c r="J64" s="63">
        <f t="shared" si="11"/>
        <v>18136.749744909266</v>
      </c>
      <c r="K64" s="79">
        <f t="shared" si="26"/>
        <v>80.110557422195797</v>
      </c>
      <c r="L64" s="63">
        <f t="shared" si="12"/>
        <v>-6097.607250621103</v>
      </c>
      <c r="M64" s="80">
        <f t="shared" si="0"/>
        <v>12119.253051710359</v>
      </c>
      <c r="O64" s="20">
        <f t="shared" si="13"/>
        <v>58</v>
      </c>
      <c r="P64" s="54">
        <f t="shared" si="14"/>
        <v>21750</v>
      </c>
      <c r="Q64" s="63">
        <f t="shared" si="15"/>
        <v>21393.937673894405</v>
      </c>
      <c r="R64" s="77">
        <f t="shared" si="2"/>
        <v>-6097.607250621103</v>
      </c>
      <c r="S64" s="63">
        <f>+S61</f>
        <v>-3309.5833333333335</v>
      </c>
      <c r="T64" s="63">
        <f>-T76*0.5</f>
        <v>0</v>
      </c>
      <c r="U64" s="63">
        <f>U61</f>
        <v>-1069.6968836947203</v>
      </c>
      <c r="V64" s="77">
        <f t="shared" si="20"/>
        <v>-27.367708333333336</v>
      </c>
      <c r="W64" s="83">
        <f t="shared" si="4"/>
        <v>10889.682497911916</v>
      </c>
      <c r="X64" s="85">
        <f>X61+W64</f>
        <v>516119.64175806713</v>
      </c>
      <c r="Z64" s="92">
        <f t="shared" si="19"/>
        <v>13136.5</v>
      </c>
      <c r="AA64" s="5">
        <f t="shared" si="5"/>
        <v>0</v>
      </c>
      <c r="AB64" s="92">
        <f t="shared" si="6"/>
        <v>13136.5</v>
      </c>
      <c r="AD64" s="133">
        <f>IF(AD61=0,0,IF(+S64+AD61&lt;-$S$68,0,+S64+AD61))</f>
        <v>-185336.66666666674</v>
      </c>
      <c r="AE64" s="3">
        <f t="shared" si="8"/>
        <v>1</v>
      </c>
    </row>
    <row r="65" spans="1:31" x14ac:dyDescent="0.45">
      <c r="I65" s="20">
        <f t="shared" si="10"/>
        <v>59</v>
      </c>
      <c r="J65" s="63">
        <f t="shared" si="11"/>
        <v>12119.253051710359</v>
      </c>
      <c r="K65" s="79">
        <f t="shared" si="26"/>
        <v>53.531097421999604</v>
      </c>
      <c r="L65" s="63">
        <f t="shared" si="12"/>
        <v>-6097.607250621103</v>
      </c>
      <c r="M65" s="80">
        <f t="shared" si="0"/>
        <v>6075.1768985112549</v>
      </c>
      <c r="O65" s="20">
        <f t="shared" si="13"/>
        <v>59</v>
      </c>
      <c r="P65" s="54">
        <f t="shared" si="14"/>
        <v>22125</v>
      </c>
      <c r="Q65" s="63">
        <f t="shared" si="15"/>
        <v>21393.937673894405</v>
      </c>
      <c r="R65" s="77">
        <f t="shared" si="2"/>
        <v>-6097.607250621103</v>
      </c>
      <c r="S65" s="63">
        <f>+S62</f>
        <v>-3309.5833333333335</v>
      </c>
      <c r="T65" s="63">
        <f>-T77*0.5</f>
        <v>0</v>
      </c>
      <c r="U65" s="63">
        <f>U62</f>
        <v>-1069.6968836947203</v>
      </c>
      <c r="V65" s="77">
        <f t="shared" si="20"/>
        <v>-16.866145833333334</v>
      </c>
      <c r="W65" s="83">
        <f t="shared" si="4"/>
        <v>10900.184060411915</v>
      </c>
      <c r="X65" s="85">
        <f>X62+W65</f>
        <v>526998.82269347901</v>
      </c>
      <c r="Z65" s="92">
        <f t="shared" si="19"/>
        <v>8095.75</v>
      </c>
      <c r="AA65" s="5">
        <f t="shared" si="5"/>
        <v>0</v>
      </c>
      <c r="AB65" s="92">
        <f t="shared" si="6"/>
        <v>8095.75</v>
      </c>
      <c r="AD65" s="133">
        <f>IF(AD62=0,0,IF(+S65+AD62&lt;-$S$68,0,+S65+AD62))</f>
        <v>-188646.25000000009</v>
      </c>
      <c r="AE65" s="3">
        <f t="shared" si="8"/>
        <v>1</v>
      </c>
    </row>
    <row r="66" spans="1:31" ht="14.65" thickBot="1" x14ac:dyDescent="0.5">
      <c r="I66" s="20">
        <f t="shared" si="10"/>
        <v>60</v>
      </c>
      <c r="J66" s="63">
        <f t="shared" si="11"/>
        <v>6075.1768985112549</v>
      </c>
      <c r="K66" s="79">
        <f t="shared" si="26"/>
        <v>26.834235164698637</v>
      </c>
      <c r="L66" s="63">
        <f t="shared" si="12"/>
        <v>-6097.607250621103</v>
      </c>
      <c r="M66" s="80">
        <f t="shared" si="0"/>
        <v>4.4038830548506667</v>
      </c>
      <c r="O66" s="20">
        <f t="shared" si="13"/>
        <v>60</v>
      </c>
      <c r="P66" s="54">
        <f t="shared" si="14"/>
        <v>22500</v>
      </c>
      <c r="Q66" s="63">
        <f t="shared" si="15"/>
        <v>21393.937673894405</v>
      </c>
      <c r="R66" s="77">
        <f t="shared" si="2"/>
        <v>-6097.607250621103</v>
      </c>
      <c r="S66" s="63">
        <f>+S62</f>
        <v>-3309.5833333333335</v>
      </c>
      <c r="T66" s="63">
        <f>-T77*0.5</f>
        <v>0</v>
      </c>
      <c r="U66" s="63">
        <f>U62</f>
        <v>-1069.6968836947203</v>
      </c>
      <c r="V66" s="77">
        <f t="shared" si="20"/>
        <v>-6.364583333333333</v>
      </c>
      <c r="W66" s="83">
        <f t="shared" si="4"/>
        <v>10910.685622911915</v>
      </c>
      <c r="X66" s="85">
        <f>X62+W66</f>
        <v>527009.32425597904</v>
      </c>
      <c r="Z66" s="92">
        <f t="shared" si="19"/>
        <v>3055</v>
      </c>
      <c r="AA66" s="5">
        <f t="shared" si="5"/>
        <v>0</v>
      </c>
      <c r="AB66" s="92">
        <f t="shared" si="6"/>
        <v>3055</v>
      </c>
      <c r="AD66" s="133">
        <f>IF(AD62=0,0,IF(+S66+AD62&lt;-$S$68,0,+S66+AD62))</f>
        <v>-188646.25000000009</v>
      </c>
      <c r="AE66" s="3">
        <f t="shared" si="8"/>
        <v>1</v>
      </c>
    </row>
    <row r="67" spans="1:31" ht="14.65" thickBot="1" x14ac:dyDescent="0.5">
      <c r="I67" s="21" t="s">
        <v>20</v>
      </c>
      <c r="J67" s="69">
        <f>C7*C11</f>
        <v>3207.75</v>
      </c>
      <c r="K67" s="69">
        <f>SUM(K7:K54)</f>
        <v>43027.409911981034</v>
      </c>
      <c r="L67" s="81"/>
      <c r="M67" s="82"/>
      <c r="O67" s="58"/>
      <c r="P67" s="59"/>
      <c r="Q67" s="69">
        <f t="shared" ref="Q67:V67" si="27">SUM(Q7:Q54)</f>
        <v>1026909.0083469325</v>
      </c>
      <c r="R67" s="69">
        <f t="shared" si="27"/>
        <v>-292685.1480298129</v>
      </c>
      <c r="S67" s="87">
        <f t="shared" si="27"/>
        <v>-158860</v>
      </c>
      <c r="T67" s="87">
        <f t="shared" si="27"/>
        <v>-76375</v>
      </c>
      <c r="U67" s="69">
        <f t="shared" si="27"/>
        <v>-51345.450417346561</v>
      </c>
      <c r="V67" s="69">
        <f t="shared" si="27"/>
        <v>-18200.162500000002</v>
      </c>
      <c r="W67" s="88"/>
      <c r="X67" s="82"/>
    </row>
    <row r="68" spans="1:31" x14ac:dyDescent="0.45">
      <c r="Q68" s="89">
        <f>+SUM(Q67:V67)</f>
        <v>429443.2473997731</v>
      </c>
      <c r="R68" s="89"/>
      <c r="S68" s="90">
        <f>D31</f>
        <v>198575</v>
      </c>
      <c r="T68" s="60">
        <f>D32</f>
        <v>76375</v>
      </c>
      <c r="U68" s="89"/>
      <c r="V68" s="89"/>
      <c r="W68" s="89"/>
      <c r="X68" s="89"/>
    </row>
    <row r="69" spans="1:31" ht="14.65" thickBot="1" x14ac:dyDescent="0.5">
      <c r="L69" s="129">
        <f>+PMT(C8/12,C12,(C7),,)</f>
        <v>-6097.607250621103</v>
      </c>
      <c r="Q69" s="89"/>
      <c r="R69" s="89"/>
      <c r="S69" s="91">
        <f>S67+S68</f>
        <v>39715</v>
      </c>
      <c r="T69" s="66">
        <f>T67+T68</f>
        <v>0</v>
      </c>
      <c r="U69" s="89"/>
      <c r="V69" s="89"/>
      <c r="W69" s="89"/>
      <c r="X69" s="89"/>
    </row>
    <row r="70" spans="1:31" s="131" customFormat="1" ht="14.65" thickBot="1" x14ac:dyDescent="0.5"/>
    <row r="71" spans="1:31" s="177" customFormat="1" ht="31.15" thickBot="1" x14ac:dyDescent="0.5">
      <c r="A71" s="695" t="str">
        <f>+A3</f>
        <v>ATLAS T35</v>
      </c>
      <c r="B71" s="696"/>
      <c r="C71" s="697"/>
      <c r="D71" s="698" t="s">
        <v>2</v>
      </c>
      <c r="E71" s="699"/>
      <c r="F71" s="699"/>
      <c r="G71" s="699"/>
      <c r="H71" s="700"/>
      <c r="I71" s="700"/>
      <c r="J71" s="700"/>
      <c r="K71" s="700"/>
      <c r="L71" s="700"/>
      <c r="M71" s="700"/>
      <c r="N71" s="700"/>
      <c r="O71" s="700"/>
      <c r="P71" s="700"/>
      <c r="Q71" s="700"/>
      <c r="R71" s="700"/>
      <c r="S71" s="700"/>
      <c r="T71" s="700"/>
      <c r="U71" s="700"/>
      <c r="V71" s="700"/>
      <c r="W71" s="700"/>
      <c r="X71" s="701"/>
    </row>
    <row r="72" spans="1:31" s="177" customFormat="1" ht="28.9" thickBot="1" x14ac:dyDescent="0.5">
      <c r="C72" s="178"/>
      <c r="D72" s="178"/>
      <c r="E72" s="179" t="s">
        <v>77</v>
      </c>
      <c r="F72" s="179" t="s">
        <v>78</v>
      </c>
      <c r="G72" s="179" t="s">
        <v>79</v>
      </c>
      <c r="H72" s="178"/>
      <c r="I72" s="180"/>
      <c r="J72" s="178"/>
      <c r="K72" s="178"/>
      <c r="L72" s="178"/>
      <c r="M72" s="178"/>
      <c r="Q72" s="181">
        <f>+C81/C80*C82</f>
        <v>194.44444444444443</v>
      </c>
      <c r="U72" s="182">
        <v>0.05</v>
      </c>
    </row>
    <row r="73" spans="1:31" s="177" customFormat="1" ht="23.65" thickBot="1" x14ac:dyDescent="0.5">
      <c r="A73" s="708" t="s">
        <v>9</v>
      </c>
      <c r="B73" s="709"/>
      <c r="C73" s="710"/>
      <c r="D73" s="178"/>
      <c r="E73" s="183">
        <f>+'Summary Equip'!AL27</f>
        <v>0</v>
      </c>
      <c r="F73" s="183">
        <f>+'Summary Equip'!AM27</f>
        <v>0</v>
      </c>
      <c r="G73" s="183">
        <f>+'Summary Equip'!AN27</f>
        <v>0</v>
      </c>
      <c r="H73" s="178"/>
      <c r="I73" s="711" t="s">
        <v>34</v>
      </c>
      <c r="J73" s="712"/>
      <c r="K73" s="712"/>
      <c r="L73" s="712"/>
      <c r="M73" s="713"/>
      <c r="O73" s="711" t="s">
        <v>35</v>
      </c>
      <c r="P73" s="714"/>
      <c r="Q73" s="712"/>
      <c r="R73" s="712"/>
      <c r="S73" s="712"/>
      <c r="T73" s="712"/>
      <c r="U73" s="712"/>
      <c r="V73" s="712"/>
      <c r="W73" s="715"/>
      <c r="X73" s="716"/>
      <c r="AA73" s="184">
        <v>0</v>
      </c>
    </row>
    <row r="74" spans="1:31" s="177" customFormat="1" ht="28.9" thickBot="1" x14ac:dyDescent="0.5">
      <c r="A74" s="185" t="s">
        <v>0</v>
      </c>
      <c r="B74" s="186" t="s">
        <v>1</v>
      </c>
      <c r="C74" s="187" t="s">
        <v>10</v>
      </c>
      <c r="D74" s="178"/>
      <c r="E74" s="178"/>
      <c r="F74" s="178"/>
      <c r="G74" s="178"/>
      <c r="H74" s="178"/>
      <c r="I74" s="188" t="s">
        <v>15</v>
      </c>
      <c r="J74" s="189" t="s">
        <v>16</v>
      </c>
      <c r="K74" s="189" t="s">
        <v>17</v>
      </c>
      <c r="L74" s="189" t="s">
        <v>18</v>
      </c>
      <c r="M74" s="190" t="s">
        <v>19</v>
      </c>
      <c r="O74" s="188" t="s">
        <v>15</v>
      </c>
      <c r="P74" s="191" t="s">
        <v>39</v>
      </c>
      <c r="Q74" s="189" t="s">
        <v>36</v>
      </c>
      <c r="R74" s="189" t="s">
        <v>37</v>
      </c>
      <c r="S74" s="189" t="s">
        <v>27</v>
      </c>
      <c r="T74" s="189" t="s">
        <v>38</v>
      </c>
      <c r="U74" s="189" t="s">
        <v>7</v>
      </c>
      <c r="V74" s="189" t="s">
        <v>41</v>
      </c>
      <c r="W74" s="190" t="s">
        <v>40</v>
      </c>
      <c r="X74" s="192" t="s">
        <v>42</v>
      </c>
      <c r="Z74" s="193" t="s">
        <v>71</v>
      </c>
      <c r="AA74" s="193" t="s">
        <v>46</v>
      </c>
      <c r="AB74" s="193" t="s">
        <v>47</v>
      </c>
    </row>
    <row r="75" spans="1:31" s="177" customFormat="1" x14ac:dyDescent="0.45">
      <c r="A75" s="194">
        <v>1</v>
      </c>
      <c r="B75" s="195" t="s">
        <v>11</v>
      </c>
      <c r="C75" s="196">
        <f>+F79*(1+'Summary Equip'!$N$3)</f>
        <v>15275</v>
      </c>
      <c r="D75" s="197"/>
      <c r="E75" s="194" t="s">
        <v>61</v>
      </c>
      <c r="F75" s="198">
        <f>+IF(G73=1,'Summary Equip'!Q29,'Summary Equip'!J27)</f>
        <v>0</v>
      </c>
      <c r="G75" s="199"/>
      <c r="H75" s="178"/>
      <c r="I75" s="200">
        <v>1</v>
      </c>
      <c r="J75" s="201">
        <f>C75</f>
        <v>15275</v>
      </c>
      <c r="K75" s="201">
        <f>J75*$C$8*30.44/365.25</f>
        <v>67.470124572210807</v>
      </c>
      <c r="L75" s="201">
        <f>L125</f>
        <v>-459.86573064095091</v>
      </c>
      <c r="M75" s="202">
        <f t="shared" ref="M75:M122" si="28">J75+K75+L75</f>
        <v>14882.604393931259</v>
      </c>
      <c r="O75" s="200">
        <v>1</v>
      </c>
      <c r="P75" s="203">
        <f>Q72</f>
        <v>194.44444444444443</v>
      </c>
      <c r="Q75" s="201">
        <f t="shared" ref="Q75:Q110" si="29">$F$110+($Q$4*$G$42)</f>
        <v>18796.299408520365</v>
      </c>
      <c r="R75" s="201">
        <f>+L75</f>
        <v>-459.86573064095091</v>
      </c>
      <c r="S75" s="201">
        <f>-S124/C80</f>
        <v>0</v>
      </c>
      <c r="T75" s="201"/>
      <c r="U75" s="201">
        <f>-Q75*U72</f>
        <v>-939.81497042601825</v>
      </c>
      <c r="V75" s="201">
        <f>-(AB75*$C$9/12)</f>
        <v>-625.95677083333339</v>
      </c>
      <c r="W75" s="204">
        <f>SUM(Q75:V75)</f>
        <v>16770.661936620061</v>
      </c>
      <c r="X75" s="205">
        <f>W75</f>
        <v>16770.661936620061</v>
      </c>
      <c r="Z75" s="206">
        <f>+$D$27-(($D$27+$D$28)*O75/$B$22)</f>
        <v>300459.25</v>
      </c>
      <c r="AA75" s="193">
        <f>+Z75*$AA$5</f>
        <v>0</v>
      </c>
      <c r="AB75" s="206">
        <f>+Z75+AA75</f>
        <v>300459.25</v>
      </c>
    </row>
    <row r="76" spans="1:31" s="177" customFormat="1" ht="28.5" x14ac:dyDescent="0.45">
      <c r="A76" s="207">
        <f>A75+1</f>
        <v>2</v>
      </c>
      <c r="B76" s="193" t="s">
        <v>3</v>
      </c>
      <c r="C76" s="208">
        <f>+C8</f>
        <v>5.2999999999999999E-2</v>
      </c>
      <c r="D76" s="178"/>
      <c r="E76" s="209" t="s">
        <v>64</v>
      </c>
      <c r="F76" s="210">
        <f>+'Summary Equip'!D27*(1-'ATLAS T35'!E73)</f>
        <v>0</v>
      </c>
      <c r="G76" s="211"/>
      <c r="H76" s="178"/>
      <c r="I76" s="212">
        <f>I75+1</f>
        <v>2</v>
      </c>
      <c r="J76" s="213">
        <f>M75</f>
        <v>14882.604393931259</v>
      </c>
      <c r="K76" s="213">
        <f t="shared" ref="K76:K110" si="30">J76*$C$8*30.44/365.25</f>
        <v>65.736901631258533</v>
      </c>
      <c r="L76" s="213">
        <f>L75</f>
        <v>-459.86573064095091</v>
      </c>
      <c r="M76" s="214">
        <f t="shared" si="28"/>
        <v>14488.475564921566</v>
      </c>
      <c r="O76" s="212">
        <f>O75+1</f>
        <v>2</v>
      </c>
      <c r="P76" s="215">
        <f>P75+$Q$4</f>
        <v>569.44444444444446</v>
      </c>
      <c r="Q76" s="201">
        <f t="shared" si="29"/>
        <v>18796.299408520365</v>
      </c>
      <c r="R76" s="201">
        <f t="shared" ref="R76:R122" si="31">+L76</f>
        <v>-459.86573064095091</v>
      </c>
      <c r="S76" s="213">
        <f>+S75</f>
        <v>0</v>
      </c>
      <c r="T76" s="213"/>
      <c r="U76" s="213">
        <f>U75</f>
        <v>-939.81497042601825</v>
      </c>
      <c r="V76" s="201">
        <f t="shared" ref="V76:V82" si="32">-(AB76*$C$9/12)</f>
        <v>-615.45520833333342</v>
      </c>
      <c r="W76" s="204">
        <f t="shared" ref="W76:W122" si="33">SUM(Q76:V76)</f>
        <v>16781.163499120063</v>
      </c>
      <c r="X76" s="216">
        <f>X75+W76</f>
        <v>33551.825435740124</v>
      </c>
      <c r="Z76" s="206">
        <f>+$D$27-(($D$27+$D$28)*O76/$B$22)</f>
        <v>295418.5</v>
      </c>
      <c r="AA76" s="193">
        <f t="shared" ref="AA76:AA122" si="34">+Z76*$AA$5</f>
        <v>0</v>
      </c>
      <c r="AB76" s="206">
        <f t="shared" ref="AB76:AB122" si="35">+Z76+AA76</f>
        <v>295418.5</v>
      </c>
    </row>
    <row r="77" spans="1:31" s="177" customFormat="1" x14ac:dyDescent="0.45">
      <c r="A77" s="207">
        <f t="shared" ref="A77:A82" si="36">A76+1</f>
        <v>3</v>
      </c>
      <c r="B77" s="193" t="s">
        <v>4</v>
      </c>
      <c r="C77" s="208">
        <f>+C9</f>
        <v>2.5000000000000001E-2</v>
      </c>
      <c r="D77" s="178"/>
      <c r="E77" s="109" t="s">
        <v>69</v>
      </c>
      <c r="F77" s="149">
        <f>+F9</f>
        <v>15275</v>
      </c>
      <c r="G77" s="110"/>
      <c r="H77" s="178"/>
      <c r="I77" s="212">
        <f t="shared" ref="I77:I122" si="37">I76+1</f>
        <v>3</v>
      </c>
      <c r="J77" s="213">
        <f t="shared" ref="J77:J91" si="38">M76</f>
        <v>14488.475564921566</v>
      </c>
      <c r="K77" s="213">
        <f t="shared" si="30"/>
        <v>63.996022993564033</v>
      </c>
      <c r="L77" s="213">
        <f t="shared" ref="L77:L109" si="39">L76</f>
        <v>-459.86573064095091</v>
      </c>
      <c r="M77" s="214">
        <f t="shared" si="28"/>
        <v>14092.605857274179</v>
      </c>
      <c r="O77" s="212">
        <f t="shared" ref="O77:O122" si="40">O76+1</f>
        <v>3</v>
      </c>
      <c r="P77" s="215">
        <f t="shared" ref="P77:P122" si="41">P76+$Q$4</f>
        <v>944.44444444444446</v>
      </c>
      <c r="Q77" s="201">
        <f t="shared" si="29"/>
        <v>18796.299408520365</v>
      </c>
      <c r="R77" s="201">
        <f t="shared" si="31"/>
        <v>-459.86573064095091</v>
      </c>
      <c r="S77" s="213">
        <f t="shared" ref="S77:S122" si="42">+S76</f>
        <v>0</v>
      </c>
      <c r="T77" s="213"/>
      <c r="U77" s="213">
        <f t="shared" ref="U77:U122" si="43">U76</f>
        <v>-939.81497042601825</v>
      </c>
      <c r="V77" s="201">
        <f t="shared" si="32"/>
        <v>-604.95364583333333</v>
      </c>
      <c r="W77" s="204">
        <f t="shared" si="33"/>
        <v>16791.66506162006</v>
      </c>
      <c r="X77" s="216">
        <f t="shared" ref="X77:X122" si="44">X76+W77</f>
        <v>50343.490497360181</v>
      </c>
      <c r="Z77" s="206">
        <f t="shared" ref="Z77:Z122" si="45">+$D$27-(($D$27+$D$28)*O77/$B$22)</f>
        <v>290377.75</v>
      </c>
      <c r="AA77" s="193">
        <f t="shared" si="34"/>
        <v>0</v>
      </c>
      <c r="AB77" s="206">
        <f t="shared" si="35"/>
        <v>290377.75</v>
      </c>
    </row>
    <row r="78" spans="1:31" s="177" customFormat="1" ht="14.65" thickBot="1" x14ac:dyDescent="0.5">
      <c r="A78" s="207">
        <f t="shared" si="36"/>
        <v>4</v>
      </c>
      <c r="B78" s="193" t="s">
        <v>5</v>
      </c>
      <c r="C78" s="208">
        <f>+C10</f>
        <v>0.05</v>
      </c>
      <c r="D78" s="178"/>
      <c r="E78" s="111" t="s">
        <v>52</v>
      </c>
      <c r="F78" s="217">
        <f>(SUM(F75:F77)*G78)*(1-F73)</f>
        <v>0</v>
      </c>
      <c r="G78" s="218">
        <f>+G10</f>
        <v>0</v>
      </c>
      <c r="H78" s="178"/>
      <c r="I78" s="212">
        <f t="shared" si="37"/>
        <v>4</v>
      </c>
      <c r="J78" s="213">
        <f t="shared" si="38"/>
        <v>14092.605857274179</v>
      </c>
      <c r="K78" s="213">
        <f t="shared" si="30"/>
        <v>62.247454843689468</v>
      </c>
      <c r="L78" s="213">
        <f t="shared" si="39"/>
        <v>-459.86573064095091</v>
      </c>
      <c r="M78" s="214">
        <f t="shared" si="28"/>
        <v>13694.987581476917</v>
      </c>
      <c r="O78" s="212">
        <f t="shared" si="40"/>
        <v>4</v>
      </c>
      <c r="P78" s="215">
        <f t="shared" si="41"/>
        <v>1319.4444444444443</v>
      </c>
      <c r="Q78" s="201">
        <f t="shared" si="29"/>
        <v>18796.299408520365</v>
      </c>
      <c r="R78" s="201">
        <f t="shared" si="31"/>
        <v>-459.86573064095091</v>
      </c>
      <c r="S78" s="213">
        <f t="shared" si="42"/>
        <v>0</v>
      </c>
      <c r="T78" s="213"/>
      <c r="U78" s="213">
        <f t="shared" si="43"/>
        <v>-939.81497042601825</v>
      </c>
      <c r="V78" s="201">
        <f t="shared" si="32"/>
        <v>-594.45208333333335</v>
      </c>
      <c r="W78" s="204">
        <f t="shared" si="33"/>
        <v>16802.166624120062</v>
      </c>
      <c r="X78" s="216">
        <f t="shared" si="44"/>
        <v>67145.657121480239</v>
      </c>
      <c r="Z78" s="206">
        <f t="shared" si="45"/>
        <v>285337</v>
      </c>
      <c r="AA78" s="193">
        <f t="shared" si="34"/>
        <v>0</v>
      </c>
      <c r="AB78" s="206">
        <f t="shared" si="35"/>
        <v>285337</v>
      </c>
    </row>
    <row r="79" spans="1:31" s="177" customFormat="1" ht="14.65" thickBot="1" x14ac:dyDescent="0.5">
      <c r="A79" s="207">
        <f t="shared" si="36"/>
        <v>5</v>
      </c>
      <c r="B79" s="193" t="s">
        <v>12</v>
      </c>
      <c r="C79" s="208">
        <f>+C11</f>
        <v>0.01</v>
      </c>
      <c r="D79" s="178"/>
      <c r="E79" s="112" t="s">
        <v>28</v>
      </c>
      <c r="F79" s="219">
        <f>SUM(F75:F78)</f>
        <v>15275</v>
      </c>
      <c r="G79" s="113"/>
      <c r="H79" s="178"/>
      <c r="I79" s="212">
        <f t="shared" si="37"/>
        <v>5</v>
      </c>
      <c r="J79" s="213">
        <f t="shared" si="38"/>
        <v>13694.987581476917</v>
      </c>
      <c r="K79" s="213">
        <f t="shared" si="30"/>
        <v>60.491163216833243</v>
      </c>
      <c r="L79" s="213">
        <f t="shared" si="39"/>
        <v>-459.86573064095091</v>
      </c>
      <c r="M79" s="214">
        <f t="shared" si="28"/>
        <v>13295.613014052798</v>
      </c>
      <c r="O79" s="212">
        <f t="shared" si="40"/>
        <v>5</v>
      </c>
      <c r="P79" s="215">
        <f t="shared" si="41"/>
        <v>1694.4444444444443</v>
      </c>
      <c r="Q79" s="201">
        <f t="shared" si="29"/>
        <v>18796.299408520365</v>
      </c>
      <c r="R79" s="201">
        <f t="shared" si="31"/>
        <v>-459.86573064095091</v>
      </c>
      <c r="S79" s="213">
        <f t="shared" si="42"/>
        <v>0</v>
      </c>
      <c r="T79" s="213"/>
      <c r="U79" s="213">
        <f t="shared" si="43"/>
        <v>-939.81497042601825</v>
      </c>
      <c r="V79" s="201">
        <f t="shared" si="32"/>
        <v>-583.95052083333337</v>
      </c>
      <c r="W79" s="204">
        <f t="shared" si="33"/>
        <v>16812.668186620063</v>
      </c>
      <c r="X79" s="216">
        <f t="shared" si="44"/>
        <v>83958.325308100306</v>
      </c>
      <c r="Z79" s="206">
        <f t="shared" si="45"/>
        <v>280296.25</v>
      </c>
      <c r="AA79" s="193">
        <f t="shared" si="34"/>
        <v>0</v>
      </c>
      <c r="AB79" s="206">
        <f t="shared" si="35"/>
        <v>280296.25</v>
      </c>
    </row>
    <row r="80" spans="1:31" s="177" customFormat="1" x14ac:dyDescent="0.45">
      <c r="A80" s="207">
        <f t="shared" si="36"/>
        <v>6</v>
      </c>
      <c r="B80" s="193" t="s">
        <v>13</v>
      </c>
      <c r="C80" s="220">
        <v>36</v>
      </c>
      <c r="D80" s="178"/>
      <c r="E80" s="178"/>
      <c r="F80" s="178"/>
      <c r="G80" s="178"/>
      <c r="H80" s="178"/>
      <c r="I80" s="212">
        <f t="shared" si="37"/>
        <v>6</v>
      </c>
      <c r="J80" s="213">
        <f t="shared" si="38"/>
        <v>13295.613014052798</v>
      </c>
      <c r="K80" s="213">
        <f t="shared" si="30"/>
        <v>58.727113998170189</v>
      </c>
      <c r="L80" s="213">
        <f t="shared" si="39"/>
        <v>-459.86573064095091</v>
      </c>
      <c r="M80" s="214">
        <f t="shared" si="28"/>
        <v>12894.474397410017</v>
      </c>
      <c r="O80" s="212">
        <f t="shared" si="40"/>
        <v>6</v>
      </c>
      <c r="P80" s="215">
        <f t="shared" si="41"/>
        <v>2069.4444444444443</v>
      </c>
      <c r="Q80" s="201">
        <f t="shared" si="29"/>
        <v>18796.299408520365</v>
      </c>
      <c r="R80" s="201">
        <f t="shared" si="31"/>
        <v>-459.86573064095091</v>
      </c>
      <c r="S80" s="213">
        <f t="shared" si="42"/>
        <v>0</v>
      </c>
      <c r="T80" s="213"/>
      <c r="U80" s="213">
        <f t="shared" si="43"/>
        <v>-939.81497042601825</v>
      </c>
      <c r="V80" s="201">
        <f t="shared" si="32"/>
        <v>-573.44895833333339</v>
      </c>
      <c r="W80" s="204">
        <f t="shared" si="33"/>
        <v>16823.169749120061</v>
      </c>
      <c r="X80" s="216">
        <f t="shared" si="44"/>
        <v>100781.49505722037</v>
      </c>
      <c r="Z80" s="206">
        <f t="shared" si="45"/>
        <v>275255.5</v>
      </c>
      <c r="AA80" s="193">
        <f t="shared" si="34"/>
        <v>0</v>
      </c>
      <c r="AB80" s="206">
        <f t="shared" si="35"/>
        <v>275255.5</v>
      </c>
    </row>
    <row r="81" spans="1:28" s="177" customFormat="1" x14ac:dyDescent="0.45">
      <c r="A81" s="207">
        <f t="shared" si="36"/>
        <v>7</v>
      </c>
      <c r="B81" s="193" t="s">
        <v>14</v>
      </c>
      <c r="C81" s="220">
        <f>+C13</f>
        <v>10000</v>
      </c>
      <c r="D81" s="178"/>
      <c r="E81" s="178"/>
      <c r="F81" s="178"/>
      <c r="G81" s="178"/>
      <c r="H81" s="178"/>
      <c r="I81" s="212">
        <f t="shared" si="37"/>
        <v>7</v>
      </c>
      <c r="J81" s="213">
        <f t="shared" si="38"/>
        <v>12894.474397410017</v>
      </c>
      <c r="K81" s="213">
        <f t="shared" si="30"/>
        <v>56.955272922188982</v>
      </c>
      <c r="L81" s="213">
        <f t="shared" si="39"/>
        <v>-459.86573064095091</v>
      </c>
      <c r="M81" s="214">
        <f t="shared" si="28"/>
        <v>12491.563939691254</v>
      </c>
      <c r="O81" s="212">
        <f t="shared" si="40"/>
        <v>7</v>
      </c>
      <c r="P81" s="215">
        <f t="shared" si="41"/>
        <v>2444.4444444444443</v>
      </c>
      <c r="Q81" s="201">
        <f t="shared" si="29"/>
        <v>18796.299408520365</v>
      </c>
      <c r="R81" s="201">
        <f t="shared" si="31"/>
        <v>-459.86573064095091</v>
      </c>
      <c r="S81" s="213">
        <f t="shared" si="42"/>
        <v>0</v>
      </c>
      <c r="T81" s="213"/>
      <c r="U81" s="213">
        <f t="shared" si="43"/>
        <v>-939.81497042601825</v>
      </c>
      <c r="V81" s="201">
        <f t="shared" si="32"/>
        <v>-562.94739583333342</v>
      </c>
      <c r="W81" s="204">
        <f t="shared" si="33"/>
        <v>16833.671311620063</v>
      </c>
      <c r="X81" s="216">
        <f t="shared" si="44"/>
        <v>117615.16636884044</v>
      </c>
      <c r="Z81" s="206">
        <f t="shared" si="45"/>
        <v>270214.75</v>
      </c>
      <c r="AA81" s="193">
        <f t="shared" si="34"/>
        <v>0</v>
      </c>
      <c r="AB81" s="206">
        <f t="shared" si="35"/>
        <v>270214.75</v>
      </c>
    </row>
    <row r="82" spans="1:28" s="177" customFormat="1" ht="14.65" thickBot="1" x14ac:dyDescent="0.5">
      <c r="A82" s="221">
        <f t="shared" si="36"/>
        <v>8</v>
      </c>
      <c r="B82" s="222" t="s">
        <v>33</v>
      </c>
      <c r="C82" s="208">
        <v>0.7</v>
      </c>
      <c r="D82" s="178"/>
      <c r="E82" s="178"/>
      <c r="F82" s="178"/>
      <c r="G82" s="178"/>
      <c r="H82" s="178"/>
      <c r="I82" s="212">
        <f t="shared" si="37"/>
        <v>8</v>
      </c>
      <c r="J82" s="213">
        <f t="shared" si="38"/>
        <v>12491.563939691254</v>
      </c>
      <c r="K82" s="213">
        <f t="shared" si="30"/>
        <v>55.175605572026534</v>
      </c>
      <c r="L82" s="213">
        <f t="shared" si="39"/>
        <v>-459.86573064095091</v>
      </c>
      <c r="M82" s="214">
        <f t="shared" si="28"/>
        <v>12086.87381462233</v>
      </c>
      <c r="O82" s="212">
        <f t="shared" si="40"/>
        <v>8</v>
      </c>
      <c r="P82" s="215">
        <f t="shared" si="41"/>
        <v>2819.4444444444443</v>
      </c>
      <c r="Q82" s="201">
        <f t="shared" si="29"/>
        <v>18796.299408520365</v>
      </c>
      <c r="R82" s="201">
        <f t="shared" si="31"/>
        <v>-459.86573064095091</v>
      </c>
      <c r="S82" s="213">
        <f t="shared" si="42"/>
        <v>0</v>
      </c>
      <c r="T82" s="213"/>
      <c r="U82" s="213">
        <f t="shared" si="43"/>
        <v>-939.81497042601825</v>
      </c>
      <c r="V82" s="201">
        <f t="shared" si="32"/>
        <v>-552.44583333333333</v>
      </c>
      <c r="W82" s="204">
        <f t="shared" si="33"/>
        <v>16844.17287412006</v>
      </c>
      <c r="X82" s="216">
        <f t="shared" si="44"/>
        <v>134459.3392429605</v>
      </c>
      <c r="Z82" s="206">
        <f t="shared" si="45"/>
        <v>265174</v>
      </c>
      <c r="AA82" s="193">
        <f t="shared" si="34"/>
        <v>0</v>
      </c>
      <c r="AB82" s="206">
        <f t="shared" si="35"/>
        <v>265174</v>
      </c>
    </row>
    <row r="83" spans="1:28" s="177" customFormat="1" ht="14.65" thickBot="1" x14ac:dyDescent="0.5">
      <c r="C83" s="178"/>
      <c r="D83" s="178"/>
      <c r="E83" s="178"/>
      <c r="F83" s="178"/>
      <c r="G83" s="178"/>
      <c r="H83" s="178"/>
      <c r="I83" s="212">
        <f t="shared" si="37"/>
        <v>9</v>
      </c>
      <c r="J83" s="213">
        <f t="shared" si="38"/>
        <v>12086.87381462233</v>
      </c>
      <c r="K83" s="213">
        <f t="shared" si="30"/>
        <v>53.388077378799437</v>
      </c>
      <c r="L83" s="213">
        <f t="shared" si="39"/>
        <v>-459.86573064095091</v>
      </c>
      <c r="M83" s="214">
        <f t="shared" si="28"/>
        <v>11680.396161360177</v>
      </c>
      <c r="O83" s="212">
        <f t="shared" si="40"/>
        <v>9</v>
      </c>
      <c r="P83" s="215">
        <f t="shared" si="41"/>
        <v>3194.4444444444443</v>
      </c>
      <c r="Q83" s="201">
        <f t="shared" si="29"/>
        <v>18796.299408520365</v>
      </c>
      <c r="R83" s="201">
        <f t="shared" si="31"/>
        <v>-459.86573064095091</v>
      </c>
      <c r="S83" s="213">
        <f t="shared" si="42"/>
        <v>0</v>
      </c>
      <c r="T83" s="213"/>
      <c r="U83" s="213">
        <f t="shared" si="43"/>
        <v>-939.81497042601825</v>
      </c>
      <c r="V83" s="201">
        <f>-(AB83*$C$9/12)</f>
        <v>-541.94427083333335</v>
      </c>
      <c r="W83" s="204">
        <f t="shared" si="33"/>
        <v>16854.674436620062</v>
      </c>
      <c r="X83" s="216">
        <f t="shared" si="44"/>
        <v>151314.01367958056</v>
      </c>
      <c r="Z83" s="206">
        <f t="shared" si="45"/>
        <v>260133.25</v>
      </c>
      <c r="AA83" s="193">
        <f t="shared" si="34"/>
        <v>0</v>
      </c>
      <c r="AB83" s="206">
        <f t="shared" si="35"/>
        <v>260133.25</v>
      </c>
    </row>
    <row r="84" spans="1:28" s="177" customFormat="1" ht="16.149999999999999" thickBot="1" x14ac:dyDescent="0.5">
      <c r="A84" s="717" t="s">
        <v>43</v>
      </c>
      <c r="B84" s="718"/>
      <c r="C84" s="718"/>
      <c r="D84" s="718"/>
      <c r="E84" s="719"/>
      <c r="F84" s="223"/>
      <c r="G84" s="223"/>
      <c r="H84" s="224"/>
      <c r="I84" s="212">
        <f t="shared" si="37"/>
        <v>10</v>
      </c>
      <c r="J84" s="213">
        <f t="shared" si="38"/>
        <v>11680.396161360177</v>
      </c>
      <c r="K84" s="213">
        <f t="shared" si="30"/>
        <v>51.592653620932509</v>
      </c>
      <c r="L84" s="213">
        <f t="shared" si="39"/>
        <v>-459.86573064095091</v>
      </c>
      <c r="M84" s="214">
        <f t="shared" si="28"/>
        <v>11272.123084340157</v>
      </c>
      <c r="O84" s="212">
        <f t="shared" si="40"/>
        <v>10</v>
      </c>
      <c r="P84" s="215">
        <f t="shared" si="41"/>
        <v>3569.4444444444443</v>
      </c>
      <c r="Q84" s="201">
        <f t="shared" si="29"/>
        <v>18796.299408520365</v>
      </c>
      <c r="R84" s="201">
        <f t="shared" si="31"/>
        <v>-459.86573064095091</v>
      </c>
      <c r="S84" s="213">
        <f t="shared" si="42"/>
        <v>0</v>
      </c>
      <c r="T84" s="213"/>
      <c r="U84" s="213">
        <f t="shared" si="43"/>
        <v>-939.81497042601825</v>
      </c>
      <c r="V84" s="201">
        <f t="shared" ref="V84:V122" si="46">-(AB84*$C$9/12)</f>
        <v>-531.44270833333337</v>
      </c>
      <c r="W84" s="204">
        <f t="shared" si="33"/>
        <v>16865.175999120063</v>
      </c>
      <c r="X84" s="216">
        <f t="shared" si="44"/>
        <v>168179.18967870061</v>
      </c>
      <c r="Z84" s="206">
        <f t="shared" si="45"/>
        <v>255092.5</v>
      </c>
      <c r="AA84" s="193">
        <f t="shared" si="34"/>
        <v>0</v>
      </c>
      <c r="AB84" s="206">
        <f t="shared" si="35"/>
        <v>255092.5</v>
      </c>
    </row>
    <row r="85" spans="1:28" s="177" customFormat="1" ht="14.65" thickBot="1" x14ac:dyDescent="0.5">
      <c r="A85" s="225" t="s">
        <v>44</v>
      </c>
      <c r="B85" s="226" t="s">
        <v>48</v>
      </c>
      <c r="C85" s="226" t="s">
        <v>45</v>
      </c>
      <c r="D85" s="227" t="s">
        <v>46</v>
      </c>
      <c r="E85" s="192" t="s">
        <v>47</v>
      </c>
      <c r="F85" s="223"/>
      <c r="G85" s="223"/>
      <c r="H85" s="224"/>
      <c r="I85" s="212">
        <f t="shared" si="37"/>
        <v>11</v>
      </c>
      <c r="J85" s="213">
        <f t="shared" si="38"/>
        <v>11272.123084340157</v>
      </c>
      <c r="K85" s="213">
        <f t="shared" si="30"/>
        <v>49.789299423484351</v>
      </c>
      <c r="L85" s="213">
        <f t="shared" si="39"/>
        <v>-459.86573064095091</v>
      </c>
      <c r="M85" s="214">
        <f t="shared" si="28"/>
        <v>10862.04665312269</v>
      </c>
      <c r="O85" s="212">
        <f t="shared" si="40"/>
        <v>11</v>
      </c>
      <c r="P85" s="215">
        <f t="shared" si="41"/>
        <v>3944.4444444444443</v>
      </c>
      <c r="Q85" s="201">
        <f t="shared" si="29"/>
        <v>18796.299408520365</v>
      </c>
      <c r="R85" s="201">
        <f t="shared" si="31"/>
        <v>-459.86573064095091</v>
      </c>
      <c r="S85" s="213">
        <f t="shared" si="42"/>
        <v>0</v>
      </c>
      <c r="T85" s="213"/>
      <c r="U85" s="213">
        <f t="shared" si="43"/>
        <v>-939.81497042601825</v>
      </c>
      <c r="V85" s="201">
        <f t="shared" si="46"/>
        <v>-520.94114583333339</v>
      </c>
      <c r="W85" s="204">
        <f t="shared" si="33"/>
        <v>16875.677561620061</v>
      </c>
      <c r="X85" s="216">
        <f t="shared" si="44"/>
        <v>185054.86724032066</v>
      </c>
      <c r="Z85" s="206">
        <f t="shared" si="45"/>
        <v>250051.75</v>
      </c>
      <c r="AA85" s="193">
        <f t="shared" si="34"/>
        <v>0</v>
      </c>
      <c r="AB85" s="206">
        <f t="shared" si="35"/>
        <v>250051.75</v>
      </c>
    </row>
    <row r="86" spans="1:28" s="177" customFormat="1" x14ac:dyDescent="0.45">
      <c r="A86" s="228">
        <v>1</v>
      </c>
      <c r="B86" s="229">
        <v>12</v>
      </c>
      <c r="C86" s="230">
        <f>D$27-(D$27+D$28)*B86/60</f>
        <v>245011</v>
      </c>
      <c r="D86" s="231">
        <v>0.1</v>
      </c>
      <c r="E86" s="232">
        <f t="shared" ref="E86:E91" si="47">C86/(100%-D86)</f>
        <v>272234.44444444444</v>
      </c>
      <c r="F86" s="178"/>
      <c r="G86" s="178"/>
      <c r="H86" s="178"/>
      <c r="I86" s="212">
        <f t="shared" si="37"/>
        <v>12</v>
      </c>
      <c r="J86" s="213">
        <f t="shared" si="38"/>
        <v>10862.04665312269</v>
      </c>
      <c r="K86" s="213">
        <f t="shared" si="30"/>
        <v>47.977979757469953</v>
      </c>
      <c r="L86" s="213">
        <f t="shared" si="39"/>
        <v>-459.86573064095091</v>
      </c>
      <c r="M86" s="214">
        <f t="shared" si="28"/>
        <v>10450.158902239209</v>
      </c>
      <c r="O86" s="212">
        <f t="shared" si="40"/>
        <v>12</v>
      </c>
      <c r="P86" s="215">
        <f t="shared" si="41"/>
        <v>4319.4444444444443</v>
      </c>
      <c r="Q86" s="201">
        <f t="shared" si="29"/>
        <v>18796.299408520365</v>
      </c>
      <c r="R86" s="201">
        <f t="shared" si="31"/>
        <v>-459.86573064095091</v>
      </c>
      <c r="S86" s="213">
        <f t="shared" si="42"/>
        <v>0</v>
      </c>
      <c r="T86" s="213"/>
      <c r="U86" s="213">
        <f t="shared" si="43"/>
        <v>-939.81497042601825</v>
      </c>
      <c r="V86" s="201">
        <f t="shared" si="46"/>
        <v>-510.43958333333336</v>
      </c>
      <c r="W86" s="204">
        <f t="shared" si="33"/>
        <v>16886.179124120063</v>
      </c>
      <c r="X86" s="216">
        <f t="shared" si="44"/>
        <v>201941.04636444073</v>
      </c>
      <c r="Z86" s="206">
        <f t="shared" si="45"/>
        <v>245011</v>
      </c>
      <c r="AA86" s="193">
        <f t="shared" si="34"/>
        <v>0</v>
      </c>
      <c r="AB86" s="206">
        <f t="shared" si="35"/>
        <v>245011</v>
      </c>
    </row>
    <row r="87" spans="1:28" s="177" customFormat="1" x14ac:dyDescent="0.45">
      <c r="A87" s="207">
        <f>A86+1</f>
        <v>2</v>
      </c>
      <c r="B87" s="193">
        <f>B86+12</f>
        <v>24</v>
      </c>
      <c r="C87" s="206">
        <f>D$27-(D$27+D$28)*B87/60</f>
        <v>184522</v>
      </c>
      <c r="D87" s="233">
        <f>D86</f>
        <v>0.1</v>
      </c>
      <c r="E87" s="234">
        <f t="shared" si="47"/>
        <v>205024.44444444444</v>
      </c>
      <c r="F87" s="178"/>
      <c r="G87" s="178"/>
      <c r="H87" s="178"/>
      <c r="I87" s="212">
        <f t="shared" si="37"/>
        <v>13</v>
      </c>
      <c r="J87" s="213">
        <f t="shared" si="38"/>
        <v>10450.158902239209</v>
      </c>
      <c r="K87" s="213">
        <f t="shared" si="30"/>
        <v>46.158659439180184</v>
      </c>
      <c r="L87" s="213">
        <f t="shared" si="39"/>
        <v>-459.86573064095091</v>
      </c>
      <c r="M87" s="214">
        <f t="shared" si="28"/>
        <v>10036.451831037439</v>
      </c>
      <c r="O87" s="212">
        <f t="shared" si="40"/>
        <v>13</v>
      </c>
      <c r="P87" s="215">
        <f t="shared" si="41"/>
        <v>4694.4444444444443</v>
      </c>
      <c r="Q87" s="201">
        <f t="shared" si="29"/>
        <v>18796.299408520365</v>
      </c>
      <c r="R87" s="201">
        <f t="shared" si="31"/>
        <v>-459.86573064095091</v>
      </c>
      <c r="S87" s="213">
        <f t="shared" si="42"/>
        <v>0</v>
      </c>
      <c r="T87" s="213"/>
      <c r="U87" s="213">
        <f t="shared" si="43"/>
        <v>-939.81497042601825</v>
      </c>
      <c r="V87" s="201">
        <f t="shared" si="46"/>
        <v>-499.93802083333338</v>
      </c>
      <c r="W87" s="204">
        <f t="shared" si="33"/>
        <v>16896.68068662006</v>
      </c>
      <c r="X87" s="216">
        <f t="shared" si="44"/>
        <v>218837.72705106079</v>
      </c>
      <c r="Z87" s="206">
        <f t="shared" si="45"/>
        <v>239970.25</v>
      </c>
      <c r="AA87" s="193">
        <f t="shared" si="34"/>
        <v>0</v>
      </c>
      <c r="AB87" s="206">
        <f t="shared" si="35"/>
        <v>239970.25</v>
      </c>
    </row>
    <row r="88" spans="1:28" s="177" customFormat="1" x14ac:dyDescent="0.45">
      <c r="A88" s="207">
        <f>A87+1</f>
        <v>3</v>
      </c>
      <c r="B88" s="193">
        <f>B87+12</f>
        <v>36</v>
      </c>
      <c r="C88" s="206">
        <f>D$27-(D$27+D$28)*B88/60</f>
        <v>124033</v>
      </c>
      <c r="D88" s="233">
        <f>D87</f>
        <v>0.1</v>
      </c>
      <c r="E88" s="234">
        <f t="shared" si="47"/>
        <v>137814.44444444444</v>
      </c>
      <c r="F88" s="178"/>
      <c r="G88" s="178"/>
      <c r="H88" s="178"/>
      <c r="I88" s="212">
        <f t="shared" si="37"/>
        <v>14</v>
      </c>
      <c r="J88" s="213">
        <f t="shared" si="38"/>
        <v>10036.451831037439</v>
      </c>
      <c r="K88" s="213">
        <f t="shared" si="30"/>
        <v>44.33130312949848</v>
      </c>
      <c r="L88" s="213">
        <f t="shared" si="39"/>
        <v>-459.86573064095091</v>
      </c>
      <c r="M88" s="214">
        <f t="shared" si="28"/>
        <v>9620.9174035259857</v>
      </c>
      <c r="O88" s="212">
        <f t="shared" si="40"/>
        <v>14</v>
      </c>
      <c r="P88" s="215">
        <f t="shared" si="41"/>
        <v>5069.4444444444443</v>
      </c>
      <c r="Q88" s="201">
        <f t="shared" si="29"/>
        <v>18796.299408520365</v>
      </c>
      <c r="R88" s="201">
        <f t="shared" si="31"/>
        <v>-459.86573064095091</v>
      </c>
      <c r="S88" s="213">
        <f t="shared" si="42"/>
        <v>0</v>
      </c>
      <c r="T88" s="213"/>
      <c r="U88" s="213">
        <f t="shared" si="43"/>
        <v>-939.81497042601825</v>
      </c>
      <c r="V88" s="201">
        <f t="shared" si="46"/>
        <v>-489.43645833333335</v>
      </c>
      <c r="W88" s="204">
        <f t="shared" si="33"/>
        <v>16907.182249120062</v>
      </c>
      <c r="X88" s="216">
        <f t="shared" si="44"/>
        <v>235744.90930018085</v>
      </c>
      <c r="Z88" s="206">
        <f t="shared" si="45"/>
        <v>234929.5</v>
      </c>
      <c r="AA88" s="193">
        <f t="shared" si="34"/>
        <v>0</v>
      </c>
      <c r="AB88" s="206">
        <f t="shared" si="35"/>
        <v>234929.5</v>
      </c>
    </row>
    <row r="89" spans="1:28" s="177" customFormat="1" x14ac:dyDescent="0.45">
      <c r="A89" s="207">
        <f>A88+1</f>
        <v>4</v>
      </c>
      <c r="B89" s="193">
        <f>B88+12</f>
        <v>48</v>
      </c>
      <c r="C89" s="206">
        <f>D$27-(D$27+D$28)*B89/60</f>
        <v>63544</v>
      </c>
      <c r="D89" s="233">
        <f>D88</f>
        <v>0.1</v>
      </c>
      <c r="E89" s="234">
        <f t="shared" si="47"/>
        <v>70604.444444444438</v>
      </c>
      <c r="F89" s="178"/>
      <c r="G89" s="178"/>
      <c r="H89" s="178"/>
      <c r="I89" s="212">
        <f t="shared" si="37"/>
        <v>15</v>
      </c>
      <c r="J89" s="213">
        <f t="shared" si="38"/>
        <v>9620.9174035259857</v>
      </c>
      <c r="K89" s="213">
        <f t="shared" si="30"/>
        <v>42.495875333214357</v>
      </c>
      <c r="L89" s="213">
        <f t="shared" si="39"/>
        <v>-459.86573064095091</v>
      </c>
      <c r="M89" s="214">
        <f t="shared" si="28"/>
        <v>9203.5475482182483</v>
      </c>
      <c r="O89" s="212">
        <f t="shared" si="40"/>
        <v>15</v>
      </c>
      <c r="P89" s="215">
        <f t="shared" si="41"/>
        <v>5444.4444444444443</v>
      </c>
      <c r="Q89" s="201">
        <f t="shared" si="29"/>
        <v>18796.299408520365</v>
      </c>
      <c r="R89" s="201">
        <f t="shared" si="31"/>
        <v>-459.86573064095091</v>
      </c>
      <c r="S89" s="213">
        <f t="shared" si="42"/>
        <v>0</v>
      </c>
      <c r="T89" s="213"/>
      <c r="U89" s="213">
        <f t="shared" si="43"/>
        <v>-939.81497042601825</v>
      </c>
      <c r="V89" s="201">
        <f t="shared" si="46"/>
        <v>-478.93489583333331</v>
      </c>
      <c r="W89" s="204">
        <f t="shared" si="33"/>
        <v>16917.683811620063</v>
      </c>
      <c r="X89" s="216">
        <f t="shared" si="44"/>
        <v>252662.5931118009</v>
      </c>
      <c r="Z89" s="206">
        <f t="shared" si="45"/>
        <v>229888.75</v>
      </c>
      <c r="AA89" s="193">
        <f t="shared" si="34"/>
        <v>0</v>
      </c>
      <c r="AB89" s="206">
        <f t="shared" si="35"/>
        <v>229888.75</v>
      </c>
    </row>
    <row r="90" spans="1:28" s="177" customFormat="1" x14ac:dyDescent="0.45">
      <c r="A90" s="207">
        <f>A89+1</f>
        <v>5</v>
      </c>
      <c r="B90" s="193">
        <f>B89+12</f>
        <v>60</v>
      </c>
      <c r="C90" s="206">
        <f>D$27-(D$27+D$28)*B90/60</f>
        <v>3055</v>
      </c>
      <c r="D90" s="233">
        <f>D89</f>
        <v>0.1</v>
      </c>
      <c r="E90" s="234">
        <f t="shared" si="47"/>
        <v>3394.4444444444443</v>
      </c>
      <c r="F90" s="178"/>
      <c r="G90" s="178"/>
      <c r="H90" s="178"/>
      <c r="I90" s="212">
        <f t="shared" si="37"/>
        <v>16</v>
      </c>
      <c r="J90" s="213">
        <f t="shared" si="38"/>
        <v>9203.5475482182483</v>
      </c>
      <c r="K90" s="213">
        <f t="shared" si="30"/>
        <v>40.652340398333919</v>
      </c>
      <c r="L90" s="213">
        <f t="shared" si="39"/>
        <v>-459.86573064095091</v>
      </c>
      <c r="M90" s="214">
        <f t="shared" si="28"/>
        <v>8784.3341579756307</v>
      </c>
      <c r="O90" s="212">
        <f t="shared" si="40"/>
        <v>16</v>
      </c>
      <c r="P90" s="215">
        <f t="shared" si="41"/>
        <v>5819.4444444444443</v>
      </c>
      <c r="Q90" s="201">
        <f t="shared" si="29"/>
        <v>18796.299408520365</v>
      </c>
      <c r="R90" s="201">
        <f t="shared" si="31"/>
        <v>-459.86573064095091</v>
      </c>
      <c r="S90" s="213">
        <f t="shared" si="42"/>
        <v>0</v>
      </c>
      <c r="T90" s="213"/>
      <c r="U90" s="213">
        <f t="shared" si="43"/>
        <v>-939.81497042601825</v>
      </c>
      <c r="V90" s="201">
        <f t="shared" si="46"/>
        <v>-468.43333333333339</v>
      </c>
      <c r="W90" s="204">
        <f t="shared" si="33"/>
        <v>16928.185374120061</v>
      </c>
      <c r="X90" s="216">
        <f t="shared" si="44"/>
        <v>269590.77848592098</v>
      </c>
      <c r="Z90" s="206">
        <f t="shared" si="45"/>
        <v>224848</v>
      </c>
      <c r="AA90" s="193">
        <f t="shared" si="34"/>
        <v>0</v>
      </c>
      <c r="AB90" s="206">
        <f t="shared" si="35"/>
        <v>224848</v>
      </c>
    </row>
    <row r="91" spans="1:28" s="177" customFormat="1" ht="14.65" thickBot="1" x14ac:dyDescent="0.5">
      <c r="A91" s="221">
        <f>A90+1</f>
        <v>6</v>
      </c>
      <c r="B91" s="222">
        <f>B90+12</f>
        <v>72</v>
      </c>
      <c r="C91" s="235">
        <v>1</v>
      </c>
      <c r="D91" s="236">
        <f>D90</f>
        <v>0.1</v>
      </c>
      <c r="E91" s="237">
        <f t="shared" si="47"/>
        <v>1.1111111111111112</v>
      </c>
      <c r="H91" s="178"/>
      <c r="I91" s="212">
        <f t="shared" si="37"/>
        <v>17</v>
      </c>
      <c r="J91" s="213">
        <f t="shared" si="38"/>
        <v>8784.3341579756307</v>
      </c>
      <c r="K91" s="213">
        <f t="shared" si="30"/>
        <v>38.800662515387387</v>
      </c>
      <c r="L91" s="213">
        <f t="shared" si="39"/>
        <v>-459.86573064095091</v>
      </c>
      <c r="M91" s="214">
        <f t="shared" si="28"/>
        <v>8363.2690898500659</v>
      </c>
      <c r="O91" s="212">
        <f t="shared" si="40"/>
        <v>17</v>
      </c>
      <c r="P91" s="215">
        <f t="shared" si="41"/>
        <v>6194.4444444444443</v>
      </c>
      <c r="Q91" s="201">
        <f t="shared" si="29"/>
        <v>18796.299408520365</v>
      </c>
      <c r="R91" s="201">
        <f t="shared" si="31"/>
        <v>-459.86573064095091</v>
      </c>
      <c r="S91" s="213">
        <f t="shared" si="42"/>
        <v>0</v>
      </c>
      <c r="T91" s="213"/>
      <c r="U91" s="213">
        <f t="shared" si="43"/>
        <v>-939.81497042601825</v>
      </c>
      <c r="V91" s="201">
        <f t="shared" si="46"/>
        <v>-457.93177083333336</v>
      </c>
      <c r="W91" s="204">
        <f t="shared" si="33"/>
        <v>16938.686936620063</v>
      </c>
      <c r="X91" s="216">
        <f t="shared" si="44"/>
        <v>286529.46542254102</v>
      </c>
      <c r="Z91" s="206">
        <f t="shared" si="45"/>
        <v>219807.25</v>
      </c>
      <c r="AA91" s="193">
        <f t="shared" si="34"/>
        <v>0</v>
      </c>
      <c r="AB91" s="206">
        <f t="shared" si="35"/>
        <v>219807.25</v>
      </c>
    </row>
    <row r="92" spans="1:28" s="177" customFormat="1" ht="14.65" thickBot="1" x14ac:dyDescent="0.5">
      <c r="H92" s="178"/>
      <c r="I92" s="212">
        <f>I91+1</f>
        <v>18</v>
      </c>
      <c r="J92" s="213">
        <f>M91</f>
        <v>8363.2690898500659</v>
      </c>
      <c r="K92" s="213">
        <f t="shared" si="30"/>
        <v>36.940805716733493</v>
      </c>
      <c r="L92" s="213">
        <f>L91</f>
        <v>-459.86573064095091</v>
      </c>
      <c r="M92" s="214">
        <f t="shared" si="28"/>
        <v>7940.3441649258475</v>
      </c>
      <c r="O92" s="212">
        <f>O91+1</f>
        <v>18</v>
      </c>
      <c r="P92" s="215">
        <f t="shared" si="41"/>
        <v>6569.4444444444443</v>
      </c>
      <c r="Q92" s="201">
        <f t="shared" si="29"/>
        <v>18796.299408520365</v>
      </c>
      <c r="R92" s="201">
        <f t="shared" si="31"/>
        <v>-459.86573064095091</v>
      </c>
      <c r="S92" s="213">
        <f t="shared" si="42"/>
        <v>0</v>
      </c>
      <c r="T92" s="213"/>
      <c r="U92" s="213">
        <f t="shared" si="43"/>
        <v>-939.81497042601825</v>
      </c>
      <c r="V92" s="201">
        <f t="shared" si="46"/>
        <v>-447.43020833333338</v>
      </c>
      <c r="W92" s="204">
        <f t="shared" si="33"/>
        <v>16949.18849912006</v>
      </c>
      <c r="X92" s="216">
        <f t="shared" si="44"/>
        <v>303478.65392166108</v>
      </c>
      <c r="Z92" s="206">
        <f t="shared" si="45"/>
        <v>214766.5</v>
      </c>
      <c r="AA92" s="193">
        <f t="shared" si="34"/>
        <v>0</v>
      </c>
      <c r="AB92" s="206">
        <f t="shared" si="35"/>
        <v>214766.5</v>
      </c>
    </row>
    <row r="93" spans="1:28" s="177" customFormat="1" ht="31.15" thickBot="1" x14ac:dyDescent="0.5">
      <c r="A93" s="720" t="s">
        <v>21</v>
      </c>
      <c r="B93" s="721"/>
      <c r="C93" s="721"/>
      <c r="D93" s="721"/>
      <c r="E93" s="721"/>
      <c r="F93" s="721"/>
      <c r="G93" s="722"/>
      <c r="H93" s="178"/>
      <c r="I93" s="212">
        <f t="shared" si="37"/>
        <v>19</v>
      </c>
      <c r="J93" s="213">
        <f t="shared" ref="J93:J110" si="48">M92</f>
        <v>7940.3441649258475</v>
      </c>
      <c r="K93" s="213">
        <f t="shared" si="30"/>
        <v>35.072733875860834</v>
      </c>
      <c r="L93" s="213">
        <f t="shared" si="39"/>
        <v>-459.86573064095091</v>
      </c>
      <c r="M93" s="214">
        <f t="shared" si="28"/>
        <v>7515.5511681607568</v>
      </c>
      <c r="O93" s="212">
        <f t="shared" si="40"/>
        <v>19</v>
      </c>
      <c r="P93" s="215">
        <f t="shared" si="41"/>
        <v>6944.4444444444443</v>
      </c>
      <c r="Q93" s="201">
        <f t="shared" si="29"/>
        <v>18796.299408520365</v>
      </c>
      <c r="R93" s="201">
        <f t="shared" si="31"/>
        <v>-459.86573064095091</v>
      </c>
      <c r="S93" s="213">
        <f t="shared" si="42"/>
        <v>0</v>
      </c>
      <c r="T93" s="213"/>
      <c r="U93" s="213">
        <f t="shared" si="43"/>
        <v>-939.81497042601825</v>
      </c>
      <c r="V93" s="201">
        <f t="shared" si="46"/>
        <v>-436.92864583333335</v>
      </c>
      <c r="W93" s="204">
        <f t="shared" si="33"/>
        <v>16959.690061620062</v>
      </c>
      <c r="X93" s="216">
        <f t="shared" si="44"/>
        <v>320438.34398328117</v>
      </c>
      <c r="Z93" s="206">
        <f t="shared" si="45"/>
        <v>209725.75</v>
      </c>
      <c r="AA93" s="193">
        <f t="shared" si="34"/>
        <v>0</v>
      </c>
      <c r="AB93" s="206">
        <f t="shared" si="35"/>
        <v>209725.75</v>
      </c>
    </row>
    <row r="94" spans="1:28" s="177" customFormat="1" ht="28.9" thickBot="1" x14ac:dyDescent="0.5">
      <c r="A94" s="238" t="s">
        <v>0</v>
      </c>
      <c r="B94" s="239" t="s">
        <v>1</v>
      </c>
      <c r="C94" s="240" t="s">
        <v>22</v>
      </c>
      <c r="D94" s="240" t="s">
        <v>10</v>
      </c>
      <c r="E94" s="240" t="s">
        <v>23</v>
      </c>
      <c r="F94" s="240" t="s">
        <v>24</v>
      </c>
      <c r="G94" s="241" t="s">
        <v>25</v>
      </c>
      <c r="H94" s="178"/>
      <c r="I94" s="212">
        <f t="shared" si="37"/>
        <v>20</v>
      </c>
      <c r="J94" s="213">
        <f t="shared" si="48"/>
        <v>7515.5511681607568</v>
      </c>
      <c r="K94" s="213">
        <f t="shared" si="30"/>
        <v>33.196410706686137</v>
      </c>
      <c r="L94" s="213">
        <f t="shared" si="39"/>
        <v>-459.86573064095091</v>
      </c>
      <c r="M94" s="214">
        <f t="shared" si="28"/>
        <v>7088.8818482264924</v>
      </c>
      <c r="O94" s="212">
        <f t="shared" si="40"/>
        <v>20</v>
      </c>
      <c r="P94" s="215">
        <f t="shared" si="41"/>
        <v>7319.4444444444443</v>
      </c>
      <c r="Q94" s="201">
        <f t="shared" si="29"/>
        <v>18796.299408520365</v>
      </c>
      <c r="R94" s="201">
        <f t="shared" si="31"/>
        <v>-459.86573064095091</v>
      </c>
      <c r="S94" s="213">
        <f t="shared" si="42"/>
        <v>0</v>
      </c>
      <c r="T94" s="213"/>
      <c r="U94" s="213">
        <f t="shared" si="43"/>
        <v>-939.81497042601825</v>
      </c>
      <c r="V94" s="201">
        <f t="shared" si="46"/>
        <v>-426.42708333333331</v>
      </c>
      <c r="W94" s="204">
        <f t="shared" si="33"/>
        <v>16970.191624120063</v>
      </c>
      <c r="X94" s="216">
        <f t="shared" si="44"/>
        <v>337408.53560740122</v>
      </c>
      <c r="Z94" s="206">
        <f t="shared" si="45"/>
        <v>204685</v>
      </c>
      <c r="AA94" s="193">
        <f t="shared" si="34"/>
        <v>0</v>
      </c>
      <c r="AB94" s="206">
        <f t="shared" si="35"/>
        <v>204685</v>
      </c>
    </row>
    <row r="95" spans="1:28" s="177" customFormat="1" x14ac:dyDescent="0.45">
      <c r="A95" s="194">
        <v>1</v>
      </c>
      <c r="B95" s="195" t="s">
        <v>16</v>
      </c>
      <c r="C95" s="242">
        <v>1</v>
      </c>
      <c r="D95" s="243">
        <f>+C75*C95</f>
        <v>15275</v>
      </c>
      <c r="E95" s="244">
        <v>0.5</v>
      </c>
      <c r="F95" s="245">
        <f>E95*D95</f>
        <v>7637.5</v>
      </c>
      <c r="G95" s="246">
        <f>D95-F95</f>
        <v>7637.5</v>
      </c>
      <c r="H95" s="178"/>
      <c r="I95" s="212">
        <f t="shared" si="37"/>
        <v>21</v>
      </c>
      <c r="J95" s="213">
        <f t="shared" si="48"/>
        <v>7088.8818482264924</v>
      </c>
      <c r="K95" s="213">
        <f t="shared" si="30"/>
        <v>31.311799762849457</v>
      </c>
      <c r="L95" s="213">
        <f t="shared" si="39"/>
        <v>-459.86573064095091</v>
      </c>
      <c r="M95" s="214">
        <f t="shared" si="28"/>
        <v>6660.3279173483916</v>
      </c>
      <c r="O95" s="212">
        <f t="shared" si="40"/>
        <v>21</v>
      </c>
      <c r="P95" s="215">
        <f t="shared" si="41"/>
        <v>7694.4444444444443</v>
      </c>
      <c r="Q95" s="201">
        <f t="shared" si="29"/>
        <v>18796.299408520365</v>
      </c>
      <c r="R95" s="201">
        <f t="shared" si="31"/>
        <v>-459.86573064095091</v>
      </c>
      <c r="S95" s="213">
        <f t="shared" si="42"/>
        <v>0</v>
      </c>
      <c r="T95" s="213"/>
      <c r="U95" s="213">
        <f t="shared" si="43"/>
        <v>-939.81497042601825</v>
      </c>
      <c r="V95" s="201">
        <f t="shared" si="46"/>
        <v>-415.92552083333339</v>
      </c>
      <c r="W95" s="204">
        <f t="shared" si="33"/>
        <v>16980.693186620061</v>
      </c>
      <c r="X95" s="216">
        <f t="shared" si="44"/>
        <v>354389.2287940213</v>
      </c>
      <c r="Z95" s="206">
        <f t="shared" si="45"/>
        <v>199644.25</v>
      </c>
      <c r="AA95" s="193">
        <f t="shared" si="34"/>
        <v>0</v>
      </c>
      <c r="AB95" s="206">
        <f t="shared" si="35"/>
        <v>199644.25</v>
      </c>
    </row>
    <row r="96" spans="1:28" s="177" customFormat="1" x14ac:dyDescent="0.45">
      <c r="A96" s="207">
        <f>A95+1</f>
        <v>2</v>
      </c>
      <c r="B96" s="193" t="s">
        <v>12</v>
      </c>
      <c r="C96" s="247">
        <f>C79</f>
        <v>0.01</v>
      </c>
      <c r="D96" s="248">
        <f>-C96*C75</f>
        <v>-152.75</v>
      </c>
      <c r="E96" s="249">
        <f>E95</f>
        <v>0.5</v>
      </c>
      <c r="F96" s="213">
        <f t="shared" ref="F96:F101" si="49">E96*D96</f>
        <v>-76.375</v>
      </c>
      <c r="G96" s="214">
        <f>D96-F96</f>
        <v>-76.375</v>
      </c>
      <c r="H96" s="178"/>
      <c r="I96" s="212">
        <f t="shared" si="37"/>
        <v>22</v>
      </c>
      <c r="J96" s="213">
        <f t="shared" si="48"/>
        <v>6660.3279173483916</v>
      </c>
      <c r="K96" s="213">
        <f t="shared" si="30"/>
        <v>29.418864437006182</v>
      </c>
      <c r="L96" s="213">
        <f t="shared" si="39"/>
        <v>-459.86573064095091</v>
      </c>
      <c r="M96" s="214">
        <f t="shared" si="28"/>
        <v>6229.8810511444462</v>
      </c>
      <c r="O96" s="212">
        <f t="shared" si="40"/>
        <v>22</v>
      </c>
      <c r="P96" s="215">
        <f t="shared" si="41"/>
        <v>8069.4444444444443</v>
      </c>
      <c r="Q96" s="201">
        <f t="shared" si="29"/>
        <v>18796.299408520365</v>
      </c>
      <c r="R96" s="201">
        <f t="shared" si="31"/>
        <v>-459.86573064095091</v>
      </c>
      <c r="S96" s="213">
        <f t="shared" si="42"/>
        <v>0</v>
      </c>
      <c r="T96" s="213"/>
      <c r="U96" s="213">
        <f t="shared" si="43"/>
        <v>-939.81497042601825</v>
      </c>
      <c r="V96" s="201">
        <f t="shared" si="46"/>
        <v>-405.42395833333336</v>
      </c>
      <c r="W96" s="204">
        <f t="shared" si="33"/>
        <v>16991.194749120063</v>
      </c>
      <c r="X96" s="216">
        <f t="shared" si="44"/>
        <v>371380.42354314134</v>
      </c>
      <c r="Z96" s="206">
        <f t="shared" si="45"/>
        <v>194603.5</v>
      </c>
      <c r="AA96" s="193">
        <f t="shared" si="34"/>
        <v>0</v>
      </c>
      <c r="AB96" s="206">
        <f t="shared" si="35"/>
        <v>194603.5</v>
      </c>
    </row>
    <row r="97" spans="1:28" s="177" customFormat="1" x14ac:dyDescent="0.45">
      <c r="A97" s="207">
        <f t="shared" ref="A97:A102" si="50">A96+1</f>
        <v>3</v>
      </c>
      <c r="B97" s="193" t="s">
        <v>17</v>
      </c>
      <c r="C97" s="250">
        <f>C76</f>
        <v>5.2999999999999999E-2</v>
      </c>
      <c r="D97" s="213">
        <f>K123</f>
        <v>1280.2828399774523</v>
      </c>
      <c r="E97" s="249">
        <v>1</v>
      </c>
      <c r="F97" s="213">
        <f t="shared" si="49"/>
        <v>1280.2828399774523</v>
      </c>
      <c r="G97" s="214">
        <f>D97-F97</f>
        <v>0</v>
      </c>
      <c r="H97" s="178"/>
      <c r="I97" s="212">
        <f t="shared" si="37"/>
        <v>23</v>
      </c>
      <c r="J97" s="213">
        <f t="shared" si="48"/>
        <v>6229.8810511444462</v>
      </c>
      <c r="K97" s="213">
        <f t="shared" si="30"/>
        <v>27.517567960115969</v>
      </c>
      <c r="L97" s="213">
        <f t="shared" si="39"/>
        <v>-459.86573064095091</v>
      </c>
      <c r="M97" s="214">
        <f t="shared" si="28"/>
        <v>5797.532888463611</v>
      </c>
      <c r="O97" s="212">
        <f t="shared" si="40"/>
        <v>23</v>
      </c>
      <c r="P97" s="215">
        <f t="shared" si="41"/>
        <v>8444.4444444444453</v>
      </c>
      <c r="Q97" s="201">
        <f t="shared" si="29"/>
        <v>18796.299408520365</v>
      </c>
      <c r="R97" s="201">
        <f t="shared" si="31"/>
        <v>-459.86573064095091</v>
      </c>
      <c r="S97" s="213">
        <f t="shared" si="42"/>
        <v>0</v>
      </c>
      <c r="T97" s="213"/>
      <c r="U97" s="213">
        <f t="shared" si="43"/>
        <v>-939.81497042601825</v>
      </c>
      <c r="V97" s="201">
        <f t="shared" si="46"/>
        <v>-394.92239583333338</v>
      </c>
      <c r="W97" s="204">
        <f t="shared" si="33"/>
        <v>17001.69631162006</v>
      </c>
      <c r="X97" s="216">
        <f t="shared" si="44"/>
        <v>388382.1198547614</v>
      </c>
      <c r="Z97" s="206">
        <f t="shared" si="45"/>
        <v>189562.75</v>
      </c>
      <c r="AA97" s="193">
        <f t="shared" si="34"/>
        <v>0</v>
      </c>
      <c r="AB97" s="206">
        <f t="shared" si="35"/>
        <v>189562.75</v>
      </c>
    </row>
    <row r="98" spans="1:28" s="177" customFormat="1" x14ac:dyDescent="0.45">
      <c r="A98" s="207">
        <f t="shared" si="50"/>
        <v>4</v>
      </c>
      <c r="B98" s="193" t="s">
        <v>6</v>
      </c>
      <c r="C98" s="249">
        <f>C77</f>
        <v>2.5000000000000001E-2</v>
      </c>
      <c r="D98" s="213">
        <f>-V123</f>
        <v>18200.162500000002</v>
      </c>
      <c r="E98" s="249">
        <v>1</v>
      </c>
      <c r="F98" s="213">
        <f t="shared" si="49"/>
        <v>18200.162500000002</v>
      </c>
      <c r="G98" s="214">
        <f>D98-F98</f>
        <v>0</v>
      </c>
      <c r="H98" s="178"/>
      <c r="I98" s="212">
        <f t="shared" si="37"/>
        <v>24</v>
      </c>
      <c r="J98" s="213">
        <f t="shared" si="48"/>
        <v>5797.532888463611</v>
      </c>
      <c r="K98" s="213">
        <f t="shared" si="30"/>
        <v>25.607873400728579</v>
      </c>
      <c r="L98" s="213">
        <f t="shared" si="39"/>
        <v>-459.86573064095091</v>
      </c>
      <c r="M98" s="214">
        <f t="shared" si="28"/>
        <v>5363.2750312233893</v>
      </c>
      <c r="O98" s="212">
        <f t="shared" si="40"/>
        <v>24</v>
      </c>
      <c r="P98" s="215">
        <f t="shared" si="41"/>
        <v>8819.4444444444453</v>
      </c>
      <c r="Q98" s="201">
        <f t="shared" si="29"/>
        <v>18796.299408520365</v>
      </c>
      <c r="R98" s="201">
        <f t="shared" si="31"/>
        <v>-459.86573064095091</v>
      </c>
      <c r="S98" s="213">
        <f t="shared" si="42"/>
        <v>0</v>
      </c>
      <c r="T98" s="213"/>
      <c r="U98" s="213">
        <f t="shared" si="43"/>
        <v>-939.81497042601825</v>
      </c>
      <c r="V98" s="201">
        <f t="shared" si="46"/>
        <v>-384.42083333333335</v>
      </c>
      <c r="W98" s="204">
        <f t="shared" si="33"/>
        <v>17012.197874120062</v>
      </c>
      <c r="X98" s="216">
        <f t="shared" si="44"/>
        <v>405394.31772888149</v>
      </c>
      <c r="Z98" s="206">
        <f t="shared" si="45"/>
        <v>184522</v>
      </c>
      <c r="AA98" s="193">
        <f t="shared" si="34"/>
        <v>0</v>
      </c>
      <c r="AB98" s="206">
        <f t="shared" si="35"/>
        <v>184522</v>
      </c>
    </row>
    <row r="99" spans="1:28" s="177" customFormat="1" x14ac:dyDescent="0.45">
      <c r="A99" s="207">
        <f t="shared" si="50"/>
        <v>5</v>
      </c>
      <c r="B99" s="193" t="s">
        <v>27</v>
      </c>
      <c r="C99" s="247">
        <f>+C31</f>
        <v>0.65</v>
      </c>
      <c r="D99" s="251">
        <f>C99*('Summary Equip'!$J$27)*(1+'Summary Equip'!$N$3)</f>
        <v>0</v>
      </c>
      <c r="E99" s="249">
        <v>0</v>
      </c>
      <c r="F99" s="213">
        <f t="shared" si="49"/>
        <v>0</v>
      </c>
      <c r="G99" s="214">
        <f>D99</f>
        <v>0</v>
      </c>
      <c r="H99" s="178"/>
      <c r="I99" s="212">
        <f t="shared" si="37"/>
        <v>25</v>
      </c>
      <c r="J99" s="213">
        <f t="shared" si="48"/>
        <v>5363.2750312233893</v>
      </c>
      <c r="K99" s="213">
        <f t="shared" si="30"/>
        <v>23.689743664266441</v>
      </c>
      <c r="L99" s="213">
        <f t="shared" si="39"/>
        <v>-459.86573064095091</v>
      </c>
      <c r="M99" s="214">
        <f t="shared" si="28"/>
        <v>4927.0990442467046</v>
      </c>
      <c r="O99" s="212">
        <f t="shared" si="40"/>
        <v>25</v>
      </c>
      <c r="P99" s="215">
        <f t="shared" si="41"/>
        <v>9194.4444444444453</v>
      </c>
      <c r="Q99" s="201">
        <f t="shared" si="29"/>
        <v>18796.299408520365</v>
      </c>
      <c r="R99" s="201">
        <f t="shared" si="31"/>
        <v>-459.86573064095091</v>
      </c>
      <c r="S99" s="213">
        <f t="shared" si="42"/>
        <v>0</v>
      </c>
      <c r="T99" s="213"/>
      <c r="U99" s="213">
        <f t="shared" si="43"/>
        <v>-939.81497042601825</v>
      </c>
      <c r="V99" s="201">
        <f t="shared" si="46"/>
        <v>-373.91927083333331</v>
      </c>
      <c r="W99" s="204">
        <f t="shared" si="33"/>
        <v>17022.699436620063</v>
      </c>
      <c r="X99" s="216">
        <f t="shared" si="44"/>
        <v>422417.01716550154</v>
      </c>
      <c r="Z99" s="206">
        <f t="shared" si="45"/>
        <v>179481.25</v>
      </c>
      <c r="AA99" s="193">
        <f t="shared" si="34"/>
        <v>0</v>
      </c>
      <c r="AB99" s="206">
        <f t="shared" si="35"/>
        <v>179481.25</v>
      </c>
    </row>
    <row r="100" spans="1:28" s="177" customFormat="1" ht="28.5" x14ac:dyDescent="0.45">
      <c r="A100" s="207">
        <f t="shared" si="50"/>
        <v>6</v>
      </c>
      <c r="B100" s="193" t="s">
        <v>81</v>
      </c>
      <c r="C100" s="247">
        <f>+C32</f>
        <v>0.25</v>
      </c>
      <c r="D100" s="251">
        <f>C100*('Summary Equip'!$J$27)*(1+'Summary Equip'!$N$3)</f>
        <v>0</v>
      </c>
      <c r="E100" s="249">
        <v>0</v>
      </c>
      <c r="F100" s="213">
        <f t="shared" si="49"/>
        <v>0</v>
      </c>
      <c r="G100" s="214">
        <f>D100</f>
        <v>0</v>
      </c>
      <c r="H100" s="178"/>
      <c r="I100" s="212">
        <f t="shared" si="37"/>
        <v>26</v>
      </c>
      <c r="J100" s="213">
        <f t="shared" si="48"/>
        <v>4927.0990442467046</v>
      </c>
      <c r="K100" s="213">
        <f t="shared" si="30"/>
        <v>21.763141492304158</v>
      </c>
      <c r="L100" s="213">
        <f t="shared" si="39"/>
        <v>-459.86573064095091</v>
      </c>
      <c r="M100" s="214">
        <f t="shared" si="28"/>
        <v>4488.9964550980585</v>
      </c>
      <c r="O100" s="212">
        <f t="shared" si="40"/>
        <v>26</v>
      </c>
      <c r="P100" s="215">
        <f t="shared" si="41"/>
        <v>9569.4444444444453</v>
      </c>
      <c r="Q100" s="201">
        <f t="shared" si="29"/>
        <v>18796.299408520365</v>
      </c>
      <c r="R100" s="201">
        <f t="shared" si="31"/>
        <v>-459.86573064095091</v>
      </c>
      <c r="S100" s="213">
        <f t="shared" si="42"/>
        <v>0</v>
      </c>
      <c r="T100" s="213"/>
      <c r="U100" s="213">
        <f t="shared" si="43"/>
        <v>-939.81497042601825</v>
      </c>
      <c r="V100" s="201">
        <f t="shared" si="46"/>
        <v>-363.41770833333334</v>
      </c>
      <c r="W100" s="204">
        <f t="shared" si="33"/>
        <v>17033.200999120061</v>
      </c>
      <c r="X100" s="216">
        <f t="shared" si="44"/>
        <v>439450.21816462162</v>
      </c>
      <c r="Z100" s="206">
        <f t="shared" si="45"/>
        <v>174440.5</v>
      </c>
      <c r="AA100" s="193">
        <f t="shared" si="34"/>
        <v>0</v>
      </c>
      <c r="AB100" s="206">
        <f t="shared" si="35"/>
        <v>174440.5</v>
      </c>
    </row>
    <row r="101" spans="1:28" s="177" customFormat="1" ht="14.65" thickBot="1" x14ac:dyDescent="0.5">
      <c r="A101" s="221">
        <f t="shared" si="50"/>
        <v>7</v>
      </c>
      <c r="B101" s="222" t="s">
        <v>32</v>
      </c>
      <c r="C101" s="247">
        <f>+C33</f>
        <v>7.0000000000000007E-2</v>
      </c>
      <c r="D101" s="251">
        <f>C101*('Summary Equip'!$J$27)*(1+'Summary Equip'!$N$3)</f>
        <v>0</v>
      </c>
      <c r="E101" s="252">
        <v>0</v>
      </c>
      <c r="F101" s="253">
        <f t="shared" si="49"/>
        <v>0</v>
      </c>
      <c r="G101" s="254">
        <f>D101</f>
        <v>0</v>
      </c>
      <c r="H101" s="178"/>
      <c r="I101" s="212">
        <f t="shared" si="37"/>
        <v>27</v>
      </c>
      <c r="J101" s="213">
        <f t="shared" si="48"/>
        <v>4488.9964550980585</v>
      </c>
      <c r="K101" s="213">
        <f t="shared" si="30"/>
        <v>19.828029461844764</v>
      </c>
      <c r="L101" s="213">
        <f t="shared" si="39"/>
        <v>-459.86573064095091</v>
      </c>
      <c r="M101" s="214">
        <f t="shared" si="28"/>
        <v>4048.958753918952</v>
      </c>
      <c r="O101" s="212">
        <f t="shared" si="40"/>
        <v>27</v>
      </c>
      <c r="P101" s="215">
        <f t="shared" si="41"/>
        <v>9944.4444444444453</v>
      </c>
      <c r="Q101" s="201">
        <f t="shared" si="29"/>
        <v>18796.299408520365</v>
      </c>
      <c r="R101" s="201">
        <f t="shared" si="31"/>
        <v>-459.86573064095091</v>
      </c>
      <c r="S101" s="213">
        <f t="shared" si="42"/>
        <v>0</v>
      </c>
      <c r="T101" s="213"/>
      <c r="U101" s="213">
        <f t="shared" si="43"/>
        <v>-939.81497042601825</v>
      </c>
      <c r="V101" s="201">
        <f t="shared" si="46"/>
        <v>-352.91614583333336</v>
      </c>
      <c r="W101" s="204">
        <f t="shared" si="33"/>
        <v>17043.702561620063</v>
      </c>
      <c r="X101" s="216">
        <f t="shared" si="44"/>
        <v>456493.92072624166</v>
      </c>
      <c r="Z101" s="206">
        <f t="shared" si="45"/>
        <v>169399.75</v>
      </c>
      <c r="AA101" s="193">
        <f t="shared" si="34"/>
        <v>0</v>
      </c>
      <c r="AB101" s="206">
        <f t="shared" si="35"/>
        <v>169399.75</v>
      </c>
    </row>
    <row r="102" spans="1:28" s="177" customFormat="1" ht="14.65" thickBot="1" x14ac:dyDescent="0.5">
      <c r="A102" s="255">
        <f t="shared" si="50"/>
        <v>8</v>
      </c>
      <c r="B102" s="256" t="s">
        <v>8</v>
      </c>
      <c r="C102" s="257"/>
      <c r="D102" s="258"/>
      <c r="E102" s="259"/>
      <c r="F102" s="260">
        <f>SUM(F95:F101)</f>
        <v>27041.570339977454</v>
      </c>
      <c r="G102" s="261">
        <f>SUM(G95:G101)</f>
        <v>7561.125</v>
      </c>
      <c r="H102" s="178"/>
      <c r="I102" s="212">
        <f t="shared" si="37"/>
        <v>28</v>
      </c>
      <c r="J102" s="213">
        <f t="shared" si="48"/>
        <v>4048.958753918952</v>
      </c>
      <c r="K102" s="213">
        <f t="shared" si="30"/>
        <v>17.884369984592809</v>
      </c>
      <c r="L102" s="213">
        <f t="shared" si="39"/>
        <v>-459.86573064095091</v>
      </c>
      <c r="M102" s="214">
        <f t="shared" si="28"/>
        <v>3606.977393262594</v>
      </c>
      <c r="O102" s="212">
        <f t="shared" si="40"/>
        <v>28</v>
      </c>
      <c r="P102" s="215">
        <f t="shared" si="41"/>
        <v>10319.444444444445</v>
      </c>
      <c r="Q102" s="201">
        <f t="shared" si="29"/>
        <v>18796.299408520365</v>
      </c>
      <c r="R102" s="201">
        <f t="shared" si="31"/>
        <v>-459.86573064095091</v>
      </c>
      <c r="S102" s="213">
        <f t="shared" si="42"/>
        <v>0</v>
      </c>
      <c r="T102" s="213"/>
      <c r="U102" s="213">
        <f t="shared" si="43"/>
        <v>-939.81497042601825</v>
      </c>
      <c r="V102" s="201">
        <f t="shared" si="46"/>
        <v>-342.41458333333338</v>
      </c>
      <c r="W102" s="204">
        <f t="shared" si="33"/>
        <v>17054.20412412006</v>
      </c>
      <c r="X102" s="216">
        <f t="shared" si="44"/>
        <v>473548.12485036172</v>
      </c>
      <c r="Z102" s="206">
        <f t="shared" si="45"/>
        <v>164359</v>
      </c>
      <c r="AA102" s="193">
        <f t="shared" si="34"/>
        <v>0</v>
      </c>
      <c r="AB102" s="206">
        <f t="shared" si="35"/>
        <v>164359</v>
      </c>
    </row>
    <row r="103" spans="1:28" s="177" customFormat="1" ht="14.65" thickBot="1" x14ac:dyDescent="0.5">
      <c r="A103" s="262">
        <f>A102+1</f>
        <v>9</v>
      </c>
      <c r="B103" s="263" t="s">
        <v>7</v>
      </c>
      <c r="C103" s="264">
        <f>+C35</f>
        <v>0.05</v>
      </c>
      <c r="D103" s="265"/>
      <c r="E103" s="266"/>
      <c r="F103" s="267">
        <f>F104-F102</f>
        <v>1423.2405442093404</v>
      </c>
      <c r="G103" s="268">
        <f>G104-G102</f>
        <v>397.95394736842172</v>
      </c>
      <c r="H103" s="178"/>
      <c r="I103" s="212">
        <f t="shared" si="37"/>
        <v>29</v>
      </c>
      <c r="J103" s="213">
        <f t="shared" si="48"/>
        <v>3606.977393262594</v>
      </c>
      <c r="K103" s="213">
        <f t="shared" si="30"/>
        <v>15.932125306224254</v>
      </c>
      <c r="L103" s="213">
        <f t="shared" si="39"/>
        <v>-459.86573064095091</v>
      </c>
      <c r="M103" s="214">
        <f t="shared" si="28"/>
        <v>3163.0437879278675</v>
      </c>
      <c r="O103" s="212">
        <f t="shared" si="40"/>
        <v>29</v>
      </c>
      <c r="P103" s="215">
        <f t="shared" si="41"/>
        <v>10694.444444444445</v>
      </c>
      <c r="Q103" s="201">
        <f t="shared" si="29"/>
        <v>18796.299408520365</v>
      </c>
      <c r="R103" s="201">
        <f t="shared" si="31"/>
        <v>-459.86573064095091</v>
      </c>
      <c r="S103" s="213">
        <f t="shared" si="42"/>
        <v>0</v>
      </c>
      <c r="T103" s="213"/>
      <c r="U103" s="213">
        <f t="shared" si="43"/>
        <v>-939.81497042601825</v>
      </c>
      <c r="V103" s="201">
        <f t="shared" si="46"/>
        <v>-331.91302083333335</v>
      </c>
      <c r="W103" s="204">
        <f t="shared" si="33"/>
        <v>17064.705686620062</v>
      </c>
      <c r="X103" s="216">
        <f t="shared" si="44"/>
        <v>490612.83053698181</v>
      </c>
      <c r="Z103" s="206">
        <f t="shared" si="45"/>
        <v>159318.25</v>
      </c>
      <c r="AA103" s="193">
        <f t="shared" si="34"/>
        <v>0</v>
      </c>
      <c r="AB103" s="206">
        <f t="shared" si="35"/>
        <v>159318.25</v>
      </c>
    </row>
    <row r="104" spans="1:28" s="177" customFormat="1" ht="14.65" thickBot="1" x14ac:dyDescent="0.5">
      <c r="A104" s="269">
        <f>A103+1</f>
        <v>10</v>
      </c>
      <c r="B104" s="270" t="s">
        <v>28</v>
      </c>
      <c r="C104" s="271"/>
      <c r="D104" s="272"/>
      <c r="E104" s="273"/>
      <c r="F104" s="274">
        <f>F102/(100%-C103)</f>
        <v>28464.810884186794</v>
      </c>
      <c r="G104" s="275">
        <f>G102/(100%-C103)</f>
        <v>7959.0789473684217</v>
      </c>
      <c r="H104" s="178"/>
      <c r="I104" s="212">
        <f t="shared" si="37"/>
        <v>30</v>
      </c>
      <c r="J104" s="213">
        <f t="shared" si="48"/>
        <v>3163.0437879278675</v>
      </c>
      <c r="K104" s="213">
        <f t="shared" si="30"/>
        <v>13.97125750565308</v>
      </c>
      <c r="L104" s="213">
        <f t="shared" si="39"/>
        <v>-459.86573064095091</v>
      </c>
      <c r="M104" s="214">
        <f t="shared" si="28"/>
        <v>2717.1493147925698</v>
      </c>
      <c r="O104" s="212">
        <f t="shared" si="40"/>
        <v>30</v>
      </c>
      <c r="P104" s="215">
        <f t="shared" si="41"/>
        <v>11069.444444444445</v>
      </c>
      <c r="Q104" s="201">
        <f t="shared" si="29"/>
        <v>18796.299408520365</v>
      </c>
      <c r="R104" s="201">
        <f t="shared" si="31"/>
        <v>-459.86573064095091</v>
      </c>
      <c r="S104" s="213">
        <f t="shared" si="42"/>
        <v>0</v>
      </c>
      <c r="T104" s="213">
        <f>-T124*0.5</f>
        <v>0</v>
      </c>
      <c r="U104" s="213">
        <f t="shared" si="43"/>
        <v>-939.81497042601825</v>
      </c>
      <c r="V104" s="201">
        <f t="shared" si="46"/>
        <v>-321.41145833333331</v>
      </c>
      <c r="W104" s="204">
        <f t="shared" si="33"/>
        <v>17075.207249120063</v>
      </c>
      <c r="X104" s="216">
        <f t="shared" si="44"/>
        <v>507688.03778610186</v>
      </c>
      <c r="Z104" s="206">
        <f t="shared" si="45"/>
        <v>154277.5</v>
      </c>
      <c r="AA104" s="193">
        <f t="shared" si="34"/>
        <v>0</v>
      </c>
      <c r="AB104" s="206">
        <f t="shared" si="35"/>
        <v>154277.5</v>
      </c>
    </row>
    <row r="105" spans="1:28" s="177" customFormat="1" x14ac:dyDescent="0.45">
      <c r="C105" s="178"/>
      <c r="D105" s="178"/>
      <c r="E105" s="178"/>
      <c r="F105" s="178"/>
      <c r="G105" s="178"/>
      <c r="H105" s="178"/>
      <c r="I105" s="212">
        <f t="shared" si="37"/>
        <v>31</v>
      </c>
      <c r="J105" s="213">
        <f t="shared" si="48"/>
        <v>2717.1493147925698</v>
      </c>
      <c r="K105" s="213">
        <f t="shared" si="30"/>
        <v>12.001728494294726</v>
      </c>
      <c r="L105" s="213">
        <f t="shared" si="39"/>
        <v>-459.86573064095091</v>
      </c>
      <c r="M105" s="214">
        <f t="shared" si="28"/>
        <v>2269.2853126459136</v>
      </c>
      <c r="O105" s="212">
        <f t="shared" si="40"/>
        <v>31</v>
      </c>
      <c r="P105" s="215">
        <f t="shared" si="41"/>
        <v>11444.444444444445</v>
      </c>
      <c r="Q105" s="201">
        <f t="shared" si="29"/>
        <v>18796.299408520365</v>
      </c>
      <c r="R105" s="201">
        <f t="shared" si="31"/>
        <v>-459.86573064095091</v>
      </c>
      <c r="S105" s="213">
        <f t="shared" si="42"/>
        <v>0</v>
      </c>
      <c r="T105" s="213"/>
      <c r="U105" s="213">
        <f t="shared" si="43"/>
        <v>-939.81497042601825</v>
      </c>
      <c r="V105" s="201">
        <f t="shared" si="46"/>
        <v>-310.90989583333334</v>
      </c>
      <c r="W105" s="204">
        <f t="shared" si="33"/>
        <v>17085.708811620061</v>
      </c>
      <c r="X105" s="216">
        <f t="shared" si="44"/>
        <v>524773.74659772194</v>
      </c>
      <c r="Z105" s="206">
        <f t="shared" si="45"/>
        <v>149236.75</v>
      </c>
      <c r="AA105" s="193">
        <f t="shared" si="34"/>
        <v>0</v>
      </c>
      <c r="AB105" s="206">
        <f t="shared" si="35"/>
        <v>149236.75</v>
      </c>
    </row>
    <row r="106" spans="1:28" s="177" customFormat="1" x14ac:dyDescent="0.45">
      <c r="C106" s="178"/>
      <c r="D106" s="178"/>
      <c r="E106" s="178"/>
      <c r="F106" s="178"/>
      <c r="G106" s="178"/>
      <c r="H106" s="178"/>
      <c r="I106" s="212">
        <f t="shared" si="37"/>
        <v>32</v>
      </c>
      <c r="J106" s="213">
        <f t="shared" si="48"/>
        <v>2269.2853126459136</v>
      </c>
      <c r="K106" s="213">
        <f t="shared" si="30"/>
        <v>10.023500015326229</v>
      </c>
      <c r="L106" s="213">
        <f t="shared" si="39"/>
        <v>-459.86573064095091</v>
      </c>
      <c r="M106" s="214">
        <f t="shared" si="28"/>
        <v>1819.4430820202888</v>
      </c>
      <c r="O106" s="212">
        <f t="shared" si="40"/>
        <v>32</v>
      </c>
      <c r="P106" s="215">
        <f t="shared" si="41"/>
        <v>11819.444444444445</v>
      </c>
      <c r="Q106" s="201">
        <f t="shared" si="29"/>
        <v>18796.299408520365</v>
      </c>
      <c r="R106" s="201">
        <f t="shared" si="31"/>
        <v>-459.86573064095091</v>
      </c>
      <c r="S106" s="213">
        <f t="shared" si="42"/>
        <v>0</v>
      </c>
      <c r="T106" s="213"/>
      <c r="U106" s="213">
        <f t="shared" si="43"/>
        <v>-939.81497042601825</v>
      </c>
      <c r="V106" s="201">
        <f t="shared" si="46"/>
        <v>-300.40833333333336</v>
      </c>
      <c r="W106" s="204">
        <f t="shared" si="33"/>
        <v>17096.210374120063</v>
      </c>
      <c r="X106" s="216">
        <f t="shared" si="44"/>
        <v>541869.95697184198</v>
      </c>
      <c r="Z106" s="206">
        <f t="shared" si="45"/>
        <v>144196</v>
      </c>
      <c r="AA106" s="193">
        <f t="shared" si="34"/>
        <v>0</v>
      </c>
      <c r="AB106" s="206">
        <f t="shared" si="35"/>
        <v>144196</v>
      </c>
    </row>
    <row r="107" spans="1:28" s="177" customFormat="1" x14ac:dyDescent="0.45">
      <c r="C107" s="178"/>
      <c r="D107" s="178"/>
      <c r="E107" s="178"/>
      <c r="F107" s="178"/>
      <c r="G107" s="178"/>
      <c r="H107" s="178"/>
      <c r="I107" s="212">
        <f t="shared" si="37"/>
        <v>33</v>
      </c>
      <c r="J107" s="213">
        <f t="shared" si="48"/>
        <v>1819.4430820202888</v>
      </c>
      <c r="K107" s="213">
        <f t="shared" si="30"/>
        <v>8.0365336429431142</v>
      </c>
      <c r="L107" s="213">
        <f t="shared" si="39"/>
        <v>-459.86573064095091</v>
      </c>
      <c r="M107" s="214">
        <f t="shared" si="28"/>
        <v>1367.613885022281</v>
      </c>
      <c r="O107" s="212">
        <f t="shared" si="40"/>
        <v>33</v>
      </c>
      <c r="P107" s="215">
        <f t="shared" si="41"/>
        <v>12194.444444444445</v>
      </c>
      <c r="Q107" s="201">
        <f t="shared" si="29"/>
        <v>18796.299408520365</v>
      </c>
      <c r="R107" s="201">
        <f t="shared" si="31"/>
        <v>-459.86573064095091</v>
      </c>
      <c r="S107" s="213">
        <f t="shared" si="42"/>
        <v>0</v>
      </c>
      <c r="T107" s="213"/>
      <c r="U107" s="213">
        <f t="shared" si="43"/>
        <v>-939.81497042601825</v>
      </c>
      <c r="V107" s="201">
        <f t="shared" si="46"/>
        <v>-289.90677083333338</v>
      </c>
      <c r="W107" s="204">
        <f t="shared" si="33"/>
        <v>17106.71193662006</v>
      </c>
      <c r="X107" s="216">
        <f t="shared" si="44"/>
        <v>558976.66890846204</v>
      </c>
      <c r="Z107" s="206">
        <f t="shared" si="45"/>
        <v>139155.25</v>
      </c>
      <c r="AA107" s="193">
        <f t="shared" si="34"/>
        <v>0</v>
      </c>
      <c r="AB107" s="206">
        <f t="shared" si="35"/>
        <v>139155.25</v>
      </c>
    </row>
    <row r="108" spans="1:28" s="177" customFormat="1" ht="14.65" thickBot="1" x14ac:dyDescent="0.5">
      <c r="C108" s="178"/>
      <c r="D108" s="178"/>
      <c r="E108" s="178"/>
      <c r="F108" s="178"/>
      <c r="G108" s="178"/>
      <c r="H108" s="178"/>
      <c r="I108" s="212">
        <f t="shared" si="37"/>
        <v>34</v>
      </c>
      <c r="J108" s="213">
        <f t="shared" si="48"/>
        <v>1367.613885022281</v>
      </c>
      <c r="K108" s="213">
        <f t="shared" si="30"/>
        <v>6.0407907816129951</v>
      </c>
      <c r="L108" s="213">
        <f t="shared" si="39"/>
        <v>-459.86573064095091</v>
      </c>
      <c r="M108" s="214">
        <f t="shared" si="28"/>
        <v>913.78894516294304</v>
      </c>
      <c r="O108" s="212">
        <f t="shared" si="40"/>
        <v>34</v>
      </c>
      <c r="P108" s="215">
        <f t="shared" si="41"/>
        <v>12569.444444444445</v>
      </c>
      <c r="Q108" s="201">
        <f t="shared" si="29"/>
        <v>18796.299408520365</v>
      </c>
      <c r="R108" s="201">
        <f t="shared" si="31"/>
        <v>-459.86573064095091</v>
      </c>
      <c r="S108" s="213">
        <f t="shared" si="42"/>
        <v>0</v>
      </c>
      <c r="T108" s="213"/>
      <c r="U108" s="213">
        <f t="shared" si="43"/>
        <v>-939.81497042601825</v>
      </c>
      <c r="V108" s="201">
        <f t="shared" si="46"/>
        <v>-279.40520833333335</v>
      </c>
      <c r="W108" s="204">
        <f t="shared" si="33"/>
        <v>17117.213499120062</v>
      </c>
      <c r="X108" s="216">
        <f t="shared" si="44"/>
        <v>576093.88240758213</v>
      </c>
      <c r="Z108" s="206">
        <f t="shared" si="45"/>
        <v>134114.5</v>
      </c>
      <c r="AA108" s="193">
        <f t="shared" si="34"/>
        <v>0</v>
      </c>
      <c r="AB108" s="206">
        <f t="shared" si="35"/>
        <v>134114.5</v>
      </c>
    </row>
    <row r="109" spans="1:28" s="177" customFormat="1" ht="31.15" thickBot="1" x14ac:dyDescent="0.5">
      <c r="A109" s="723" t="s">
        <v>29</v>
      </c>
      <c r="B109" s="724"/>
      <c r="C109" s="724"/>
      <c r="D109" s="724"/>
      <c r="E109" s="724"/>
      <c r="F109" s="724"/>
      <c r="G109" s="725"/>
      <c r="H109" s="178"/>
      <c r="I109" s="212">
        <f t="shared" si="37"/>
        <v>35</v>
      </c>
      <c r="J109" s="213">
        <f t="shared" si="48"/>
        <v>913.78894516294304</v>
      </c>
      <c r="K109" s="213">
        <f t="shared" si="30"/>
        <v>4.0362326653258851</v>
      </c>
      <c r="L109" s="213">
        <f t="shared" si="39"/>
        <v>-459.86573064095091</v>
      </c>
      <c r="M109" s="214">
        <f t="shared" si="28"/>
        <v>457.95944718731801</v>
      </c>
      <c r="O109" s="212">
        <f t="shared" si="40"/>
        <v>35</v>
      </c>
      <c r="P109" s="215">
        <f t="shared" si="41"/>
        <v>12944.444444444445</v>
      </c>
      <c r="Q109" s="201">
        <f t="shared" si="29"/>
        <v>18796.299408520365</v>
      </c>
      <c r="R109" s="201">
        <f t="shared" si="31"/>
        <v>-459.86573064095091</v>
      </c>
      <c r="S109" s="213">
        <f t="shared" si="42"/>
        <v>0</v>
      </c>
      <c r="T109" s="213"/>
      <c r="U109" s="213">
        <f t="shared" si="43"/>
        <v>-939.81497042601825</v>
      </c>
      <c r="V109" s="201">
        <f t="shared" si="46"/>
        <v>-268.90364583333331</v>
      </c>
      <c r="W109" s="204">
        <f t="shared" si="33"/>
        <v>17127.715061620063</v>
      </c>
      <c r="X109" s="216">
        <f t="shared" si="44"/>
        <v>593221.59746920224</v>
      </c>
      <c r="Z109" s="206">
        <f t="shared" si="45"/>
        <v>129073.75</v>
      </c>
      <c r="AA109" s="193">
        <f t="shared" si="34"/>
        <v>0</v>
      </c>
      <c r="AB109" s="206">
        <f t="shared" si="35"/>
        <v>129073.75</v>
      </c>
    </row>
    <row r="110" spans="1:28" s="177" customFormat="1" ht="18" x14ac:dyDescent="0.45">
      <c r="A110" s="276">
        <v>1</v>
      </c>
      <c r="B110" s="702" t="s">
        <v>30</v>
      </c>
      <c r="C110" s="703"/>
      <c r="D110" s="703"/>
      <c r="E110" s="704"/>
      <c r="F110" s="277">
        <f>F104/C80/C82</f>
        <v>1129.5559874677299</v>
      </c>
      <c r="G110" s="278">
        <f>G104/C81/C82</f>
        <v>1.1370112781954889</v>
      </c>
      <c r="H110" s="178"/>
      <c r="I110" s="279">
        <f t="shared" si="37"/>
        <v>36</v>
      </c>
      <c r="J110" s="280">
        <f t="shared" si="48"/>
        <v>457.95944718731801</v>
      </c>
      <c r="K110" s="280">
        <f t="shared" si="30"/>
        <v>2.022820356841188</v>
      </c>
      <c r="L110" s="280">
        <f>L109</f>
        <v>-459.86573064095091</v>
      </c>
      <c r="M110" s="281">
        <f t="shared" si="28"/>
        <v>0.11653690320827081</v>
      </c>
      <c r="O110" s="279">
        <f t="shared" si="40"/>
        <v>36</v>
      </c>
      <c r="P110" s="215">
        <f t="shared" si="41"/>
        <v>13319.444444444445</v>
      </c>
      <c r="Q110" s="201">
        <f t="shared" si="29"/>
        <v>18796.299408520365</v>
      </c>
      <c r="R110" s="201">
        <f t="shared" si="31"/>
        <v>-459.86573064095091</v>
      </c>
      <c r="S110" s="213">
        <f t="shared" si="42"/>
        <v>0</v>
      </c>
      <c r="T110" s="213"/>
      <c r="U110" s="213">
        <f t="shared" si="43"/>
        <v>-939.81497042601825</v>
      </c>
      <c r="V110" s="201">
        <f t="shared" si="46"/>
        <v>-258.40208333333334</v>
      </c>
      <c r="W110" s="204">
        <f t="shared" si="33"/>
        <v>17138.216624120061</v>
      </c>
      <c r="X110" s="216">
        <f t="shared" si="44"/>
        <v>610359.81409332226</v>
      </c>
      <c r="Z110" s="206">
        <f t="shared" si="45"/>
        <v>124033</v>
      </c>
      <c r="AA110" s="193">
        <f t="shared" si="34"/>
        <v>0</v>
      </c>
      <c r="AB110" s="206">
        <f t="shared" si="35"/>
        <v>124033</v>
      </c>
    </row>
    <row r="111" spans="1:28" s="177" customFormat="1" ht="18.399999999999999" thickBot="1" x14ac:dyDescent="0.5">
      <c r="A111" s="282">
        <f>A110+1</f>
        <v>2</v>
      </c>
      <c r="B111" s="705" t="s">
        <v>31</v>
      </c>
      <c r="C111" s="706"/>
      <c r="D111" s="706"/>
      <c r="E111" s="707"/>
      <c r="F111" s="283"/>
      <c r="G111" s="284">
        <f>(G104+F104)/C81/C82</f>
        <v>5.2034128330793168</v>
      </c>
      <c r="H111" s="178"/>
      <c r="I111" s="279">
        <f t="shared" si="37"/>
        <v>37</v>
      </c>
      <c r="J111" s="280"/>
      <c r="K111" s="280"/>
      <c r="L111" s="280"/>
      <c r="M111" s="281">
        <f t="shared" si="28"/>
        <v>0</v>
      </c>
      <c r="O111" s="279">
        <f t="shared" si="40"/>
        <v>37</v>
      </c>
      <c r="P111" s="215">
        <f t="shared" si="41"/>
        <v>13694.444444444445</v>
      </c>
      <c r="Q111" s="213">
        <f t="shared" ref="Q111:Q122" si="51">$F$42+($Q$4*$G$42)</f>
        <v>21393.937673894405</v>
      </c>
      <c r="R111" s="201">
        <f t="shared" si="31"/>
        <v>0</v>
      </c>
      <c r="S111" s="213">
        <f t="shared" si="42"/>
        <v>0</v>
      </c>
      <c r="T111" s="213"/>
      <c r="U111" s="213">
        <f t="shared" si="43"/>
        <v>-939.81497042601825</v>
      </c>
      <c r="V111" s="201">
        <f t="shared" si="46"/>
        <v>-247.90052083333333</v>
      </c>
      <c r="W111" s="204">
        <f t="shared" si="33"/>
        <v>20206.222182635054</v>
      </c>
      <c r="X111" s="216">
        <f t="shared" si="44"/>
        <v>630566.03627595736</v>
      </c>
      <c r="Z111" s="206">
        <f t="shared" si="45"/>
        <v>118992.25</v>
      </c>
      <c r="AA111" s="193">
        <f t="shared" si="34"/>
        <v>0</v>
      </c>
      <c r="AB111" s="206">
        <f t="shared" si="35"/>
        <v>118992.25</v>
      </c>
    </row>
    <row r="112" spans="1:28" s="177" customFormat="1" x14ac:dyDescent="0.45">
      <c r="I112" s="279">
        <f t="shared" si="37"/>
        <v>38</v>
      </c>
      <c r="J112" s="280"/>
      <c r="K112" s="280"/>
      <c r="L112" s="280"/>
      <c r="M112" s="281">
        <f t="shared" si="28"/>
        <v>0</v>
      </c>
      <c r="O112" s="279">
        <f t="shared" si="40"/>
        <v>38</v>
      </c>
      <c r="P112" s="215">
        <f t="shared" si="41"/>
        <v>14069.444444444445</v>
      </c>
      <c r="Q112" s="213">
        <f t="shared" si="51"/>
        <v>21393.937673894405</v>
      </c>
      <c r="R112" s="201">
        <f t="shared" si="31"/>
        <v>0</v>
      </c>
      <c r="S112" s="213">
        <f t="shared" si="42"/>
        <v>0</v>
      </c>
      <c r="T112" s="213"/>
      <c r="U112" s="213">
        <f t="shared" si="43"/>
        <v>-939.81497042601825</v>
      </c>
      <c r="V112" s="201">
        <f t="shared" si="46"/>
        <v>-237.39895833333335</v>
      </c>
      <c r="W112" s="204">
        <f t="shared" si="33"/>
        <v>20216.723745135052</v>
      </c>
      <c r="X112" s="216">
        <f t="shared" si="44"/>
        <v>650782.76002109237</v>
      </c>
      <c r="Z112" s="206">
        <f t="shared" si="45"/>
        <v>113951.5</v>
      </c>
      <c r="AA112" s="193">
        <f t="shared" si="34"/>
        <v>0</v>
      </c>
      <c r="AB112" s="206">
        <f t="shared" si="35"/>
        <v>113951.5</v>
      </c>
    </row>
    <row r="113" spans="9:28" s="177" customFormat="1" x14ac:dyDescent="0.45">
      <c r="I113" s="279">
        <f t="shared" si="37"/>
        <v>39</v>
      </c>
      <c r="J113" s="280"/>
      <c r="K113" s="280"/>
      <c r="L113" s="280"/>
      <c r="M113" s="281">
        <f t="shared" si="28"/>
        <v>0</v>
      </c>
      <c r="O113" s="279">
        <f t="shared" si="40"/>
        <v>39</v>
      </c>
      <c r="P113" s="215">
        <f t="shared" si="41"/>
        <v>14444.444444444445</v>
      </c>
      <c r="Q113" s="213">
        <f t="shared" si="51"/>
        <v>21393.937673894405</v>
      </c>
      <c r="R113" s="201">
        <f t="shared" si="31"/>
        <v>0</v>
      </c>
      <c r="S113" s="213">
        <f t="shared" si="42"/>
        <v>0</v>
      </c>
      <c r="T113" s="213"/>
      <c r="U113" s="213">
        <f t="shared" si="43"/>
        <v>-939.81497042601825</v>
      </c>
      <c r="V113" s="201">
        <f t="shared" si="46"/>
        <v>-226.89739583333335</v>
      </c>
      <c r="W113" s="204">
        <f t="shared" si="33"/>
        <v>20227.225307635053</v>
      </c>
      <c r="X113" s="216">
        <f t="shared" si="44"/>
        <v>671009.9853287274</v>
      </c>
      <c r="Z113" s="206">
        <f t="shared" si="45"/>
        <v>108910.75</v>
      </c>
      <c r="AA113" s="193">
        <f t="shared" si="34"/>
        <v>0</v>
      </c>
      <c r="AB113" s="206">
        <f t="shared" si="35"/>
        <v>108910.75</v>
      </c>
    </row>
    <row r="114" spans="9:28" s="177" customFormat="1" x14ac:dyDescent="0.45">
      <c r="I114" s="279">
        <f t="shared" si="37"/>
        <v>40</v>
      </c>
      <c r="J114" s="280"/>
      <c r="K114" s="280"/>
      <c r="L114" s="280"/>
      <c r="M114" s="281">
        <f t="shared" si="28"/>
        <v>0</v>
      </c>
      <c r="O114" s="279">
        <f t="shared" si="40"/>
        <v>40</v>
      </c>
      <c r="P114" s="215">
        <f t="shared" si="41"/>
        <v>14819.444444444445</v>
      </c>
      <c r="Q114" s="213">
        <f t="shared" si="51"/>
        <v>21393.937673894405</v>
      </c>
      <c r="R114" s="201">
        <f t="shared" si="31"/>
        <v>0</v>
      </c>
      <c r="S114" s="213">
        <f t="shared" si="42"/>
        <v>0</v>
      </c>
      <c r="T114" s="213"/>
      <c r="U114" s="213">
        <f t="shared" si="43"/>
        <v>-939.81497042601825</v>
      </c>
      <c r="V114" s="201">
        <f t="shared" si="46"/>
        <v>-216.39583333333334</v>
      </c>
      <c r="W114" s="204">
        <f t="shared" si="33"/>
        <v>20237.726870135055</v>
      </c>
      <c r="X114" s="216">
        <f t="shared" si="44"/>
        <v>691247.71219886246</v>
      </c>
      <c r="Z114" s="206">
        <f t="shared" si="45"/>
        <v>103870</v>
      </c>
      <c r="AA114" s="193">
        <f t="shared" si="34"/>
        <v>0</v>
      </c>
      <c r="AB114" s="206">
        <f t="shared" si="35"/>
        <v>103870</v>
      </c>
    </row>
    <row r="115" spans="9:28" s="177" customFormat="1" x14ac:dyDescent="0.45">
      <c r="I115" s="279">
        <f t="shared" si="37"/>
        <v>41</v>
      </c>
      <c r="J115" s="280"/>
      <c r="K115" s="280"/>
      <c r="L115" s="280"/>
      <c r="M115" s="281">
        <f t="shared" si="28"/>
        <v>0</v>
      </c>
      <c r="O115" s="279">
        <f t="shared" si="40"/>
        <v>41</v>
      </c>
      <c r="P115" s="215">
        <f t="shared" si="41"/>
        <v>15194.444444444445</v>
      </c>
      <c r="Q115" s="213">
        <f t="shared" si="51"/>
        <v>21393.937673894405</v>
      </c>
      <c r="R115" s="201">
        <f t="shared" si="31"/>
        <v>0</v>
      </c>
      <c r="S115" s="213">
        <f t="shared" si="42"/>
        <v>0</v>
      </c>
      <c r="T115" s="213"/>
      <c r="U115" s="213">
        <f t="shared" si="43"/>
        <v>-939.81497042601825</v>
      </c>
      <c r="V115" s="201">
        <f t="shared" si="46"/>
        <v>-205.89427083333337</v>
      </c>
      <c r="W115" s="204">
        <f t="shared" si="33"/>
        <v>20248.228432635053</v>
      </c>
      <c r="X115" s="216">
        <f t="shared" si="44"/>
        <v>711495.94063149753</v>
      </c>
      <c r="Z115" s="206">
        <f t="shared" si="45"/>
        <v>98829.25</v>
      </c>
      <c r="AA115" s="193">
        <f t="shared" si="34"/>
        <v>0</v>
      </c>
      <c r="AB115" s="206">
        <f t="shared" si="35"/>
        <v>98829.25</v>
      </c>
    </row>
    <row r="116" spans="9:28" s="177" customFormat="1" x14ac:dyDescent="0.45">
      <c r="I116" s="279">
        <f t="shared" si="37"/>
        <v>42</v>
      </c>
      <c r="J116" s="280"/>
      <c r="K116" s="280"/>
      <c r="L116" s="280"/>
      <c r="M116" s="281">
        <f t="shared" si="28"/>
        <v>0</v>
      </c>
      <c r="O116" s="279">
        <f t="shared" si="40"/>
        <v>42</v>
      </c>
      <c r="P116" s="215">
        <f t="shared" si="41"/>
        <v>15569.444444444445</v>
      </c>
      <c r="Q116" s="213">
        <f t="shared" si="51"/>
        <v>21393.937673894405</v>
      </c>
      <c r="R116" s="201">
        <f t="shared" si="31"/>
        <v>0</v>
      </c>
      <c r="S116" s="213">
        <f t="shared" si="42"/>
        <v>0</v>
      </c>
      <c r="T116" s="213"/>
      <c r="U116" s="213">
        <f t="shared" si="43"/>
        <v>-939.81497042601825</v>
      </c>
      <c r="V116" s="201">
        <f t="shared" si="46"/>
        <v>-195.39270833333333</v>
      </c>
      <c r="W116" s="204">
        <f t="shared" si="33"/>
        <v>20258.729995135054</v>
      </c>
      <c r="X116" s="216">
        <f t="shared" si="44"/>
        <v>731754.67062663264</v>
      </c>
      <c r="Z116" s="206">
        <f t="shared" si="45"/>
        <v>93788.5</v>
      </c>
      <c r="AA116" s="193">
        <f t="shared" si="34"/>
        <v>0</v>
      </c>
      <c r="AB116" s="206">
        <f t="shared" si="35"/>
        <v>93788.5</v>
      </c>
    </row>
    <row r="117" spans="9:28" s="177" customFormat="1" x14ac:dyDescent="0.45">
      <c r="I117" s="279">
        <f t="shared" si="37"/>
        <v>43</v>
      </c>
      <c r="J117" s="280"/>
      <c r="K117" s="280"/>
      <c r="L117" s="280"/>
      <c r="M117" s="281">
        <f t="shared" si="28"/>
        <v>0</v>
      </c>
      <c r="O117" s="279">
        <f t="shared" si="40"/>
        <v>43</v>
      </c>
      <c r="P117" s="215">
        <f t="shared" si="41"/>
        <v>15944.444444444445</v>
      </c>
      <c r="Q117" s="213">
        <f t="shared" si="51"/>
        <v>21393.937673894405</v>
      </c>
      <c r="R117" s="201">
        <f t="shared" si="31"/>
        <v>0</v>
      </c>
      <c r="S117" s="213">
        <f t="shared" si="42"/>
        <v>0</v>
      </c>
      <c r="T117" s="213"/>
      <c r="U117" s="213">
        <f t="shared" si="43"/>
        <v>-939.81497042601825</v>
      </c>
      <c r="V117" s="201">
        <f t="shared" si="46"/>
        <v>-184.89114583333333</v>
      </c>
      <c r="W117" s="204">
        <f t="shared" si="33"/>
        <v>20269.231557635052</v>
      </c>
      <c r="X117" s="216">
        <f t="shared" si="44"/>
        <v>752023.90218426764</v>
      </c>
      <c r="Z117" s="206">
        <f t="shared" si="45"/>
        <v>88747.75</v>
      </c>
      <c r="AA117" s="193">
        <f t="shared" si="34"/>
        <v>0</v>
      </c>
      <c r="AB117" s="206">
        <f t="shared" si="35"/>
        <v>88747.75</v>
      </c>
    </row>
    <row r="118" spans="9:28" s="177" customFormat="1" x14ac:dyDescent="0.45">
      <c r="I118" s="279">
        <f t="shared" si="37"/>
        <v>44</v>
      </c>
      <c r="J118" s="280"/>
      <c r="K118" s="280"/>
      <c r="L118" s="280"/>
      <c r="M118" s="281">
        <f t="shared" si="28"/>
        <v>0</v>
      </c>
      <c r="O118" s="279">
        <f t="shared" si="40"/>
        <v>44</v>
      </c>
      <c r="P118" s="215">
        <f t="shared" si="41"/>
        <v>16319.444444444445</v>
      </c>
      <c r="Q118" s="213">
        <f t="shared" si="51"/>
        <v>21393.937673894405</v>
      </c>
      <c r="R118" s="201">
        <f t="shared" si="31"/>
        <v>0</v>
      </c>
      <c r="S118" s="213">
        <f t="shared" si="42"/>
        <v>0</v>
      </c>
      <c r="T118" s="213"/>
      <c r="U118" s="213">
        <f t="shared" si="43"/>
        <v>-939.81497042601825</v>
      </c>
      <c r="V118" s="201">
        <f t="shared" si="46"/>
        <v>-174.38958333333335</v>
      </c>
      <c r="W118" s="204">
        <f t="shared" si="33"/>
        <v>20279.733120135053</v>
      </c>
      <c r="X118" s="216">
        <f t="shared" si="44"/>
        <v>772303.63530440268</v>
      </c>
      <c r="Z118" s="206">
        <f t="shared" si="45"/>
        <v>83707</v>
      </c>
      <c r="AA118" s="193">
        <f t="shared" si="34"/>
        <v>0</v>
      </c>
      <c r="AB118" s="206">
        <f t="shared" si="35"/>
        <v>83707</v>
      </c>
    </row>
    <row r="119" spans="9:28" s="177" customFormat="1" x14ac:dyDescent="0.45">
      <c r="I119" s="279">
        <f t="shared" si="37"/>
        <v>45</v>
      </c>
      <c r="J119" s="280"/>
      <c r="K119" s="280"/>
      <c r="L119" s="280"/>
      <c r="M119" s="281">
        <f t="shared" si="28"/>
        <v>0</v>
      </c>
      <c r="O119" s="279">
        <f t="shared" si="40"/>
        <v>45</v>
      </c>
      <c r="P119" s="215">
        <f t="shared" si="41"/>
        <v>16694.444444444445</v>
      </c>
      <c r="Q119" s="213">
        <f t="shared" si="51"/>
        <v>21393.937673894405</v>
      </c>
      <c r="R119" s="201">
        <f t="shared" si="31"/>
        <v>0</v>
      </c>
      <c r="S119" s="213">
        <f t="shared" si="42"/>
        <v>0</v>
      </c>
      <c r="T119" s="213"/>
      <c r="U119" s="213">
        <f t="shared" si="43"/>
        <v>-939.81497042601825</v>
      </c>
      <c r="V119" s="201">
        <f t="shared" si="46"/>
        <v>-163.88802083333334</v>
      </c>
      <c r="W119" s="204">
        <f t="shared" si="33"/>
        <v>20290.234682635055</v>
      </c>
      <c r="X119" s="216">
        <f t="shared" si="44"/>
        <v>792593.86998703773</v>
      </c>
      <c r="Z119" s="206">
        <f t="shared" si="45"/>
        <v>78666.25</v>
      </c>
      <c r="AA119" s="193">
        <f t="shared" si="34"/>
        <v>0</v>
      </c>
      <c r="AB119" s="206">
        <f t="shared" si="35"/>
        <v>78666.25</v>
      </c>
    </row>
    <row r="120" spans="9:28" s="177" customFormat="1" x14ac:dyDescent="0.45">
      <c r="I120" s="279">
        <f t="shared" si="37"/>
        <v>46</v>
      </c>
      <c r="J120" s="280"/>
      <c r="K120" s="280"/>
      <c r="L120" s="280"/>
      <c r="M120" s="281">
        <f t="shared" si="28"/>
        <v>0</v>
      </c>
      <c r="O120" s="279">
        <f t="shared" si="40"/>
        <v>46</v>
      </c>
      <c r="P120" s="215">
        <f t="shared" si="41"/>
        <v>17069.444444444445</v>
      </c>
      <c r="Q120" s="213">
        <f t="shared" si="51"/>
        <v>21393.937673894405</v>
      </c>
      <c r="R120" s="201">
        <f t="shared" si="31"/>
        <v>0</v>
      </c>
      <c r="S120" s="213">
        <f t="shared" si="42"/>
        <v>0</v>
      </c>
      <c r="T120" s="213"/>
      <c r="U120" s="213">
        <f t="shared" si="43"/>
        <v>-939.81497042601825</v>
      </c>
      <c r="V120" s="201">
        <f t="shared" si="46"/>
        <v>-153.38645833333334</v>
      </c>
      <c r="W120" s="204">
        <f t="shared" si="33"/>
        <v>20300.736245135053</v>
      </c>
      <c r="X120" s="216">
        <f t="shared" si="44"/>
        <v>812894.60623217281</v>
      </c>
      <c r="Z120" s="206">
        <f t="shared" si="45"/>
        <v>73625.5</v>
      </c>
      <c r="AA120" s="193">
        <f t="shared" si="34"/>
        <v>0</v>
      </c>
      <c r="AB120" s="206">
        <f t="shared" si="35"/>
        <v>73625.5</v>
      </c>
    </row>
    <row r="121" spans="9:28" s="177" customFormat="1" x14ac:dyDescent="0.45">
      <c r="I121" s="279">
        <f t="shared" si="37"/>
        <v>47</v>
      </c>
      <c r="J121" s="280"/>
      <c r="K121" s="280"/>
      <c r="L121" s="280"/>
      <c r="M121" s="281">
        <f t="shared" si="28"/>
        <v>0</v>
      </c>
      <c r="O121" s="279">
        <f t="shared" si="40"/>
        <v>47</v>
      </c>
      <c r="P121" s="215">
        <f t="shared" si="41"/>
        <v>17444.444444444445</v>
      </c>
      <c r="Q121" s="213">
        <f t="shared" si="51"/>
        <v>21393.937673894405</v>
      </c>
      <c r="R121" s="201">
        <f t="shared" si="31"/>
        <v>0</v>
      </c>
      <c r="S121" s="213">
        <f t="shared" si="42"/>
        <v>0</v>
      </c>
      <c r="T121" s="213"/>
      <c r="U121" s="213">
        <f t="shared" si="43"/>
        <v>-939.81497042601825</v>
      </c>
      <c r="V121" s="201">
        <f t="shared" si="46"/>
        <v>-142.88489583333333</v>
      </c>
      <c r="W121" s="204">
        <f t="shared" si="33"/>
        <v>20311.237807635054</v>
      </c>
      <c r="X121" s="216">
        <f t="shared" si="44"/>
        <v>833205.84403980791</v>
      </c>
      <c r="Z121" s="206">
        <f t="shared" si="45"/>
        <v>68584.75</v>
      </c>
      <c r="AA121" s="193">
        <f t="shared" si="34"/>
        <v>0</v>
      </c>
      <c r="AB121" s="206">
        <f t="shared" si="35"/>
        <v>68584.75</v>
      </c>
    </row>
    <row r="122" spans="9:28" s="177" customFormat="1" ht="14.65" thickBot="1" x14ac:dyDescent="0.5">
      <c r="I122" s="279">
        <f t="shared" si="37"/>
        <v>48</v>
      </c>
      <c r="J122" s="280"/>
      <c r="K122" s="280"/>
      <c r="L122" s="280"/>
      <c r="M122" s="281">
        <f t="shared" si="28"/>
        <v>0</v>
      </c>
      <c r="O122" s="279">
        <f t="shared" si="40"/>
        <v>48</v>
      </c>
      <c r="P122" s="215">
        <f t="shared" si="41"/>
        <v>17819.444444444445</v>
      </c>
      <c r="Q122" s="213">
        <f t="shared" si="51"/>
        <v>21393.937673894405</v>
      </c>
      <c r="R122" s="201">
        <f t="shared" si="31"/>
        <v>0</v>
      </c>
      <c r="S122" s="213">
        <f t="shared" si="42"/>
        <v>0</v>
      </c>
      <c r="T122" s="213">
        <f>-T124*0.5</f>
        <v>0</v>
      </c>
      <c r="U122" s="213">
        <f t="shared" si="43"/>
        <v>-939.81497042601825</v>
      </c>
      <c r="V122" s="201">
        <f t="shared" si="46"/>
        <v>-132.38333333333335</v>
      </c>
      <c r="W122" s="204">
        <f t="shared" si="33"/>
        <v>20321.739370135052</v>
      </c>
      <c r="X122" s="285">
        <f t="shared" si="44"/>
        <v>853527.58340994292</v>
      </c>
      <c r="Z122" s="206">
        <f t="shared" si="45"/>
        <v>63544</v>
      </c>
      <c r="AA122" s="193">
        <f t="shared" si="34"/>
        <v>0</v>
      </c>
      <c r="AB122" s="206">
        <f t="shared" si="35"/>
        <v>63544</v>
      </c>
    </row>
    <row r="123" spans="9:28" s="177" customFormat="1" ht="14.65" thickBot="1" x14ac:dyDescent="0.5">
      <c r="I123" s="286" t="s">
        <v>20</v>
      </c>
      <c r="J123" s="267">
        <f>C75*C79</f>
        <v>152.75</v>
      </c>
      <c r="K123" s="267">
        <f>SUM(K75:K122)</f>
        <v>1280.2828399774523</v>
      </c>
      <c r="L123" s="287">
        <f>+SUM(L75:L122)</f>
        <v>-16555.166303074246</v>
      </c>
      <c r="M123" s="288"/>
      <c r="O123" s="289"/>
      <c r="P123" s="290"/>
      <c r="Q123" s="287"/>
      <c r="R123" s="267">
        <f>SUM(R75:R122)</f>
        <v>-16555.166303074246</v>
      </c>
      <c r="S123" s="291">
        <f>SUM(S75:S122)</f>
        <v>0</v>
      </c>
      <c r="T123" s="291">
        <f>SUM(T75:T122)</f>
        <v>0</v>
      </c>
      <c r="U123" s="267">
        <f>SUM(U75:U122)</f>
        <v>-45111.118580448907</v>
      </c>
      <c r="V123" s="267">
        <f>SUM(V75:V122)</f>
        <v>-18200.162500000002</v>
      </c>
      <c r="W123" s="292"/>
      <c r="X123" s="288"/>
    </row>
    <row r="124" spans="9:28" s="177" customFormat="1" x14ac:dyDescent="0.45">
      <c r="Q124" s="293"/>
      <c r="R124" s="293"/>
      <c r="S124" s="294">
        <f>D99</f>
        <v>0</v>
      </c>
      <c r="T124" s="246">
        <f>D100</f>
        <v>0</v>
      </c>
      <c r="U124" s="293"/>
      <c r="V124" s="293"/>
      <c r="W124" s="293"/>
      <c r="X124" s="293"/>
    </row>
    <row r="125" spans="9:28" s="177" customFormat="1" ht="14.65" thickBot="1" x14ac:dyDescent="0.5">
      <c r="L125" s="295">
        <f>+PMT(C76/12,C80,(C75),,)</f>
        <v>-459.86573064095091</v>
      </c>
      <c r="Q125" s="293"/>
      <c r="R125" s="293"/>
      <c r="S125" s="296">
        <f>S123+S124</f>
        <v>0</v>
      </c>
      <c r="T125" s="254">
        <f>T123+T124</f>
        <v>0</v>
      </c>
      <c r="U125" s="293"/>
      <c r="V125" s="293"/>
      <c r="W125" s="293"/>
      <c r="X125" s="293"/>
    </row>
    <row r="126" spans="9:28" s="177" customFormat="1" x14ac:dyDescent="0.45"/>
    <row r="127" spans="9:28" s="177" customFormat="1" x14ac:dyDescent="0.45"/>
    <row r="128" spans="9:28" s="177" customFormat="1" x14ac:dyDescent="0.45"/>
    <row r="129" s="177" customFormat="1" x14ac:dyDescent="0.45"/>
    <row r="130" s="177" customFormat="1" x14ac:dyDescent="0.45"/>
  </sheetData>
  <mergeCells count="21">
    <mergeCell ref="B110:E110"/>
    <mergeCell ref="B111:E111"/>
    <mergeCell ref="A73:C73"/>
    <mergeCell ref="I73:M73"/>
    <mergeCell ref="O73:X73"/>
    <mergeCell ref="A84:E84"/>
    <mergeCell ref="A93:G93"/>
    <mergeCell ref="A109:G109"/>
    <mergeCell ref="A71:C71"/>
    <mergeCell ref="D71:X71"/>
    <mergeCell ref="A1:X1"/>
    <mergeCell ref="A3:C3"/>
    <mergeCell ref="D3:X3"/>
    <mergeCell ref="A5:C5"/>
    <mergeCell ref="I5:M5"/>
    <mergeCell ref="O5:X5"/>
    <mergeCell ref="A16:E16"/>
    <mergeCell ref="A25:G25"/>
    <mergeCell ref="A41:G41"/>
    <mergeCell ref="B42:E42"/>
    <mergeCell ref="B43:E43"/>
  </mergeCells>
  <printOptions horizontalCentered="1"/>
  <pageMargins left="0.70866141732283505" right="0.70866141732283505" top="0.74803149606299202" bottom="0.74803149606299202" header="0.31496062992126" footer="0.31496062992126"/>
  <headerFooter>
    <oddHeader>&amp;R&amp;A</oddHeader>
    <oddFooter>&amp;L&amp;D&amp;C&amp;P&amp;R&amp;A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EEE65-A886-4A88-94A6-89B6AB8EB8EC}">
  <dimension ref="B1:E14"/>
  <sheetViews>
    <sheetView workbookViewId="0">
      <selection activeCell="D3" sqref="D3:D4"/>
    </sheetView>
  </sheetViews>
  <sheetFormatPr defaultRowHeight="14.25" x14ac:dyDescent="0.45"/>
  <cols>
    <col min="2" max="2" width="19.796875" customWidth="1"/>
    <col min="3" max="3" width="9.1328125" bestFit="1" customWidth="1"/>
  </cols>
  <sheetData>
    <row r="1" spans="2:5" x14ac:dyDescent="0.45">
      <c r="B1" s="620" t="s">
        <v>270</v>
      </c>
      <c r="C1" s="620"/>
      <c r="D1" s="620"/>
      <c r="E1" s="620"/>
    </row>
    <row r="2" spans="2:5" x14ac:dyDescent="0.45">
      <c r="D2" t="s">
        <v>233</v>
      </c>
      <c r="E2" t="s">
        <v>234</v>
      </c>
    </row>
    <row r="3" spans="2:5" x14ac:dyDescent="0.45">
      <c r="B3" t="s">
        <v>265</v>
      </c>
      <c r="C3" t="s">
        <v>261</v>
      </c>
      <c r="D3" s="307"/>
      <c r="E3" s="307"/>
    </row>
    <row r="4" spans="2:5" x14ac:dyDescent="0.45">
      <c r="B4" t="s">
        <v>265</v>
      </c>
      <c r="C4" t="s">
        <v>236</v>
      </c>
      <c r="D4" s="307"/>
      <c r="E4" s="307"/>
    </row>
    <row r="5" spans="2:5" x14ac:dyDescent="0.45">
      <c r="B5" t="s">
        <v>265</v>
      </c>
      <c r="C5" t="s">
        <v>266</v>
      </c>
      <c r="D5" s="307"/>
      <c r="E5" s="307"/>
    </row>
    <row r="6" spans="2:5" x14ac:dyDescent="0.45">
      <c r="B6" t="s">
        <v>265</v>
      </c>
      <c r="C6" t="s">
        <v>267</v>
      </c>
      <c r="D6" s="307"/>
      <c r="E6" s="307"/>
    </row>
    <row r="7" spans="2:5" x14ac:dyDescent="0.45">
      <c r="B7" t="s">
        <v>268</v>
      </c>
      <c r="C7" t="s">
        <v>261</v>
      </c>
      <c r="D7" s="307"/>
      <c r="E7" s="307"/>
    </row>
    <row r="8" spans="2:5" x14ac:dyDescent="0.45">
      <c r="B8" t="s">
        <v>268</v>
      </c>
      <c r="C8" t="s">
        <v>236</v>
      </c>
      <c r="D8" s="307"/>
      <c r="E8" s="307"/>
    </row>
    <row r="9" spans="2:5" x14ac:dyDescent="0.45">
      <c r="B9" t="s">
        <v>268</v>
      </c>
      <c r="C9" t="s">
        <v>266</v>
      </c>
      <c r="D9" s="307"/>
      <c r="E9" s="307"/>
    </row>
    <row r="10" spans="2:5" x14ac:dyDescent="0.45">
      <c r="B10" t="s">
        <v>268</v>
      </c>
      <c r="C10" t="s">
        <v>267</v>
      </c>
      <c r="D10" s="307"/>
      <c r="E10" s="307"/>
    </row>
    <row r="11" spans="2:5" x14ac:dyDescent="0.45">
      <c r="B11" t="s">
        <v>269</v>
      </c>
      <c r="C11" t="s">
        <v>261</v>
      </c>
      <c r="D11" s="307"/>
      <c r="E11" s="307"/>
    </row>
    <row r="12" spans="2:5" x14ac:dyDescent="0.45">
      <c r="B12" t="s">
        <v>269</v>
      </c>
      <c r="C12" t="s">
        <v>236</v>
      </c>
      <c r="D12" s="307"/>
      <c r="E12" s="307"/>
    </row>
    <row r="13" spans="2:5" x14ac:dyDescent="0.45">
      <c r="B13" t="s">
        <v>269</v>
      </c>
      <c r="C13" t="s">
        <v>266</v>
      </c>
      <c r="D13" s="307"/>
      <c r="E13" s="307"/>
    </row>
    <row r="14" spans="2:5" x14ac:dyDescent="0.45">
      <c r="B14" t="s">
        <v>269</v>
      </c>
      <c r="C14" t="s">
        <v>267</v>
      </c>
      <c r="D14" s="307"/>
      <c r="E14" s="307"/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7DADA-89BD-D34E-902D-89DC75F269C2}">
  <sheetPr>
    <tabColor theme="9" tint="-0.249977111117893"/>
    <pageSetUpPr fitToPage="1"/>
  </sheetPr>
  <dimension ref="A1:AE130"/>
  <sheetViews>
    <sheetView zoomScale="99" workbookViewId="0">
      <selection activeCell="A2" sqref="A2"/>
    </sheetView>
  </sheetViews>
  <sheetFormatPr defaultColWidth="9.1328125" defaultRowHeight="14.25" x14ac:dyDescent="0.45"/>
  <cols>
    <col min="1" max="1" width="6.265625" style="3" customWidth="1"/>
    <col min="2" max="2" width="18.265625" style="3" bestFit="1" customWidth="1"/>
    <col min="3" max="4" width="15" style="3" bestFit="1" customWidth="1"/>
    <col min="5" max="5" width="14" style="3" bestFit="1" customWidth="1"/>
    <col min="6" max="6" width="17.3984375" style="3" bestFit="1" customWidth="1"/>
    <col min="7" max="7" width="15.1328125" style="3" bestFit="1" customWidth="1"/>
    <col min="8" max="8" width="9.1328125" style="3"/>
    <col min="9" max="9" width="7.3984375" style="3" bestFit="1" customWidth="1"/>
    <col min="10" max="10" width="15" style="3" bestFit="1" customWidth="1"/>
    <col min="11" max="12" width="14" style="3" bestFit="1" customWidth="1"/>
    <col min="13" max="13" width="15" style="3" bestFit="1" customWidth="1"/>
    <col min="14" max="16" width="9.1328125" style="3"/>
    <col min="17" max="19" width="15.86328125" style="3" bestFit="1" customWidth="1"/>
    <col min="20" max="21" width="14.73046875" style="3" customWidth="1"/>
    <col min="22" max="22" width="13.265625" style="3" bestFit="1" customWidth="1"/>
    <col min="23" max="23" width="14.86328125" style="3" bestFit="1" customWidth="1"/>
    <col min="24" max="24" width="15.1328125" style="3" bestFit="1" customWidth="1"/>
    <col min="25" max="25" width="9.1328125" style="3"/>
    <col min="26" max="26" width="22" style="3" customWidth="1"/>
    <col min="27" max="27" width="9.1328125" style="3"/>
    <col min="28" max="29" width="16.265625" style="3" customWidth="1"/>
    <col min="30" max="30" width="16.3984375" style="3" customWidth="1"/>
    <col min="31" max="16384" width="9.1328125" style="3"/>
  </cols>
  <sheetData>
    <row r="1" spans="1:31" ht="62.25" customHeight="1" thickBot="1" x14ac:dyDescent="0.5">
      <c r="A1" s="676">
        <f>+ASSUMPTIONS!B1</f>
        <v>0</v>
      </c>
      <c r="B1" s="677"/>
      <c r="C1" s="677"/>
      <c r="D1" s="677"/>
      <c r="E1" s="677"/>
      <c r="F1" s="677"/>
      <c r="G1" s="677"/>
      <c r="H1" s="677"/>
      <c r="I1" s="677"/>
      <c r="J1" s="677"/>
      <c r="K1" s="677"/>
      <c r="L1" s="677"/>
      <c r="M1" s="677"/>
      <c r="N1" s="677"/>
      <c r="O1" s="677"/>
      <c r="P1" s="677"/>
      <c r="Q1" s="677"/>
      <c r="R1" s="677"/>
      <c r="S1" s="677"/>
      <c r="T1" s="677"/>
      <c r="U1" s="677"/>
      <c r="V1" s="677"/>
      <c r="W1" s="677"/>
      <c r="X1" s="678"/>
    </row>
    <row r="2" spans="1:31" ht="16.149999999999999" thickBot="1" x14ac:dyDescent="0.5">
      <c r="A2" s="2"/>
      <c r="B2" s="2"/>
      <c r="C2" s="10"/>
      <c r="D2" s="10"/>
      <c r="E2" s="10"/>
      <c r="F2" s="10"/>
      <c r="G2" s="10"/>
      <c r="H2" s="10"/>
      <c r="I2" s="13"/>
      <c r="J2" s="10"/>
      <c r="K2" s="10"/>
      <c r="L2" s="10"/>
      <c r="M2" s="10"/>
      <c r="S2" s="145"/>
    </row>
    <row r="3" spans="1:31" ht="32.25" customHeight="1" thickBot="1" x14ac:dyDescent="0.5">
      <c r="A3" s="679" t="s">
        <v>241</v>
      </c>
      <c r="B3" s="680"/>
      <c r="C3" s="681"/>
      <c r="D3" s="682" t="s">
        <v>2</v>
      </c>
      <c r="E3" s="683"/>
      <c r="F3" s="683"/>
      <c r="G3" s="683"/>
      <c r="H3" s="683"/>
      <c r="I3" s="683"/>
      <c r="J3" s="683"/>
      <c r="K3" s="683"/>
      <c r="L3" s="683"/>
      <c r="M3" s="683"/>
      <c r="N3" s="683"/>
      <c r="O3" s="683"/>
      <c r="P3" s="683"/>
      <c r="Q3" s="683"/>
      <c r="R3" s="683"/>
      <c r="S3" s="683"/>
      <c r="T3" s="683"/>
      <c r="U3" s="683"/>
      <c r="V3" s="683"/>
      <c r="W3" s="683"/>
      <c r="X3" s="684"/>
    </row>
    <row r="4" spans="1:31" ht="14.65" thickBot="1" x14ac:dyDescent="0.5">
      <c r="C4" s="11"/>
      <c r="D4" s="11"/>
      <c r="E4" s="11"/>
      <c r="F4" s="11"/>
      <c r="G4" s="11"/>
      <c r="H4" s="11"/>
      <c r="I4" s="12"/>
      <c r="J4" s="11"/>
      <c r="K4" s="11"/>
      <c r="L4" s="11"/>
      <c r="M4" s="11"/>
      <c r="Q4" s="368">
        <f>+'Summary Equip'!AC18</f>
        <v>520.125</v>
      </c>
      <c r="U4" s="57">
        <v>0.05</v>
      </c>
    </row>
    <row r="5" spans="1:31" ht="23.25" customHeight="1" thickBot="1" x14ac:dyDescent="0.5">
      <c r="A5" s="685" t="s">
        <v>9</v>
      </c>
      <c r="B5" s="686"/>
      <c r="C5" s="687"/>
      <c r="D5" s="11"/>
      <c r="E5" s="11"/>
      <c r="F5" s="11"/>
      <c r="G5" s="11"/>
      <c r="H5" s="11"/>
      <c r="I5" s="688" t="s">
        <v>34</v>
      </c>
      <c r="J5" s="689"/>
      <c r="K5" s="689"/>
      <c r="L5" s="689"/>
      <c r="M5" s="690"/>
      <c r="O5" s="688" t="s">
        <v>35</v>
      </c>
      <c r="P5" s="691"/>
      <c r="Q5" s="689"/>
      <c r="R5" s="689"/>
      <c r="S5" s="689"/>
      <c r="T5" s="689"/>
      <c r="U5" s="689"/>
      <c r="V5" s="689"/>
      <c r="W5" s="692"/>
      <c r="X5" s="693"/>
      <c r="AA5" s="145">
        <v>0</v>
      </c>
    </row>
    <row r="6" spans="1:31" ht="28.9" thickBot="1" x14ac:dyDescent="0.5">
      <c r="A6" s="29" t="s">
        <v>0</v>
      </c>
      <c r="B6" s="28" t="s">
        <v>1</v>
      </c>
      <c r="C6" s="50" t="s">
        <v>10</v>
      </c>
      <c r="D6" s="11"/>
      <c r="E6" s="11"/>
      <c r="F6" s="11"/>
      <c r="G6" s="11"/>
      <c r="H6" s="11"/>
      <c r="I6" s="16" t="s">
        <v>15</v>
      </c>
      <c r="J6" s="17" t="s">
        <v>70</v>
      </c>
      <c r="K6" s="17" t="s">
        <v>17</v>
      </c>
      <c r="L6" s="17" t="s">
        <v>18</v>
      </c>
      <c r="M6" s="18" t="s">
        <v>19</v>
      </c>
      <c r="O6" s="16" t="s">
        <v>15</v>
      </c>
      <c r="P6" s="52" t="s">
        <v>39</v>
      </c>
      <c r="Q6" s="17" t="s">
        <v>36</v>
      </c>
      <c r="R6" s="17" t="s">
        <v>37</v>
      </c>
      <c r="S6" s="17" t="s">
        <v>27</v>
      </c>
      <c r="T6" s="17" t="s">
        <v>38</v>
      </c>
      <c r="U6" s="17" t="s">
        <v>7</v>
      </c>
      <c r="V6" s="17" t="s">
        <v>41</v>
      </c>
      <c r="W6" s="18" t="s">
        <v>40</v>
      </c>
      <c r="X6" s="55" t="s">
        <v>42</v>
      </c>
      <c r="Z6" s="5" t="s">
        <v>71</v>
      </c>
      <c r="AA6" s="5" t="s">
        <v>46</v>
      </c>
      <c r="AB6" s="5" t="s">
        <v>47</v>
      </c>
    </row>
    <row r="7" spans="1:31" x14ac:dyDescent="0.45">
      <c r="A7" s="8">
        <v>1</v>
      </c>
      <c r="B7" s="9" t="s">
        <v>11</v>
      </c>
      <c r="C7" s="152">
        <f>+F11*(1+'Summary Equip'!$N$3)</f>
        <v>458325</v>
      </c>
      <c r="D7" s="11"/>
      <c r="E7" s="8" t="s">
        <v>61</v>
      </c>
      <c r="F7" s="150">
        <f>+'Summary Equip'!J18</f>
        <v>436500</v>
      </c>
      <c r="G7" s="106"/>
      <c r="H7" s="383">
        <v>1</v>
      </c>
      <c r="I7" s="15">
        <v>1</v>
      </c>
      <c r="J7" s="77">
        <f>C7</f>
        <v>458325</v>
      </c>
      <c r="K7" s="77">
        <f>J7*$C$8*30.44/365.25</f>
        <v>2024.4350143737165</v>
      </c>
      <c r="L7" s="77">
        <f>+L69</f>
        <v>-8712.2931747826897</v>
      </c>
      <c r="M7" s="78">
        <f t="shared" ref="M7:M66" si="0">J7+K7+L7</f>
        <v>451637.14183959103</v>
      </c>
      <c r="O7" s="15">
        <v>1</v>
      </c>
      <c r="P7" s="53">
        <f>Q4</f>
        <v>520.125</v>
      </c>
      <c r="Q7" s="77">
        <f>$F$42+($Q$4*$G$42)</f>
        <v>40336.554043953955</v>
      </c>
      <c r="R7" s="77">
        <f>+L7</f>
        <v>-8712.2931747826897</v>
      </c>
      <c r="S7" s="77">
        <f>+IF(R7=0,,-S68/C12)</f>
        <v>-4728.75</v>
      </c>
      <c r="T7" s="77"/>
      <c r="U7" s="77">
        <f>-Q7*U4</f>
        <v>-2016.8277021976978</v>
      </c>
      <c r="V7" s="77">
        <f>-(AB7*$C$9/12)</f>
        <v>-894.37031250000007</v>
      </c>
      <c r="W7" s="83">
        <f>SUM(Q7:V7)</f>
        <v>23984.31285447357</v>
      </c>
      <c r="X7" s="84">
        <f>W7</f>
        <v>23984.31285447357</v>
      </c>
      <c r="Z7" s="92">
        <f>+$D$27-(($D$27+$D$28)*O7/$B$22)</f>
        <v>429297.75</v>
      </c>
      <c r="AA7" s="5">
        <f>+Z7*$AA$5</f>
        <v>0</v>
      </c>
      <c r="AB7" s="92">
        <f>+Z7+AA7</f>
        <v>429297.75</v>
      </c>
      <c r="AC7" s="132"/>
      <c r="AD7" s="132">
        <f>+S7</f>
        <v>-4728.75</v>
      </c>
      <c r="AE7" s="3">
        <f>+IF(AD7=0,0,1)</f>
        <v>1</v>
      </c>
    </row>
    <row r="8" spans="1:31" ht="28.5" x14ac:dyDescent="0.45">
      <c r="A8" s="4">
        <f>A7+1</f>
        <v>2</v>
      </c>
      <c r="B8" s="5" t="s">
        <v>3</v>
      </c>
      <c r="C8" s="156">
        <f>+'Summary Equip'!R18</f>
        <v>5.2999999999999999E-2</v>
      </c>
      <c r="D8" s="11"/>
      <c r="E8" s="107" t="s">
        <v>64</v>
      </c>
      <c r="F8" s="311">
        <f>+'Summary Equip'!D18</f>
        <v>0</v>
      </c>
      <c r="G8" s="108"/>
      <c r="H8" s="383">
        <f>+'Summary Equip'!C18</f>
        <v>1</v>
      </c>
      <c r="I8" s="14">
        <f>I7+1</f>
        <v>2</v>
      </c>
      <c r="J8" s="63">
        <f>+IF(M7&lt;0,,M7)</f>
        <v>451637.14183959103</v>
      </c>
      <c r="K8" s="63">
        <f t="shared" ref="K8:K54" si="1">J8*$C$8*30.44/365.25</f>
        <v>1994.8945480428447</v>
      </c>
      <c r="L8" s="63">
        <f>IF(M7&lt;0,,L7)</f>
        <v>-8712.2931747826897</v>
      </c>
      <c r="M8" s="65">
        <f t="shared" si="0"/>
        <v>444919.74321285117</v>
      </c>
      <c r="O8" s="14">
        <f>O7+1</f>
        <v>2</v>
      </c>
      <c r="P8" s="54">
        <f>P7+$Q$4</f>
        <v>1040.25</v>
      </c>
      <c r="Q8" s="63">
        <f>$F$42+($Q$4*$G$42)</f>
        <v>40336.554043953955</v>
      </c>
      <c r="R8" s="77">
        <f t="shared" ref="R8:R66" si="2">+L8</f>
        <v>-8712.2931747826897</v>
      </c>
      <c r="S8" s="63">
        <f>+IF(R8=0,,S7)</f>
        <v>-4728.75</v>
      </c>
      <c r="T8" s="63"/>
      <c r="U8" s="63">
        <f>U7</f>
        <v>-2016.8277021976978</v>
      </c>
      <c r="V8" s="77">
        <f t="shared" ref="V8:V14" si="3">-(AB8*$C$9/12)</f>
        <v>-879.36562500000002</v>
      </c>
      <c r="W8" s="83">
        <f t="shared" ref="W8:W66" si="4">SUM(Q8:V8)</f>
        <v>23999.317541973571</v>
      </c>
      <c r="X8" s="85">
        <f>X7+W8</f>
        <v>47983.630396447144</v>
      </c>
      <c r="Z8" s="92">
        <f>+$D$27-(($D$27+$D$28)*O8/$B$22)</f>
        <v>422095.5</v>
      </c>
      <c r="AA8" s="5">
        <f t="shared" ref="AA8:AA66" si="5">+Z8*$AA$5</f>
        <v>0</v>
      </c>
      <c r="AB8" s="92">
        <f t="shared" ref="AB8:AB66" si="6">+Z8+AA8</f>
        <v>422095.5</v>
      </c>
      <c r="AD8" s="133">
        <f t="shared" ref="AD8:AD39" si="7">IF(AD7=0,0,IF(+S8+AD7&lt;-$S$68,0,+S8+AD7))</f>
        <v>-9457.5</v>
      </c>
      <c r="AE8" s="3">
        <f t="shared" ref="AE8:AE66" si="8">+IF(AD8=0,0,1)</f>
        <v>1</v>
      </c>
    </row>
    <row r="9" spans="1:31" x14ac:dyDescent="0.45">
      <c r="A9" s="4">
        <f t="shared" ref="A9:A14" si="9">A8+1</f>
        <v>3</v>
      </c>
      <c r="B9" s="5" t="s">
        <v>4</v>
      </c>
      <c r="C9" s="157">
        <f>+'Summary Equip'!S18</f>
        <v>2.5000000000000001E-2</v>
      </c>
      <c r="D9" s="11"/>
      <c r="E9" s="109" t="s">
        <v>69</v>
      </c>
      <c r="F9" s="339">
        <f>+'Summary Equip'!F18</f>
        <v>21825</v>
      </c>
      <c r="G9" s="110"/>
      <c r="H9" s="383">
        <f>+'Summary Equip'!E18</f>
        <v>1</v>
      </c>
      <c r="I9" s="14">
        <f t="shared" ref="I9:I66" si="10">I8+1</f>
        <v>3</v>
      </c>
      <c r="J9" s="63">
        <f t="shared" ref="J9:J66" si="11">+IF(M8&lt;0,,M8)</f>
        <v>444919.74321285117</v>
      </c>
      <c r="K9" s="63">
        <f t="shared" si="1"/>
        <v>1965.2236006027572</v>
      </c>
      <c r="L9" s="63">
        <f t="shared" ref="L9:L66" si="12">IF(M8&lt;0,,L8)</f>
        <v>-8712.2931747826897</v>
      </c>
      <c r="M9" s="65">
        <f t="shared" si="0"/>
        <v>438172.67363867123</v>
      </c>
      <c r="O9" s="14">
        <f t="shared" ref="O9:O66" si="13">O8+1</f>
        <v>3</v>
      </c>
      <c r="P9" s="54">
        <f t="shared" ref="P9:P66" si="14">P8+$Q$4</f>
        <v>1560.375</v>
      </c>
      <c r="Q9" s="63">
        <f t="shared" ref="Q9:Q66" si="15">$F$42+($Q$4*$G$42)</f>
        <v>40336.554043953955</v>
      </c>
      <c r="R9" s="77">
        <f t="shared" si="2"/>
        <v>-8712.2931747826897</v>
      </c>
      <c r="S9" s="63">
        <f t="shared" ref="S9:S62" si="16">+S8</f>
        <v>-4728.75</v>
      </c>
      <c r="T9" s="63"/>
      <c r="U9" s="63">
        <f t="shared" ref="U9:U62" si="17">U8</f>
        <v>-2016.8277021976978</v>
      </c>
      <c r="V9" s="77">
        <f t="shared" si="3"/>
        <v>-864.36093750000009</v>
      </c>
      <c r="W9" s="83">
        <f t="shared" si="4"/>
        <v>24014.322229473568</v>
      </c>
      <c r="X9" s="85">
        <f t="shared" ref="X9:X62" si="18">X8+W9</f>
        <v>71997.952625920705</v>
      </c>
      <c r="Z9" s="92">
        <f t="shared" ref="Z9:Z66" si="19">+$D$27-(($D$27+$D$28)*O9/$B$22)</f>
        <v>414893.25</v>
      </c>
      <c r="AA9" s="5">
        <f t="shared" si="5"/>
        <v>0</v>
      </c>
      <c r="AB9" s="92">
        <f t="shared" si="6"/>
        <v>414893.25</v>
      </c>
      <c r="AD9" s="133">
        <f t="shared" si="7"/>
        <v>-14186.25</v>
      </c>
      <c r="AE9" s="3">
        <f t="shared" si="8"/>
        <v>1</v>
      </c>
    </row>
    <row r="10" spans="1:31" ht="14.65" thickBot="1" x14ac:dyDescent="0.5">
      <c r="A10" s="4">
        <f t="shared" si="9"/>
        <v>4</v>
      </c>
      <c r="B10" s="5" t="s">
        <v>5</v>
      </c>
      <c r="C10" s="158">
        <f>+'Summary Equip'!T18</f>
        <v>0.05</v>
      </c>
      <c r="D10" s="11"/>
      <c r="E10" s="111" t="s">
        <v>52</v>
      </c>
      <c r="F10" s="312">
        <f>SUM(F7:F8)*G10</f>
        <v>0</v>
      </c>
      <c r="G10" s="151">
        <f>+'Summary Equip'!H18</f>
        <v>0</v>
      </c>
      <c r="H10" s="383">
        <f>+'Summary Equip'!G18</f>
        <v>0</v>
      </c>
      <c r="I10" s="14">
        <f t="shared" si="10"/>
        <v>4</v>
      </c>
      <c r="J10" s="63">
        <f t="shared" si="11"/>
        <v>438172.67363867123</v>
      </c>
      <c r="K10" s="63">
        <f t="shared" si="1"/>
        <v>1935.4215957145545</v>
      </c>
      <c r="L10" s="63">
        <f t="shared" si="12"/>
        <v>-8712.2931747826897</v>
      </c>
      <c r="M10" s="65">
        <f t="shared" si="0"/>
        <v>431395.8020596031</v>
      </c>
      <c r="O10" s="14">
        <f t="shared" si="13"/>
        <v>4</v>
      </c>
      <c r="P10" s="54">
        <f t="shared" si="14"/>
        <v>2080.5</v>
      </c>
      <c r="Q10" s="63">
        <f t="shared" si="15"/>
        <v>40336.554043953955</v>
      </c>
      <c r="R10" s="77">
        <f t="shared" si="2"/>
        <v>-8712.2931747826897</v>
      </c>
      <c r="S10" s="63">
        <f t="shared" si="16"/>
        <v>-4728.75</v>
      </c>
      <c r="T10" s="63"/>
      <c r="U10" s="63">
        <f t="shared" si="17"/>
        <v>-2016.8277021976978</v>
      </c>
      <c r="V10" s="77">
        <f t="shared" si="3"/>
        <v>-849.35625000000016</v>
      </c>
      <c r="W10" s="83">
        <f t="shared" si="4"/>
        <v>24029.326916973569</v>
      </c>
      <c r="X10" s="85">
        <f t="shared" si="18"/>
        <v>96027.279542894277</v>
      </c>
      <c r="Z10" s="92">
        <f t="shared" si="19"/>
        <v>407691</v>
      </c>
      <c r="AA10" s="5">
        <f t="shared" si="5"/>
        <v>0</v>
      </c>
      <c r="AB10" s="92">
        <f t="shared" si="6"/>
        <v>407691</v>
      </c>
      <c r="AD10" s="133">
        <f t="shared" si="7"/>
        <v>-18915</v>
      </c>
      <c r="AE10" s="3">
        <f t="shared" si="8"/>
        <v>1</v>
      </c>
    </row>
    <row r="11" spans="1:31" ht="14.65" thickBot="1" x14ac:dyDescent="0.5">
      <c r="A11" s="4">
        <f t="shared" si="9"/>
        <v>5</v>
      </c>
      <c r="B11" s="5" t="s">
        <v>12</v>
      </c>
      <c r="C11" s="159">
        <f>+'Summary Equip'!U18</f>
        <v>0.01</v>
      </c>
      <c r="D11" s="11"/>
      <c r="E11" s="112" t="s">
        <v>28</v>
      </c>
      <c r="F11" s="313">
        <f>SUMPRODUCT(F7:F10,H7:H10)</f>
        <v>458325</v>
      </c>
      <c r="G11" s="113"/>
      <c r="H11" s="11"/>
      <c r="I11" s="14">
        <f t="shared" si="10"/>
        <v>5</v>
      </c>
      <c r="J11" s="63">
        <f t="shared" si="11"/>
        <v>431395.8020596031</v>
      </c>
      <c r="K11" s="63">
        <f t="shared" si="1"/>
        <v>1905.4879544936312</v>
      </c>
      <c r="L11" s="63">
        <f t="shared" si="12"/>
        <v>-8712.2931747826897</v>
      </c>
      <c r="M11" s="65">
        <f t="shared" si="0"/>
        <v>424588.996839314</v>
      </c>
      <c r="O11" s="14">
        <f t="shared" si="13"/>
        <v>5</v>
      </c>
      <c r="P11" s="54">
        <f t="shared" si="14"/>
        <v>2600.625</v>
      </c>
      <c r="Q11" s="63">
        <f t="shared" si="15"/>
        <v>40336.554043953955</v>
      </c>
      <c r="R11" s="77">
        <f t="shared" si="2"/>
        <v>-8712.2931747826897</v>
      </c>
      <c r="S11" s="63">
        <f t="shared" si="16"/>
        <v>-4728.75</v>
      </c>
      <c r="T11" s="63"/>
      <c r="U11" s="63">
        <f t="shared" si="17"/>
        <v>-2016.8277021976978</v>
      </c>
      <c r="V11" s="77">
        <f t="shared" si="3"/>
        <v>-834.3515625</v>
      </c>
      <c r="W11" s="83">
        <f t="shared" si="4"/>
        <v>24044.331604473569</v>
      </c>
      <c r="X11" s="85">
        <f t="shared" si="18"/>
        <v>120071.61114736785</v>
      </c>
      <c r="Z11" s="92">
        <f t="shared" si="19"/>
        <v>400488.75</v>
      </c>
      <c r="AA11" s="5">
        <f t="shared" si="5"/>
        <v>0</v>
      </c>
      <c r="AB11" s="92">
        <f t="shared" si="6"/>
        <v>400488.75</v>
      </c>
      <c r="AD11" s="133">
        <f t="shared" si="7"/>
        <v>-23643.75</v>
      </c>
      <c r="AE11" s="3">
        <f t="shared" si="8"/>
        <v>1</v>
      </c>
    </row>
    <row r="12" spans="1:31" x14ac:dyDescent="0.45">
      <c r="A12" s="4">
        <f t="shared" si="9"/>
        <v>6</v>
      </c>
      <c r="B12" s="5" t="s">
        <v>13</v>
      </c>
      <c r="C12" s="160">
        <f>+'Summary Equip'!V18</f>
        <v>60</v>
      </c>
      <c r="D12" s="11"/>
      <c r="E12" s="11"/>
      <c r="F12" s="11"/>
      <c r="G12" s="11"/>
      <c r="H12" s="11"/>
      <c r="I12" s="14">
        <f t="shared" si="10"/>
        <v>6</v>
      </c>
      <c r="J12" s="63">
        <f t="shared" si="11"/>
        <v>424588.996839314</v>
      </c>
      <c r="K12" s="63">
        <f t="shared" si="1"/>
        <v>1875.4220954984316</v>
      </c>
      <c r="L12" s="63">
        <f t="shared" si="12"/>
        <v>-8712.2931747826897</v>
      </c>
      <c r="M12" s="65">
        <f t="shared" si="0"/>
        <v>417752.12576002971</v>
      </c>
      <c r="O12" s="14">
        <f t="shared" si="13"/>
        <v>6</v>
      </c>
      <c r="P12" s="54">
        <f t="shared" si="14"/>
        <v>3120.75</v>
      </c>
      <c r="Q12" s="63">
        <f t="shared" si="15"/>
        <v>40336.554043953955</v>
      </c>
      <c r="R12" s="77">
        <f t="shared" si="2"/>
        <v>-8712.2931747826897</v>
      </c>
      <c r="S12" s="63">
        <f t="shared" si="16"/>
        <v>-4728.75</v>
      </c>
      <c r="T12" s="63"/>
      <c r="U12" s="63">
        <f t="shared" si="17"/>
        <v>-2016.8277021976978</v>
      </c>
      <c r="V12" s="77">
        <f t="shared" si="3"/>
        <v>-819.34687500000007</v>
      </c>
      <c r="W12" s="83">
        <f t="shared" si="4"/>
        <v>24059.33629197357</v>
      </c>
      <c r="X12" s="85">
        <f t="shared" si="18"/>
        <v>144130.94743934143</v>
      </c>
      <c r="Z12" s="92">
        <f t="shared" si="19"/>
        <v>393286.5</v>
      </c>
      <c r="AA12" s="5">
        <f t="shared" si="5"/>
        <v>0</v>
      </c>
      <c r="AB12" s="92">
        <f t="shared" si="6"/>
        <v>393286.5</v>
      </c>
      <c r="AD12" s="133">
        <f t="shared" si="7"/>
        <v>-28372.5</v>
      </c>
      <c r="AE12" s="3">
        <f t="shared" si="8"/>
        <v>1</v>
      </c>
    </row>
    <row r="13" spans="1:31" x14ac:dyDescent="0.45">
      <c r="A13" s="4">
        <f t="shared" si="9"/>
        <v>7</v>
      </c>
      <c r="B13" s="5" t="s">
        <v>14</v>
      </c>
      <c r="C13" s="161">
        <f>+'Summary Equip'!W18</f>
        <v>10000</v>
      </c>
      <c r="D13" s="176">
        <f>+C13*C14</f>
        <v>10000</v>
      </c>
      <c r="E13" s="11"/>
      <c r="F13" s="11"/>
      <c r="G13" s="11"/>
      <c r="H13" s="11"/>
      <c r="I13" s="14">
        <f t="shared" si="10"/>
        <v>7</v>
      </c>
      <c r="J13" s="63">
        <f t="shared" si="11"/>
        <v>417752.12576002971</v>
      </c>
      <c r="K13" s="63">
        <f t="shared" si="1"/>
        <v>1845.2234347191545</v>
      </c>
      <c r="L13" s="63">
        <f t="shared" si="12"/>
        <v>-8712.2931747826897</v>
      </c>
      <c r="M13" s="65">
        <f t="shared" si="0"/>
        <v>410885.05601996614</v>
      </c>
      <c r="O13" s="14">
        <f t="shared" si="13"/>
        <v>7</v>
      </c>
      <c r="P13" s="54">
        <f t="shared" si="14"/>
        <v>3640.875</v>
      </c>
      <c r="Q13" s="63">
        <f t="shared" si="15"/>
        <v>40336.554043953955</v>
      </c>
      <c r="R13" s="77">
        <f t="shared" si="2"/>
        <v>-8712.2931747826897</v>
      </c>
      <c r="S13" s="63">
        <f t="shared" si="16"/>
        <v>-4728.75</v>
      </c>
      <c r="T13" s="63"/>
      <c r="U13" s="63">
        <f t="shared" si="17"/>
        <v>-2016.8277021976978</v>
      </c>
      <c r="V13" s="77">
        <f t="shared" si="3"/>
        <v>-804.34218750000002</v>
      </c>
      <c r="W13" s="83">
        <f t="shared" si="4"/>
        <v>24074.340979473571</v>
      </c>
      <c r="X13" s="85">
        <f t="shared" si="18"/>
        <v>168205.28841881501</v>
      </c>
      <c r="Z13" s="92">
        <f t="shared" si="19"/>
        <v>386084.25</v>
      </c>
      <c r="AA13" s="5">
        <f t="shared" si="5"/>
        <v>0</v>
      </c>
      <c r="AB13" s="92">
        <f t="shared" si="6"/>
        <v>386084.25</v>
      </c>
      <c r="AD13" s="133">
        <f t="shared" si="7"/>
        <v>-33101.25</v>
      </c>
      <c r="AE13" s="3">
        <f t="shared" si="8"/>
        <v>1</v>
      </c>
    </row>
    <row r="14" spans="1:31" ht="14.65" thickBot="1" x14ac:dyDescent="0.5">
      <c r="A14" s="6">
        <f t="shared" si="9"/>
        <v>8</v>
      </c>
      <c r="B14" s="7"/>
      <c r="C14" s="162">
        <v>1</v>
      </c>
      <c r="D14" s="337">
        <f>+D13/48</f>
        <v>208.33333333333334</v>
      </c>
      <c r="E14" s="11"/>
      <c r="F14" s="11"/>
      <c r="G14" s="11"/>
      <c r="H14" s="11"/>
      <c r="I14" s="14">
        <f t="shared" si="10"/>
        <v>8</v>
      </c>
      <c r="J14" s="63">
        <f t="shared" si="11"/>
        <v>410885.05601996614</v>
      </c>
      <c r="K14" s="63">
        <f t="shared" si="1"/>
        <v>1814.8913855664114</v>
      </c>
      <c r="L14" s="63">
        <f t="shared" si="12"/>
        <v>-8712.2931747826897</v>
      </c>
      <c r="M14" s="65">
        <f t="shared" si="0"/>
        <v>403987.65423074982</v>
      </c>
      <c r="O14" s="14">
        <f t="shared" si="13"/>
        <v>8</v>
      </c>
      <c r="P14" s="54">
        <f t="shared" si="14"/>
        <v>4161</v>
      </c>
      <c r="Q14" s="63">
        <f t="shared" si="15"/>
        <v>40336.554043953955</v>
      </c>
      <c r="R14" s="77">
        <f t="shared" si="2"/>
        <v>-8712.2931747826897</v>
      </c>
      <c r="S14" s="63">
        <f t="shared" si="16"/>
        <v>-4728.75</v>
      </c>
      <c r="T14" s="63"/>
      <c r="U14" s="63">
        <f t="shared" si="17"/>
        <v>-2016.8277021976978</v>
      </c>
      <c r="V14" s="77">
        <f t="shared" si="3"/>
        <v>-789.33750000000009</v>
      </c>
      <c r="W14" s="83">
        <f t="shared" si="4"/>
        <v>24089.345666973568</v>
      </c>
      <c r="X14" s="85">
        <f t="shared" si="18"/>
        <v>192294.63408578857</v>
      </c>
      <c r="Z14" s="92">
        <f t="shared" si="19"/>
        <v>378882</v>
      </c>
      <c r="AA14" s="5">
        <f t="shared" si="5"/>
        <v>0</v>
      </c>
      <c r="AB14" s="92">
        <f t="shared" si="6"/>
        <v>378882</v>
      </c>
      <c r="AD14" s="133">
        <f t="shared" si="7"/>
        <v>-37830</v>
      </c>
      <c r="AE14" s="3">
        <f t="shared" si="8"/>
        <v>1</v>
      </c>
    </row>
    <row r="15" spans="1:31" ht="14.65" thickBot="1" x14ac:dyDescent="0.5">
      <c r="C15" s="11"/>
      <c r="D15" s="11"/>
      <c r="E15" s="11"/>
      <c r="F15" s="11"/>
      <c r="G15" s="11"/>
      <c r="H15" s="11"/>
      <c r="I15" s="14">
        <f t="shared" si="10"/>
        <v>9</v>
      </c>
      <c r="J15" s="63">
        <f t="shared" si="11"/>
        <v>403987.65423074982</v>
      </c>
      <c r="K15" s="63">
        <f t="shared" si="1"/>
        <v>1784.425358859831</v>
      </c>
      <c r="L15" s="63">
        <f t="shared" si="12"/>
        <v>-8712.2931747826897</v>
      </c>
      <c r="M15" s="65">
        <f t="shared" si="0"/>
        <v>397059.78641482693</v>
      </c>
      <c r="O15" s="14">
        <f t="shared" si="13"/>
        <v>9</v>
      </c>
      <c r="P15" s="54">
        <f t="shared" si="14"/>
        <v>4681.125</v>
      </c>
      <c r="Q15" s="63">
        <f t="shared" si="15"/>
        <v>40336.554043953955</v>
      </c>
      <c r="R15" s="77">
        <f t="shared" si="2"/>
        <v>-8712.2931747826897</v>
      </c>
      <c r="S15" s="63">
        <f t="shared" si="16"/>
        <v>-4728.75</v>
      </c>
      <c r="T15" s="63"/>
      <c r="U15" s="63">
        <f t="shared" si="17"/>
        <v>-2016.8277021976978</v>
      </c>
      <c r="V15" s="77">
        <f>-(AB15*$C$9/12)</f>
        <v>-774.33281249999993</v>
      </c>
      <c r="W15" s="83">
        <f t="shared" si="4"/>
        <v>24104.350354473569</v>
      </c>
      <c r="X15" s="85">
        <f t="shared" si="18"/>
        <v>216398.98444026214</v>
      </c>
      <c r="Z15" s="92">
        <f t="shared" si="19"/>
        <v>371679.75</v>
      </c>
      <c r="AA15" s="5">
        <f t="shared" si="5"/>
        <v>0</v>
      </c>
      <c r="AB15" s="92">
        <f t="shared" si="6"/>
        <v>371679.75</v>
      </c>
      <c r="AD15" s="133">
        <f t="shared" si="7"/>
        <v>-42558.75</v>
      </c>
      <c r="AE15" s="3">
        <f t="shared" si="8"/>
        <v>1</v>
      </c>
    </row>
    <row r="16" spans="1:31" ht="16.149999999999999" thickBot="1" x14ac:dyDescent="0.5">
      <c r="A16" s="661" t="s">
        <v>43</v>
      </c>
      <c r="B16" s="662"/>
      <c r="C16" s="662"/>
      <c r="D16" s="662"/>
      <c r="E16" s="663"/>
      <c r="F16" s="1"/>
      <c r="G16" s="1"/>
      <c r="H16" s="117"/>
      <c r="I16" s="14">
        <f t="shared" si="10"/>
        <v>10</v>
      </c>
      <c r="J16" s="63">
        <f t="shared" si="11"/>
        <v>397059.78641482693</v>
      </c>
      <c r="K16" s="63">
        <f t="shared" si="1"/>
        <v>1753.8247628166148</v>
      </c>
      <c r="L16" s="63">
        <f t="shared" si="12"/>
        <v>-8712.2931747826897</v>
      </c>
      <c r="M16" s="65">
        <f t="shared" si="0"/>
        <v>390101.31800286082</v>
      </c>
      <c r="O16" s="14">
        <f t="shared" si="13"/>
        <v>10</v>
      </c>
      <c r="P16" s="54">
        <f t="shared" si="14"/>
        <v>5201.25</v>
      </c>
      <c r="Q16" s="63">
        <f t="shared" si="15"/>
        <v>40336.554043953955</v>
      </c>
      <c r="R16" s="77">
        <f t="shared" si="2"/>
        <v>-8712.2931747826897</v>
      </c>
      <c r="S16" s="63">
        <f t="shared" si="16"/>
        <v>-4728.75</v>
      </c>
      <c r="T16" s="63"/>
      <c r="U16" s="63">
        <f t="shared" si="17"/>
        <v>-2016.8277021976978</v>
      </c>
      <c r="V16" s="77">
        <f t="shared" ref="V16:V66" si="20">-(AB16*$C$9/12)</f>
        <v>-759.328125</v>
      </c>
      <c r="W16" s="83">
        <f t="shared" si="4"/>
        <v>24119.355041973569</v>
      </c>
      <c r="X16" s="85">
        <f t="shared" si="18"/>
        <v>240518.33948223572</v>
      </c>
      <c r="Z16" s="92">
        <f t="shared" si="19"/>
        <v>364477.5</v>
      </c>
      <c r="AA16" s="5">
        <f t="shared" si="5"/>
        <v>0</v>
      </c>
      <c r="AB16" s="92">
        <f t="shared" si="6"/>
        <v>364477.5</v>
      </c>
      <c r="AD16" s="133">
        <f t="shared" si="7"/>
        <v>-47287.5</v>
      </c>
      <c r="AE16" s="3">
        <f t="shared" si="8"/>
        <v>1</v>
      </c>
    </row>
    <row r="17" spans="1:31" ht="14.65" thickBot="1" x14ac:dyDescent="0.5">
      <c r="A17" s="97" t="s">
        <v>44</v>
      </c>
      <c r="B17" s="98" t="s">
        <v>48</v>
      </c>
      <c r="C17" s="98" t="s">
        <v>45</v>
      </c>
      <c r="D17" s="99" t="s">
        <v>46</v>
      </c>
      <c r="E17" s="55" t="s">
        <v>47</v>
      </c>
      <c r="F17" s="1"/>
      <c r="G17" s="1"/>
      <c r="H17" s="117"/>
      <c r="I17" s="14">
        <f t="shared" si="10"/>
        <v>11</v>
      </c>
      <c r="J17" s="63">
        <f t="shared" si="11"/>
        <v>390101.31800286082</v>
      </c>
      <c r="K17" s="63">
        <f t="shared" si="1"/>
        <v>1723.0890030400421</v>
      </c>
      <c r="L17" s="63">
        <f t="shared" si="12"/>
        <v>-8712.2931747826897</v>
      </c>
      <c r="M17" s="65">
        <f t="shared" si="0"/>
        <v>383112.11383111816</v>
      </c>
      <c r="O17" s="14">
        <f t="shared" si="13"/>
        <v>11</v>
      </c>
      <c r="P17" s="54">
        <f t="shared" si="14"/>
        <v>5721.375</v>
      </c>
      <c r="Q17" s="63">
        <f t="shared" si="15"/>
        <v>40336.554043953955</v>
      </c>
      <c r="R17" s="77">
        <f t="shared" si="2"/>
        <v>-8712.2931747826897</v>
      </c>
      <c r="S17" s="63">
        <f t="shared" si="16"/>
        <v>-4728.75</v>
      </c>
      <c r="T17" s="63"/>
      <c r="U17" s="63">
        <f t="shared" si="17"/>
        <v>-2016.8277021976978</v>
      </c>
      <c r="V17" s="77">
        <f t="shared" si="20"/>
        <v>-744.32343750000007</v>
      </c>
      <c r="W17" s="83">
        <f t="shared" si="4"/>
        <v>24134.35972947357</v>
      </c>
      <c r="X17" s="85">
        <f t="shared" si="18"/>
        <v>264652.69921170932</v>
      </c>
      <c r="Z17" s="92">
        <f t="shared" si="19"/>
        <v>357275.25</v>
      </c>
      <c r="AA17" s="5">
        <f t="shared" si="5"/>
        <v>0</v>
      </c>
      <c r="AB17" s="92">
        <f t="shared" si="6"/>
        <v>357275.25</v>
      </c>
      <c r="AD17" s="133">
        <f t="shared" si="7"/>
        <v>-52016.25</v>
      </c>
      <c r="AE17" s="3">
        <f t="shared" si="8"/>
        <v>1</v>
      </c>
    </row>
    <row r="18" spans="1:31" x14ac:dyDescent="0.45">
      <c r="A18" s="94">
        <v>1</v>
      </c>
      <c r="B18" s="95">
        <v>12</v>
      </c>
      <c r="C18" s="96">
        <f>D$27-(D$27+D$28)*B18/60</f>
        <v>350073</v>
      </c>
      <c r="D18" s="100">
        <v>0.1</v>
      </c>
      <c r="E18" s="103">
        <f t="shared" ref="E18:E23" si="21">C18/(100%-D18)</f>
        <v>388970</v>
      </c>
      <c r="F18" s="11"/>
      <c r="G18" s="11"/>
      <c r="H18" s="11"/>
      <c r="I18" s="14">
        <f t="shared" si="10"/>
        <v>12</v>
      </c>
      <c r="J18" s="63">
        <f t="shared" si="11"/>
        <v>383112.11383111816</v>
      </c>
      <c r="K18" s="63">
        <f t="shared" si="1"/>
        <v>1692.2174825079248</v>
      </c>
      <c r="L18" s="63">
        <f t="shared" si="12"/>
        <v>-8712.2931747826897</v>
      </c>
      <c r="M18" s="65">
        <f t="shared" si="0"/>
        <v>376092.03813884337</v>
      </c>
      <c r="O18" s="14">
        <f t="shared" si="13"/>
        <v>12</v>
      </c>
      <c r="P18" s="54">
        <f t="shared" si="14"/>
        <v>6241.5</v>
      </c>
      <c r="Q18" s="63">
        <f t="shared" si="15"/>
        <v>40336.554043953955</v>
      </c>
      <c r="R18" s="77">
        <f t="shared" si="2"/>
        <v>-8712.2931747826897</v>
      </c>
      <c r="S18" s="63">
        <f t="shared" si="16"/>
        <v>-4728.75</v>
      </c>
      <c r="T18" s="63"/>
      <c r="U18" s="63">
        <f t="shared" si="17"/>
        <v>-2016.8277021976978</v>
      </c>
      <c r="V18" s="77">
        <f t="shared" si="20"/>
        <v>-729.31875000000002</v>
      </c>
      <c r="W18" s="83">
        <f t="shared" si="4"/>
        <v>24149.364416973571</v>
      </c>
      <c r="X18" s="85">
        <f t="shared" si="18"/>
        <v>288802.06362868287</v>
      </c>
      <c r="Z18" s="92">
        <f t="shared" si="19"/>
        <v>350073</v>
      </c>
      <c r="AA18" s="5">
        <f t="shared" si="5"/>
        <v>0</v>
      </c>
      <c r="AB18" s="92">
        <f t="shared" si="6"/>
        <v>350073</v>
      </c>
      <c r="AD18" s="133">
        <f t="shared" si="7"/>
        <v>-56745</v>
      </c>
      <c r="AE18" s="3">
        <f t="shared" si="8"/>
        <v>1</v>
      </c>
    </row>
    <row r="19" spans="1:31" x14ac:dyDescent="0.45">
      <c r="A19" s="4">
        <f>A18+1</f>
        <v>2</v>
      </c>
      <c r="B19" s="5">
        <f>B18+12</f>
        <v>24</v>
      </c>
      <c r="C19" s="92">
        <f>D$27-(D$27+D$28)*B19/60</f>
        <v>263646</v>
      </c>
      <c r="D19" s="101">
        <f>D18</f>
        <v>0.1</v>
      </c>
      <c r="E19" s="104">
        <f t="shared" si="21"/>
        <v>292940</v>
      </c>
      <c r="F19" s="11"/>
      <c r="G19" s="11"/>
      <c r="H19" s="11"/>
      <c r="I19" s="14">
        <f t="shared" si="10"/>
        <v>13</v>
      </c>
      <c r="J19" s="63">
        <f t="shared" si="11"/>
        <v>376092.03813884337</v>
      </c>
      <c r="K19" s="63">
        <f t="shared" si="1"/>
        <v>1661.2096015610098</v>
      </c>
      <c r="L19" s="63">
        <f t="shared" si="12"/>
        <v>-8712.2931747826897</v>
      </c>
      <c r="M19" s="65">
        <f t="shared" si="0"/>
        <v>369040.95456562168</v>
      </c>
      <c r="O19" s="14">
        <f t="shared" si="13"/>
        <v>13</v>
      </c>
      <c r="P19" s="54">
        <f t="shared" si="14"/>
        <v>6761.625</v>
      </c>
      <c r="Q19" s="63">
        <f t="shared" si="15"/>
        <v>40336.554043953955</v>
      </c>
      <c r="R19" s="77">
        <f t="shared" si="2"/>
        <v>-8712.2931747826897</v>
      </c>
      <c r="S19" s="63">
        <f t="shared" si="16"/>
        <v>-4728.75</v>
      </c>
      <c r="T19" s="63"/>
      <c r="U19" s="63">
        <f t="shared" si="17"/>
        <v>-2016.8277021976978</v>
      </c>
      <c r="V19" s="77">
        <f t="shared" si="20"/>
        <v>-714.31406250000009</v>
      </c>
      <c r="W19" s="83">
        <f t="shared" si="4"/>
        <v>24164.369104473568</v>
      </c>
      <c r="X19" s="85">
        <f t="shared" si="18"/>
        <v>312966.43273315643</v>
      </c>
      <c r="Z19" s="92">
        <f t="shared" si="19"/>
        <v>342870.75</v>
      </c>
      <c r="AA19" s="5">
        <f t="shared" si="5"/>
        <v>0</v>
      </c>
      <c r="AB19" s="92">
        <f t="shared" si="6"/>
        <v>342870.75</v>
      </c>
      <c r="AD19" s="133">
        <f t="shared" si="7"/>
        <v>-61473.75</v>
      </c>
      <c r="AE19" s="3">
        <f t="shared" si="8"/>
        <v>1</v>
      </c>
    </row>
    <row r="20" spans="1:31" x14ac:dyDescent="0.45">
      <c r="A20" s="4">
        <f>A19+1</f>
        <v>3</v>
      </c>
      <c r="B20" s="5">
        <f>B19+12</f>
        <v>36</v>
      </c>
      <c r="C20" s="92">
        <f>D$27-(D$27+D$28)*B20/60</f>
        <v>177219</v>
      </c>
      <c r="D20" s="101">
        <f>D19</f>
        <v>0.1</v>
      </c>
      <c r="E20" s="104">
        <f t="shared" si="21"/>
        <v>196910</v>
      </c>
      <c r="F20" s="11"/>
      <c r="G20" s="11"/>
      <c r="H20" s="11"/>
      <c r="I20" s="14">
        <f t="shared" si="10"/>
        <v>14</v>
      </c>
      <c r="J20" s="63">
        <f t="shared" si="11"/>
        <v>369040.95456562168</v>
      </c>
      <c r="K20" s="63">
        <f t="shared" si="1"/>
        <v>1630.0647578913315</v>
      </c>
      <c r="L20" s="63">
        <f t="shared" si="12"/>
        <v>-8712.2931747826897</v>
      </c>
      <c r="M20" s="65">
        <f t="shared" si="0"/>
        <v>361958.72614873032</v>
      </c>
      <c r="O20" s="14">
        <f t="shared" si="13"/>
        <v>14</v>
      </c>
      <c r="P20" s="54">
        <f t="shared" si="14"/>
        <v>7281.75</v>
      </c>
      <c r="Q20" s="63">
        <f t="shared" si="15"/>
        <v>40336.554043953955</v>
      </c>
      <c r="R20" s="77">
        <f t="shared" si="2"/>
        <v>-8712.2931747826897</v>
      </c>
      <c r="S20" s="63">
        <f t="shared" si="16"/>
        <v>-4728.75</v>
      </c>
      <c r="T20" s="63"/>
      <c r="U20" s="63">
        <f t="shared" si="17"/>
        <v>-2016.8277021976978</v>
      </c>
      <c r="V20" s="77">
        <f t="shared" si="20"/>
        <v>-699.30937499999993</v>
      </c>
      <c r="W20" s="83">
        <f t="shared" si="4"/>
        <v>24179.373791973569</v>
      </c>
      <c r="X20" s="85">
        <f t="shared" si="18"/>
        <v>337145.80652513</v>
      </c>
      <c r="Z20" s="92">
        <f t="shared" si="19"/>
        <v>335668.5</v>
      </c>
      <c r="AA20" s="5">
        <f t="shared" si="5"/>
        <v>0</v>
      </c>
      <c r="AB20" s="92">
        <f t="shared" si="6"/>
        <v>335668.5</v>
      </c>
      <c r="AD20" s="133">
        <f t="shared" si="7"/>
        <v>-66202.5</v>
      </c>
      <c r="AE20" s="3">
        <f t="shared" si="8"/>
        <v>1</v>
      </c>
    </row>
    <row r="21" spans="1:31" x14ac:dyDescent="0.45">
      <c r="A21" s="4">
        <f>A20+1</f>
        <v>4</v>
      </c>
      <c r="B21" s="5">
        <f>B20+12</f>
        <v>48</v>
      </c>
      <c r="C21" s="92">
        <f>D$27-(D$27+D$28)*B21/60</f>
        <v>90792</v>
      </c>
      <c r="D21" s="101">
        <f>D20</f>
        <v>0.1</v>
      </c>
      <c r="E21" s="104">
        <f t="shared" si="21"/>
        <v>100880</v>
      </c>
      <c r="F21" s="11"/>
      <c r="G21" s="11"/>
      <c r="H21" s="11"/>
      <c r="I21" s="14">
        <f t="shared" si="10"/>
        <v>15</v>
      </c>
      <c r="J21" s="63">
        <f t="shared" si="11"/>
        <v>361958.72614873032</v>
      </c>
      <c r="K21" s="63">
        <f t="shared" si="1"/>
        <v>1598.7823465305123</v>
      </c>
      <c r="L21" s="63">
        <f t="shared" si="12"/>
        <v>-8712.2931747826897</v>
      </c>
      <c r="M21" s="65">
        <f t="shared" si="0"/>
        <v>354845.21532047814</v>
      </c>
      <c r="O21" s="14">
        <f t="shared" si="13"/>
        <v>15</v>
      </c>
      <c r="P21" s="54">
        <f t="shared" si="14"/>
        <v>7801.875</v>
      </c>
      <c r="Q21" s="63">
        <f t="shared" si="15"/>
        <v>40336.554043953955</v>
      </c>
      <c r="R21" s="77">
        <f t="shared" si="2"/>
        <v>-8712.2931747826897</v>
      </c>
      <c r="S21" s="63">
        <f t="shared" si="16"/>
        <v>-4728.75</v>
      </c>
      <c r="T21" s="63"/>
      <c r="U21" s="63">
        <f t="shared" si="17"/>
        <v>-2016.8277021976978</v>
      </c>
      <c r="V21" s="77">
        <f t="shared" si="20"/>
        <v>-684.3046875</v>
      </c>
      <c r="W21" s="83">
        <f t="shared" si="4"/>
        <v>24194.378479473569</v>
      </c>
      <c r="X21" s="85">
        <f t="shared" si="18"/>
        <v>361340.18500460358</v>
      </c>
      <c r="Z21" s="92">
        <f t="shared" si="19"/>
        <v>328466.25</v>
      </c>
      <c r="AA21" s="5">
        <f t="shared" si="5"/>
        <v>0</v>
      </c>
      <c r="AB21" s="92">
        <f t="shared" si="6"/>
        <v>328466.25</v>
      </c>
      <c r="AD21" s="133">
        <f t="shared" si="7"/>
        <v>-70931.25</v>
      </c>
      <c r="AE21" s="3">
        <f t="shared" si="8"/>
        <v>1</v>
      </c>
    </row>
    <row r="22" spans="1:31" x14ac:dyDescent="0.45">
      <c r="A22" s="4">
        <f>A21+1</f>
        <v>5</v>
      </c>
      <c r="B22" s="5">
        <f>B21+12</f>
        <v>60</v>
      </c>
      <c r="C22" s="92">
        <f>D$27-(D$27+D$28)*B22/60</f>
        <v>4365</v>
      </c>
      <c r="D22" s="101">
        <f>D21</f>
        <v>0.1</v>
      </c>
      <c r="E22" s="104">
        <f t="shared" si="21"/>
        <v>4850</v>
      </c>
      <c r="F22" s="11"/>
      <c r="G22" s="11"/>
      <c r="H22" s="11"/>
      <c r="I22" s="14">
        <f t="shared" si="10"/>
        <v>16</v>
      </c>
      <c r="J22" s="63">
        <f t="shared" si="11"/>
        <v>354845.21532047814</v>
      </c>
      <c r="K22" s="63">
        <f t="shared" si="1"/>
        <v>1567.3617598380119</v>
      </c>
      <c r="L22" s="63">
        <f t="shared" si="12"/>
        <v>-8712.2931747826897</v>
      </c>
      <c r="M22" s="65">
        <f t="shared" si="0"/>
        <v>347700.28390553343</v>
      </c>
      <c r="O22" s="14">
        <f t="shared" si="13"/>
        <v>16</v>
      </c>
      <c r="P22" s="54">
        <f t="shared" si="14"/>
        <v>8322</v>
      </c>
      <c r="Q22" s="63">
        <f t="shared" si="15"/>
        <v>40336.554043953955</v>
      </c>
      <c r="R22" s="77">
        <f t="shared" si="2"/>
        <v>-8712.2931747826897</v>
      </c>
      <c r="S22" s="63">
        <f t="shared" si="16"/>
        <v>-4728.75</v>
      </c>
      <c r="T22" s="63"/>
      <c r="U22" s="63">
        <f t="shared" si="17"/>
        <v>-2016.8277021976978</v>
      </c>
      <c r="V22" s="77">
        <f t="shared" si="20"/>
        <v>-669.30000000000007</v>
      </c>
      <c r="W22" s="83">
        <f t="shared" si="4"/>
        <v>24209.38316697357</v>
      </c>
      <c r="X22" s="85">
        <f t="shared" si="18"/>
        <v>385549.56817157718</v>
      </c>
      <c r="Z22" s="92">
        <f t="shared" si="19"/>
        <v>321264</v>
      </c>
      <c r="AA22" s="5">
        <f t="shared" si="5"/>
        <v>0</v>
      </c>
      <c r="AB22" s="92">
        <f t="shared" si="6"/>
        <v>321264</v>
      </c>
      <c r="AD22" s="133">
        <f t="shared" si="7"/>
        <v>-75660</v>
      </c>
      <c r="AE22" s="3">
        <f t="shared" si="8"/>
        <v>1</v>
      </c>
    </row>
    <row r="23" spans="1:31" ht="14.65" thickBot="1" x14ac:dyDescent="0.5">
      <c r="A23" s="6">
        <f>A22+1</f>
        <v>6</v>
      </c>
      <c r="B23" s="7">
        <f>B22+12</f>
        <v>72</v>
      </c>
      <c r="C23" s="93">
        <v>1</v>
      </c>
      <c r="D23" s="102">
        <f>D22</f>
        <v>0.1</v>
      </c>
      <c r="E23" s="105">
        <f t="shared" si="21"/>
        <v>1.1111111111111112</v>
      </c>
      <c r="H23" s="11"/>
      <c r="I23" s="14">
        <f t="shared" si="10"/>
        <v>17</v>
      </c>
      <c r="J23" s="63">
        <f t="shared" si="11"/>
        <v>347700.28390553343</v>
      </c>
      <c r="K23" s="63">
        <f t="shared" si="1"/>
        <v>1535.8023874893231</v>
      </c>
      <c r="L23" s="63">
        <f t="shared" si="12"/>
        <v>-8712.2931747826897</v>
      </c>
      <c r="M23" s="65">
        <f t="shared" si="0"/>
        <v>340523.79311824002</v>
      </c>
      <c r="O23" s="14">
        <f t="shared" si="13"/>
        <v>17</v>
      </c>
      <c r="P23" s="54">
        <f t="shared" si="14"/>
        <v>8842.125</v>
      </c>
      <c r="Q23" s="63">
        <f t="shared" si="15"/>
        <v>40336.554043953955</v>
      </c>
      <c r="R23" s="77">
        <f t="shared" si="2"/>
        <v>-8712.2931747826897</v>
      </c>
      <c r="S23" s="63">
        <f t="shared" si="16"/>
        <v>-4728.75</v>
      </c>
      <c r="T23" s="63"/>
      <c r="U23" s="63">
        <f t="shared" si="17"/>
        <v>-2016.8277021976978</v>
      </c>
      <c r="V23" s="77">
        <f t="shared" si="20"/>
        <v>-654.29531250000002</v>
      </c>
      <c r="W23" s="83">
        <f t="shared" si="4"/>
        <v>24224.387854473571</v>
      </c>
      <c r="X23" s="85">
        <f t="shared" si="18"/>
        <v>409773.95602605073</v>
      </c>
      <c r="Z23" s="92">
        <f t="shared" si="19"/>
        <v>314061.75</v>
      </c>
      <c r="AA23" s="5">
        <f t="shared" si="5"/>
        <v>0</v>
      </c>
      <c r="AB23" s="92">
        <f t="shared" si="6"/>
        <v>314061.75</v>
      </c>
      <c r="AD23" s="133">
        <f t="shared" si="7"/>
        <v>-80388.75</v>
      </c>
      <c r="AE23" s="3">
        <f t="shared" si="8"/>
        <v>1</v>
      </c>
    </row>
    <row r="24" spans="1:31" ht="14.65" thickBot="1" x14ac:dyDescent="0.5">
      <c r="H24" s="11"/>
      <c r="I24" s="14">
        <f>I23+1</f>
        <v>18</v>
      </c>
      <c r="J24" s="63">
        <f t="shared" si="11"/>
        <v>340523.79311824002</v>
      </c>
      <c r="K24" s="63">
        <f t="shared" si="1"/>
        <v>1504.1036164641177</v>
      </c>
      <c r="L24" s="63">
        <f t="shared" si="12"/>
        <v>-8712.2931747826897</v>
      </c>
      <c r="M24" s="65">
        <f t="shared" si="0"/>
        <v>333315.60355992144</v>
      </c>
      <c r="O24" s="14">
        <f>O23+1</f>
        <v>18</v>
      </c>
      <c r="P24" s="54">
        <f t="shared" si="14"/>
        <v>9362.25</v>
      </c>
      <c r="Q24" s="63">
        <f t="shared" si="15"/>
        <v>40336.554043953955</v>
      </c>
      <c r="R24" s="77">
        <f t="shared" si="2"/>
        <v>-8712.2931747826897</v>
      </c>
      <c r="S24" s="63">
        <f t="shared" si="16"/>
        <v>-4728.75</v>
      </c>
      <c r="T24" s="63"/>
      <c r="U24" s="63">
        <f t="shared" si="17"/>
        <v>-2016.8277021976978</v>
      </c>
      <c r="V24" s="77">
        <f t="shared" si="20"/>
        <v>-639.29062499999998</v>
      </c>
      <c r="W24" s="83">
        <f t="shared" si="4"/>
        <v>24239.392541973568</v>
      </c>
      <c r="X24" s="85">
        <f t="shared" si="18"/>
        <v>434013.34856802429</v>
      </c>
      <c r="Z24" s="92">
        <f t="shared" si="19"/>
        <v>306859.5</v>
      </c>
      <c r="AA24" s="5">
        <f t="shared" si="5"/>
        <v>0</v>
      </c>
      <c r="AB24" s="92">
        <f t="shared" si="6"/>
        <v>306859.5</v>
      </c>
      <c r="AD24" s="133">
        <f t="shared" si="7"/>
        <v>-85117.5</v>
      </c>
      <c r="AE24" s="3">
        <f t="shared" si="8"/>
        <v>1</v>
      </c>
    </row>
    <row r="25" spans="1:31" ht="32.25" customHeight="1" thickBot="1" x14ac:dyDescent="0.5">
      <c r="A25" s="664" t="s">
        <v>21</v>
      </c>
      <c r="B25" s="665"/>
      <c r="C25" s="665"/>
      <c r="D25" s="665"/>
      <c r="E25" s="665"/>
      <c r="F25" s="665"/>
      <c r="G25" s="666"/>
      <c r="H25" s="11"/>
      <c r="I25" s="14">
        <f t="shared" si="10"/>
        <v>19</v>
      </c>
      <c r="J25" s="63">
        <f t="shared" si="11"/>
        <v>333315.60355992144</v>
      </c>
      <c r="K25" s="63">
        <f t="shared" si="1"/>
        <v>1472.2648310343395</v>
      </c>
      <c r="L25" s="63">
        <f t="shared" si="12"/>
        <v>-8712.2931747826897</v>
      </c>
      <c r="M25" s="65">
        <f t="shared" si="0"/>
        <v>326075.57521617308</v>
      </c>
      <c r="O25" s="14">
        <f t="shared" si="13"/>
        <v>19</v>
      </c>
      <c r="P25" s="54">
        <f t="shared" si="14"/>
        <v>9882.375</v>
      </c>
      <c r="Q25" s="63">
        <f t="shared" si="15"/>
        <v>40336.554043953955</v>
      </c>
      <c r="R25" s="77">
        <f t="shared" si="2"/>
        <v>-8712.2931747826897</v>
      </c>
      <c r="S25" s="63">
        <f t="shared" si="16"/>
        <v>-4728.75</v>
      </c>
      <c r="T25" s="63"/>
      <c r="U25" s="63">
        <f t="shared" si="17"/>
        <v>-2016.8277021976978</v>
      </c>
      <c r="V25" s="77">
        <f t="shared" si="20"/>
        <v>-624.28593750000005</v>
      </c>
      <c r="W25" s="83">
        <f t="shared" si="4"/>
        <v>24254.397229473569</v>
      </c>
      <c r="X25" s="85">
        <f t="shared" si="18"/>
        <v>458267.74579749786</v>
      </c>
      <c r="Z25" s="92">
        <f t="shared" si="19"/>
        <v>299657.25</v>
      </c>
      <c r="AA25" s="5">
        <f t="shared" si="5"/>
        <v>0</v>
      </c>
      <c r="AB25" s="92">
        <f t="shared" si="6"/>
        <v>299657.25</v>
      </c>
      <c r="AD25" s="133">
        <f t="shared" si="7"/>
        <v>-89846.25</v>
      </c>
      <c r="AE25" s="3">
        <f t="shared" si="8"/>
        <v>1</v>
      </c>
    </row>
    <row r="26" spans="1:31" ht="28.9" thickBot="1" x14ac:dyDescent="0.5">
      <c r="A26" s="26" t="s">
        <v>0</v>
      </c>
      <c r="B26" s="27" t="s">
        <v>1</v>
      </c>
      <c r="C26" s="43" t="s">
        <v>22</v>
      </c>
      <c r="D26" s="43" t="s">
        <v>10</v>
      </c>
      <c r="E26" s="43" t="s">
        <v>23</v>
      </c>
      <c r="F26" s="43" t="s">
        <v>24</v>
      </c>
      <c r="G26" s="44" t="s">
        <v>25</v>
      </c>
      <c r="H26" s="11"/>
      <c r="I26" s="14">
        <f t="shared" si="10"/>
        <v>20</v>
      </c>
      <c r="J26" s="63">
        <f t="shared" si="11"/>
        <v>326075.57521617308</v>
      </c>
      <c r="K26" s="63">
        <f t="shared" si="1"/>
        <v>1440.2854127522419</v>
      </c>
      <c r="L26" s="63">
        <f t="shared" si="12"/>
        <v>-8712.2931747826897</v>
      </c>
      <c r="M26" s="65">
        <f t="shared" si="0"/>
        <v>318803.56745414261</v>
      </c>
      <c r="O26" s="14">
        <f t="shared" si="13"/>
        <v>20</v>
      </c>
      <c r="P26" s="54">
        <f t="shared" si="14"/>
        <v>10402.5</v>
      </c>
      <c r="Q26" s="63">
        <f t="shared" si="15"/>
        <v>40336.554043953955</v>
      </c>
      <c r="R26" s="77">
        <f t="shared" si="2"/>
        <v>-8712.2931747826897</v>
      </c>
      <c r="S26" s="63">
        <f t="shared" si="16"/>
        <v>-4728.75</v>
      </c>
      <c r="T26" s="63"/>
      <c r="U26" s="63">
        <f t="shared" si="17"/>
        <v>-2016.8277021976978</v>
      </c>
      <c r="V26" s="77">
        <f t="shared" si="20"/>
        <v>-609.28125</v>
      </c>
      <c r="W26" s="83">
        <f t="shared" si="4"/>
        <v>24269.401916973569</v>
      </c>
      <c r="X26" s="85">
        <f t="shared" si="18"/>
        <v>482537.14771447144</v>
      </c>
      <c r="Z26" s="92">
        <f t="shared" si="19"/>
        <v>292455</v>
      </c>
      <c r="AA26" s="5">
        <f t="shared" si="5"/>
        <v>0</v>
      </c>
      <c r="AB26" s="92">
        <f t="shared" si="6"/>
        <v>292455</v>
      </c>
      <c r="AD26" s="133">
        <f t="shared" si="7"/>
        <v>-94575</v>
      </c>
      <c r="AE26" s="3">
        <f t="shared" si="8"/>
        <v>1</v>
      </c>
    </row>
    <row r="27" spans="1:31" x14ac:dyDescent="0.45">
      <c r="A27" s="8">
        <v>1</v>
      </c>
      <c r="B27" s="9" t="s">
        <v>16</v>
      </c>
      <c r="C27" s="48">
        <v>1</v>
      </c>
      <c r="D27" s="153">
        <f>+F7</f>
        <v>436500</v>
      </c>
      <c r="E27" s="342">
        <f>+'Summary Equip'!AE18</f>
        <v>0.5</v>
      </c>
      <c r="F27" s="62">
        <f>E27*D27</f>
        <v>218250</v>
      </c>
      <c r="G27" s="60">
        <f>D27-F27</f>
        <v>218250</v>
      </c>
      <c r="H27" s="11"/>
      <c r="I27" s="14">
        <f t="shared" si="10"/>
        <v>21</v>
      </c>
      <c r="J27" s="63">
        <f t="shared" si="11"/>
        <v>318803.56745414261</v>
      </c>
      <c r="K27" s="63">
        <f t="shared" si="1"/>
        <v>1408.1647404383775</v>
      </c>
      <c r="L27" s="63">
        <f t="shared" si="12"/>
        <v>-8712.2931747826897</v>
      </c>
      <c r="M27" s="65">
        <f t="shared" si="0"/>
        <v>311499.4390197983</v>
      </c>
      <c r="O27" s="14">
        <f t="shared" si="13"/>
        <v>21</v>
      </c>
      <c r="P27" s="54">
        <f t="shared" si="14"/>
        <v>10922.625</v>
      </c>
      <c r="Q27" s="63">
        <f t="shared" si="15"/>
        <v>40336.554043953955</v>
      </c>
      <c r="R27" s="77">
        <f t="shared" si="2"/>
        <v>-8712.2931747826897</v>
      </c>
      <c r="S27" s="63">
        <f t="shared" si="16"/>
        <v>-4728.75</v>
      </c>
      <c r="T27" s="63"/>
      <c r="U27" s="63">
        <f t="shared" si="17"/>
        <v>-2016.8277021976978</v>
      </c>
      <c r="V27" s="77">
        <f t="shared" si="20"/>
        <v>-594.27656250000007</v>
      </c>
      <c r="W27" s="83">
        <f t="shared" si="4"/>
        <v>24284.40660447357</v>
      </c>
      <c r="X27" s="85">
        <f t="shared" si="18"/>
        <v>506821.55431894504</v>
      </c>
      <c r="Z27" s="92">
        <f t="shared" si="19"/>
        <v>285252.75</v>
      </c>
      <c r="AA27" s="5">
        <f t="shared" si="5"/>
        <v>0</v>
      </c>
      <c r="AB27" s="92">
        <f t="shared" si="6"/>
        <v>285252.75</v>
      </c>
      <c r="AD27" s="133">
        <f t="shared" si="7"/>
        <v>-99303.75</v>
      </c>
      <c r="AE27" s="3">
        <f t="shared" si="8"/>
        <v>1</v>
      </c>
    </row>
    <row r="28" spans="1:31" x14ac:dyDescent="0.45">
      <c r="A28" s="4">
        <f>A27+1</f>
        <v>2</v>
      </c>
      <c r="B28" s="5" t="s">
        <v>12</v>
      </c>
      <c r="C28" s="19">
        <f>C11</f>
        <v>0.01</v>
      </c>
      <c r="D28" s="300">
        <f>-C28*D27</f>
        <v>-4365</v>
      </c>
      <c r="E28" s="23">
        <f>E27</f>
        <v>0.5</v>
      </c>
      <c r="F28" s="63">
        <f t="shared" ref="F28:F33" si="22">E28*D28</f>
        <v>-2182.5</v>
      </c>
      <c r="G28" s="65">
        <f>D28-F28</f>
        <v>-2182.5</v>
      </c>
      <c r="H28" s="11"/>
      <c r="I28" s="14">
        <f t="shared" si="10"/>
        <v>22</v>
      </c>
      <c r="J28" s="63">
        <f t="shared" si="11"/>
        <v>311499.4390197983</v>
      </c>
      <c r="K28" s="63">
        <f t="shared" si="1"/>
        <v>1375.9021901695305</v>
      </c>
      <c r="L28" s="63">
        <f t="shared" si="12"/>
        <v>-8712.2931747826897</v>
      </c>
      <c r="M28" s="65">
        <f t="shared" si="0"/>
        <v>304163.04803518514</v>
      </c>
      <c r="O28" s="14">
        <f t="shared" si="13"/>
        <v>22</v>
      </c>
      <c r="P28" s="54">
        <f t="shared" si="14"/>
        <v>11442.75</v>
      </c>
      <c r="Q28" s="63">
        <f t="shared" si="15"/>
        <v>40336.554043953955</v>
      </c>
      <c r="R28" s="77">
        <f t="shared" si="2"/>
        <v>-8712.2931747826897</v>
      </c>
      <c r="S28" s="63">
        <f t="shared" si="16"/>
        <v>-4728.75</v>
      </c>
      <c r="T28" s="63"/>
      <c r="U28" s="63">
        <f t="shared" si="17"/>
        <v>-2016.8277021976978</v>
      </c>
      <c r="V28" s="77">
        <f t="shared" si="20"/>
        <v>-579.27187500000002</v>
      </c>
      <c r="W28" s="83">
        <f t="shared" si="4"/>
        <v>24299.411291973571</v>
      </c>
      <c r="X28" s="85">
        <f t="shared" si="18"/>
        <v>531120.96561091859</v>
      </c>
      <c r="Z28" s="92">
        <f t="shared" si="19"/>
        <v>278050.5</v>
      </c>
      <c r="AA28" s="5">
        <f t="shared" si="5"/>
        <v>0</v>
      </c>
      <c r="AB28" s="92">
        <f t="shared" si="6"/>
        <v>278050.5</v>
      </c>
      <c r="AD28" s="133">
        <f t="shared" si="7"/>
        <v>-104032.5</v>
      </c>
      <c r="AE28" s="3">
        <f t="shared" si="8"/>
        <v>1</v>
      </c>
    </row>
    <row r="29" spans="1:31" x14ac:dyDescent="0.45">
      <c r="A29" s="4">
        <f t="shared" ref="A29:A34" si="23">A28+1</f>
        <v>3</v>
      </c>
      <c r="B29" s="5" t="s">
        <v>17</v>
      </c>
      <c r="C29" s="24">
        <f>C8</f>
        <v>5.2999999999999999E-2</v>
      </c>
      <c r="D29" s="63">
        <f>K67</f>
        <v>61477.788630375333</v>
      </c>
      <c r="E29" s="23">
        <v>1</v>
      </c>
      <c r="F29" s="63">
        <f t="shared" si="22"/>
        <v>61477.788630375333</v>
      </c>
      <c r="G29" s="65">
        <f>D29-F29</f>
        <v>0</v>
      </c>
      <c r="H29" s="11"/>
      <c r="I29" s="14">
        <f t="shared" si="10"/>
        <v>23</v>
      </c>
      <c r="J29" s="63">
        <f t="shared" si="11"/>
        <v>304163.04803518514</v>
      </c>
      <c r="K29" s="63">
        <f t="shared" si="1"/>
        <v>1343.497135266598</v>
      </c>
      <c r="L29" s="63">
        <f t="shared" si="12"/>
        <v>-8712.2931747826897</v>
      </c>
      <c r="M29" s="65">
        <f t="shared" si="0"/>
        <v>296794.25199566904</v>
      </c>
      <c r="O29" s="14">
        <f t="shared" si="13"/>
        <v>23</v>
      </c>
      <c r="P29" s="54">
        <f t="shared" si="14"/>
        <v>11962.875</v>
      </c>
      <c r="Q29" s="63">
        <f t="shared" si="15"/>
        <v>40336.554043953955</v>
      </c>
      <c r="R29" s="77">
        <f t="shared" si="2"/>
        <v>-8712.2931747826897</v>
      </c>
      <c r="S29" s="63">
        <f t="shared" si="16"/>
        <v>-4728.75</v>
      </c>
      <c r="T29" s="63"/>
      <c r="U29" s="63">
        <f t="shared" si="17"/>
        <v>-2016.8277021976978</v>
      </c>
      <c r="V29" s="77">
        <f t="shared" si="20"/>
        <v>-564.26718749999998</v>
      </c>
      <c r="W29" s="83">
        <f t="shared" si="4"/>
        <v>24314.415979473568</v>
      </c>
      <c r="X29" s="85">
        <f t="shared" si="18"/>
        <v>555435.38159039221</v>
      </c>
      <c r="Z29" s="92">
        <f t="shared" si="19"/>
        <v>270848.25</v>
      </c>
      <c r="AA29" s="5">
        <f t="shared" si="5"/>
        <v>0</v>
      </c>
      <c r="AB29" s="92">
        <f t="shared" si="6"/>
        <v>270848.25</v>
      </c>
      <c r="AD29" s="133">
        <f t="shared" si="7"/>
        <v>-108761.25</v>
      </c>
      <c r="AE29" s="3">
        <f t="shared" si="8"/>
        <v>1</v>
      </c>
    </row>
    <row r="30" spans="1:31" x14ac:dyDescent="0.45">
      <c r="A30" s="4">
        <f t="shared" si="23"/>
        <v>4</v>
      </c>
      <c r="B30" s="5" t="s">
        <v>6</v>
      </c>
      <c r="C30" s="23">
        <f>C9</f>
        <v>2.5000000000000001E-2</v>
      </c>
      <c r="D30" s="63">
        <f>-V67</f>
        <v>26004.487499999999</v>
      </c>
      <c r="E30" s="23">
        <v>1</v>
      </c>
      <c r="F30" s="63">
        <f t="shared" si="22"/>
        <v>26004.487499999999</v>
      </c>
      <c r="G30" s="65">
        <f>D30-F30</f>
        <v>0</v>
      </c>
      <c r="H30" s="11"/>
      <c r="I30" s="14">
        <f t="shared" si="10"/>
        <v>24</v>
      </c>
      <c r="J30" s="63">
        <f t="shared" si="11"/>
        <v>296794.25199566904</v>
      </c>
      <c r="K30" s="63">
        <f t="shared" si="1"/>
        <v>1310.948946282417</v>
      </c>
      <c r="L30" s="63">
        <f t="shared" si="12"/>
        <v>-8712.2931747826897</v>
      </c>
      <c r="M30" s="65">
        <f t="shared" si="0"/>
        <v>289392.90776716877</v>
      </c>
      <c r="O30" s="14">
        <f t="shared" si="13"/>
        <v>24</v>
      </c>
      <c r="P30" s="54">
        <f t="shared" si="14"/>
        <v>12483</v>
      </c>
      <c r="Q30" s="63">
        <f t="shared" si="15"/>
        <v>40336.554043953955</v>
      </c>
      <c r="R30" s="77">
        <f t="shared" si="2"/>
        <v>-8712.2931747826897</v>
      </c>
      <c r="S30" s="63">
        <f t="shared" si="16"/>
        <v>-4728.75</v>
      </c>
      <c r="T30" s="63"/>
      <c r="U30" s="63">
        <f t="shared" si="17"/>
        <v>-2016.8277021976978</v>
      </c>
      <c r="V30" s="77">
        <f t="shared" si="20"/>
        <v>-549.26250000000005</v>
      </c>
      <c r="W30" s="83">
        <f t="shared" si="4"/>
        <v>24329.420666973569</v>
      </c>
      <c r="X30" s="85">
        <f t="shared" si="18"/>
        <v>579764.80225736578</v>
      </c>
      <c r="Z30" s="92">
        <f t="shared" si="19"/>
        <v>263646</v>
      </c>
      <c r="AA30" s="5">
        <f t="shared" si="5"/>
        <v>0</v>
      </c>
      <c r="AB30" s="92">
        <f t="shared" si="6"/>
        <v>263646</v>
      </c>
      <c r="AD30" s="133">
        <f t="shared" si="7"/>
        <v>-113490</v>
      </c>
      <c r="AE30" s="3">
        <f t="shared" si="8"/>
        <v>1</v>
      </c>
    </row>
    <row r="31" spans="1:31" x14ac:dyDescent="0.45">
      <c r="A31" s="4">
        <f t="shared" si="23"/>
        <v>5</v>
      </c>
      <c r="B31" s="5" t="s">
        <v>27</v>
      </c>
      <c r="C31" s="334">
        <f>+'Summary Equip'!AH18</f>
        <v>0.65</v>
      </c>
      <c r="D31" s="63">
        <f>D27*C31</f>
        <v>283725</v>
      </c>
      <c r="E31" s="514">
        <v>0</v>
      </c>
      <c r="F31" s="63">
        <f t="shared" si="22"/>
        <v>0</v>
      </c>
      <c r="G31" s="65">
        <f>D31</f>
        <v>283725</v>
      </c>
      <c r="H31" s="11"/>
      <c r="I31" s="14">
        <f t="shared" si="10"/>
        <v>25</v>
      </c>
      <c r="J31" s="63">
        <f t="shared" si="11"/>
        <v>289392.90776716877</v>
      </c>
      <c r="K31" s="63">
        <f t="shared" si="1"/>
        <v>1278.2569909895378</v>
      </c>
      <c r="L31" s="63">
        <f t="shared" si="12"/>
        <v>-8712.2931747826897</v>
      </c>
      <c r="M31" s="65">
        <f t="shared" si="0"/>
        <v>281958.87158337561</v>
      </c>
      <c r="O31" s="14">
        <f t="shared" si="13"/>
        <v>25</v>
      </c>
      <c r="P31" s="54">
        <f t="shared" si="14"/>
        <v>13003.125</v>
      </c>
      <c r="Q31" s="63">
        <f t="shared" si="15"/>
        <v>40336.554043953955</v>
      </c>
      <c r="R31" s="77">
        <f t="shared" si="2"/>
        <v>-8712.2931747826897</v>
      </c>
      <c r="S31" s="63">
        <f t="shared" si="16"/>
        <v>-4728.75</v>
      </c>
      <c r="T31" s="63"/>
      <c r="U31" s="63">
        <f t="shared" si="17"/>
        <v>-2016.8277021976978</v>
      </c>
      <c r="V31" s="77">
        <f t="shared" si="20"/>
        <v>-534.2578125</v>
      </c>
      <c r="W31" s="83">
        <f t="shared" si="4"/>
        <v>24344.425354473569</v>
      </c>
      <c r="X31" s="85">
        <f t="shared" si="18"/>
        <v>604109.22761183931</v>
      </c>
      <c r="Z31" s="92">
        <f t="shared" si="19"/>
        <v>256443.75</v>
      </c>
      <c r="AA31" s="5">
        <f t="shared" si="5"/>
        <v>0</v>
      </c>
      <c r="AB31" s="92">
        <f t="shared" si="6"/>
        <v>256443.75</v>
      </c>
      <c r="AD31" s="133">
        <f t="shared" si="7"/>
        <v>-118218.75</v>
      </c>
      <c r="AE31" s="3">
        <f t="shared" si="8"/>
        <v>1</v>
      </c>
    </row>
    <row r="32" spans="1:31" x14ac:dyDescent="0.45">
      <c r="A32" s="4">
        <f t="shared" si="23"/>
        <v>6</v>
      </c>
      <c r="B32" s="5" t="s">
        <v>26</v>
      </c>
      <c r="C32" s="335">
        <f>+'Summary Equip'!AI18</f>
        <v>0.25</v>
      </c>
      <c r="D32" s="63">
        <f>D27*C32</f>
        <v>109125</v>
      </c>
      <c r="E32" s="514">
        <v>0</v>
      </c>
      <c r="F32" s="63">
        <f t="shared" si="22"/>
        <v>0</v>
      </c>
      <c r="G32" s="65">
        <f>D32</f>
        <v>109125</v>
      </c>
      <c r="H32" s="11"/>
      <c r="I32" s="14">
        <f t="shared" si="10"/>
        <v>26</v>
      </c>
      <c r="J32" s="63">
        <f t="shared" si="11"/>
        <v>281958.87158337561</v>
      </c>
      <c r="K32" s="63">
        <f t="shared" si="1"/>
        <v>1245.4206343679441</v>
      </c>
      <c r="L32" s="63">
        <f t="shared" si="12"/>
        <v>-8712.2931747826897</v>
      </c>
      <c r="M32" s="65">
        <f t="shared" si="0"/>
        <v>274491.99904296087</v>
      </c>
      <c r="O32" s="14">
        <f t="shared" si="13"/>
        <v>26</v>
      </c>
      <c r="P32" s="54">
        <f t="shared" si="14"/>
        <v>13523.25</v>
      </c>
      <c r="Q32" s="63">
        <f t="shared" si="15"/>
        <v>40336.554043953955</v>
      </c>
      <c r="R32" s="77">
        <f t="shared" si="2"/>
        <v>-8712.2931747826897</v>
      </c>
      <c r="S32" s="63">
        <f t="shared" si="16"/>
        <v>-4728.75</v>
      </c>
      <c r="T32" s="63"/>
      <c r="U32" s="63">
        <f t="shared" si="17"/>
        <v>-2016.8277021976978</v>
      </c>
      <c r="V32" s="77">
        <f t="shared" si="20"/>
        <v>-519.25312500000007</v>
      </c>
      <c r="W32" s="83">
        <f t="shared" si="4"/>
        <v>24359.43004197357</v>
      </c>
      <c r="X32" s="85">
        <f t="shared" si="18"/>
        <v>628468.6576538129</v>
      </c>
      <c r="Z32" s="92">
        <f t="shared" si="19"/>
        <v>249241.5</v>
      </c>
      <c r="AA32" s="5">
        <f t="shared" si="5"/>
        <v>0</v>
      </c>
      <c r="AB32" s="92">
        <f t="shared" si="6"/>
        <v>249241.5</v>
      </c>
      <c r="AD32" s="133">
        <f t="shared" si="7"/>
        <v>-122947.5</v>
      </c>
      <c r="AE32" s="3">
        <f t="shared" si="8"/>
        <v>1</v>
      </c>
    </row>
    <row r="33" spans="1:31" ht="14.65" thickBot="1" x14ac:dyDescent="0.5">
      <c r="A33" s="6">
        <f t="shared" si="23"/>
        <v>7</v>
      </c>
      <c r="B33" s="7" t="s">
        <v>32</v>
      </c>
      <c r="C33" s="336">
        <f>+'Summary Equip'!AJ18</f>
        <v>7.0000000000000007E-2</v>
      </c>
      <c r="D33" s="64">
        <f>D27*C33</f>
        <v>30555.000000000004</v>
      </c>
      <c r="E33" s="334">
        <f>+ASSUMPTIONS!B45</f>
        <v>0</v>
      </c>
      <c r="F33" s="64">
        <f t="shared" si="22"/>
        <v>0</v>
      </c>
      <c r="G33" s="66">
        <f>D33</f>
        <v>30555.000000000004</v>
      </c>
      <c r="H33" s="11"/>
      <c r="I33" s="14">
        <f t="shared" si="10"/>
        <v>27</v>
      </c>
      <c r="J33" s="63">
        <f t="shared" si="11"/>
        <v>274491.99904296087</v>
      </c>
      <c r="K33" s="63">
        <f t="shared" si="1"/>
        <v>1212.4392385927165</v>
      </c>
      <c r="L33" s="63">
        <f t="shared" si="12"/>
        <v>-8712.2931747826897</v>
      </c>
      <c r="M33" s="65">
        <f t="shared" si="0"/>
        <v>266992.14510677085</v>
      </c>
      <c r="O33" s="14">
        <f t="shared" si="13"/>
        <v>27</v>
      </c>
      <c r="P33" s="54">
        <f t="shared" si="14"/>
        <v>14043.375</v>
      </c>
      <c r="Q33" s="63">
        <f t="shared" si="15"/>
        <v>40336.554043953955</v>
      </c>
      <c r="R33" s="77">
        <f t="shared" si="2"/>
        <v>-8712.2931747826897</v>
      </c>
      <c r="S33" s="63">
        <f t="shared" si="16"/>
        <v>-4728.75</v>
      </c>
      <c r="T33" s="63"/>
      <c r="U33" s="63">
        <f t="shared" si="17"/>
        <v>-2016.8277021976978</v>
      </c>
      <c r="V33" s="77">
        <f t="shared" si="20"/>
        <v>-504.24843750000008</v>
      </c>
      <c r="W33" s="83">
        <f t="shared" si="4"/>
        <v>24374.434729473571</v>
      </c>
      <c r="X33" s="85">
        <f t="shared" si="18"/>
        <v>652843.09238328645</v>
      </c>
      <c r="Z33" s="92">
        <f t="shared" si="19"/>
        <v>242039.25</v>
      </c>
      <c r="AA33" s="5">
        <f t="shared" si="5"/>
        <v>0</v>
      </c>
      <c r="AB33" s="92">
        <f t="shared" si="6"/>
        <v>242039.25</v>
      </c>
      <c r="AD33" s="133">
        <f t="shared" si="7"/>
        <v>-127676.25</v>
      </c>
      <c r="AE33" s="3">
        <f t="shared" si="8"/>
        <v>1</v>
      </c>
    </row>
    <row r="34" spans="1:31" ht="14.65" thickBot="1" x14ac:dyDescent="0.5">
      <c r="A34" s="33">
        <f t="shared" si="23"/>
        <v>8</v>
      </c>
      <c r="B34" s="30" t="s">
        <v>8</v>
      </c>
      <c r="C34" s="45"/>
      <c r="D34" s="46"/>
      <c r="E34" s="47"/>
      <c r="F34" s="67">
        <f>SUM(F27:F33)</f>
        <v>303549.77613037534</v>
      </c>
      <c r="G34" s="68">
        <f>SUM(G27:G33)</f>
        <v>639472.5</v>
      </c>
      <c r="H34" s="11"/>
      <c r="I34" s="14">
        <f t="shared" si="10"/>
        <v>28</v>
      </c>
      <c r="J34" s="63">
        <f t="shared" si="11"/>
        <v>266992.14510677085</v>
      </c>
      <c r="K34" s="63">
        <f t="shared" si="1"/>
        <v>1179.3121630216442</v>
      </c>
      <c r="L34" s="63">
        <f t="shared" si="12"/>
        <v>-8712.2931747826897</v>
      </c>
      <c r="M34" s="65">
        <f t="shared" si="0"/>
        <v>259459.16409500982</v>
      </c>
      <c r="O34" s="14">
        <f t="shared" si="13"/>
        <v>28</v>
      </c>
      <c r="P34" s="54">
        <f t="shared" si="14"/>
        <v>14563.5</v>
      </c>
      <c r="Q34" s="63">
        <f t="shared" si="15"/>
        <v>40336.554043953955</v>
      </c>
      <c r="R34" s="77">
        <f t="shared" si="2"/>
        <v>-8712.2931747826897</v>
      </c>
      <c r="S34" s="63">
        <f t="shared" si="16"/>
        <v>-4728.75</v>
      </c>
      <c r="T34" s="63"/>
      <c r="U34" s="63">
        <f t="shared" si="17"/>
        <v>-2016.8277021976978</v>
      </c>
      <c r="V34" s="77">
        <f t="shared" si="20"/>
        <v>-489.24375000000003</v>
      </c>
      <c r="W34" s="83">
        <f t="shared" si="4"/>
        <v>24389.439416973568</v>
      </c>
      <c r="X34" s="85">
        <f t="shared" si="18"/>
        <v>677232.53180026007</v>
      </c>
      <c r="Z34" s="92">
        <f t="shared" si="19"/>
        <v>234837</v>
      </c>
      <c r="AA34" s="5">
        <f t="shared" si="5"/>
        <v>0</v>
      </c>
      <c r="AB34" s="92">
        <f t="shared" si="6"/>
        <v>234837</v>
      </c>
      <c r="AD34" s="133">
        <f t="shared" si="7"/>
        <v>-132405</v>
      </c>
      <c r="AE34" s="3">
        <f t="shared" si="8"/>
        <v>1</v>
      </c>
    </row>
    <row r="35" spans="1:31" ht="14.65" thickBot="1" x14ac:dyDescent="0.5">
      <c r="A35" s="31">
        <f>A34+1</f>
        <v>9</v>
      </c>
      <c r="B35" s="32" t="s">
        <v>7</v>
      </c>
      <c r="C35" s="42">
        <f>+C10</f>
        <v>0.05</v>
      </c>
      <c r="D35" s="22"/>
      <c r="E35" s="34"/>
      <c r="F35" s="69">
        <f>F36-F34</f>
        <v>15976.304006861872</v>
      </c>
      <c r="G35" s="70">
        <f>G36-G34</f>
        <v>33656.447368421126</v>
      </c>
      <c r="H35" s="11"/>
      <c r="I35" s="14">
        <f t="shared" si="10"/>
        <v>29</v>
      </c>
      <c r="J35" s="63">
        <f t="shared" si="11"/>
        <v>259459.16409500982</v>
      </c>
      <c r="K35" s="63">
        <f t="shared" si="1"/>
        <v>1146.0387641827822</v>
      </c>
      <c r="L35" s="63">
        <f t="shared" si="12"/>
        <v>-8712.2931747826897</v>
      </c>
      <c r="M35" s="65">
        <f t="shared" si="0"/>
        <v>251892.90968440991</v>
      </c>
      <c r="O35" s="14">
        <f t="shared" si="13"/>
        <v>29</v>
      </c>
      <c r="P35" s="54">
        <f t="shared" si="14"/>
        <v>15083.625</v>
      </c>
      <c r="Q35" s="63">
        <f t="shared" si="15"/>
        <v>40336.554043953955</v>
      </c>
      <c r="R35" s="77">
        <f t="shared" si="2"/>
        <v>-8712.2931747826897</v>
      </c>
      <c r="S35" s="63">
        <f t="shared" si="16"/>
        <v>-4728.75</v>
      </c>
      <c r="T35" s="63"/>
      <c r="U35" s="63">
        <f t="shared" si="17"/>
        <v>-2016.8277021976978</v>
      </c>
      <c r="V35" s="77">
        <f t="shared" si="20"/>
        <v>-474.23906250000005</v>
      </c>
      <c r="W35" s="83">
        <f t="shared" si="4"/>
        <v>24404.444104473569</v>
      </c>
      <c r="X35" s="85">
        <f t="shared" si="18"/>
        <v>701636.97590473364</v>
      </c>
      <c r="Z35" s="92">
        <f t="shared" si="19"/>
        <v>227634.75</v>
      </c>
      <c r="AA35" s="5">
        <f t="shared" si="5"/>
        <v>0</v>
      </c>
      <c r="AB35" s="92">
        <f t="shared" si="6"/>
        <v>227634.75</v>
      </c>
      <c r="AD35" s="133">
        <f t="shared" si="7"/>
        <v>-137133.75</v>
      </c>
      <c r="AE35" s="3">
        <f t="shared" si="8"/>
        <v>1</v>
      </c>
    </row>
    <row r="36" spans="1:31" ht="14.65" thickBot="1" x14ac:dyDescent="0.5">
      <c r="A36" s="37">
        <f>A35+1</f>
        <v>10</v>
      </c>
      <c r="B36" s="38" t="s">
        <v>28</v>
      </c>
      <c r="C36" s="39"/>
      <c r="D36" s="40"/>
      <c r="E36" s="41"/>
      <c r="F36" s="71">
        <f>F34/(100%-C35)</f>
        <v>319526.08013723721</v>
      </c>
      <c r="G36" s="72">
        <f>G34/(100%-C35)</f>
        <v>673128.94736842113</v>
      </c>
      <c r="H36" s="11"/>
      <c r="I36" s="14">
        <f t="shared" si="10"/>
        <v>30</v>
      </c>
      <c r="J36" s="63">
        <f t="shared" si="11"/>
        <v>251892.90968440991</v>
      </c>
      <c r="K36" s="63">
        <f t="shared" si="1"/>
        <v>1112.6183957619498</v>
      </c>
      <c r="L36" s="63">
        <f t="shared" si="12"/>
        <v>-8712.2931747826897</v>
      </c>
      <c r="M36" s="65">
        <f t="shared" si="0"/>
        <v>244293.23490538917</v>
      </c>
      <c r="O36" s="14">
        <f t="shared" si="13"/>
        <v>30</v>
      </c>
      <c r="P36" s="54">
        <f t="shared" si="14"/>
        <v>15603.75</v>
      </c>
      <c r="Q36" s="63">
        <f t="shared" si="15"/>
        <v>40336.554043953955</v>
      </c>
      <c r="R36" s="77">
        <f t="shared" si="2"/>
        <v>-8712.2931747826897</v>
      </c>
      <c r="S36" s="63">
        <f t="shared" si="16"/>
        <v>-4728.75</v>
      </c>
      <c r="T36" s="63">
        <f>-T68*0.5</f>
        <v>-54562.5</v>
      </c>
      <c r="U36" s="63">
        <f t="shared" si="17"/>
        <v>-2016.8277021976978</v>
      </c>
      <c r="V36" s="77">
        <f t="shared" si="20"/>
        <v>-459.234375</v>
      </c>
      <c r="W36" s="83">
        <f t="shared" si="4"/>
        <v>-30143.051208026431</v>
      </c>
      <c r="X36" s="85">
        <f t="shared" si="18"/>
        <v>671493.92469670717</v>
      </c>
      <c r="Z36" s="92">
        <f t="shared" si="19"/>
        <v>220432.5</v>
      </c>
      <c r="AA36" s="5">
        <f t="shared" si="5"/>
        <v>0</v>
      </c>
      <c r="AB36" s="92">
        <f t="shared" si="6"/>
        <v>220432.5</v>
      </c>
      <c r="AD36" s="133">
        <f t="shared" si="7"/>
        <v>-141862.5</v>
      </c>
      <c r="AE36" s="3">
        <f t="shared" si="8"/>
        <v>1</v>
      </c>
    </row>
    <row r="37" spans="1:31" x14ac:dyDescent="0.45">
      <c r="C37" s="11"/>
      <c r="D37" s="11"/>
      <c r="E37" s="11"/>
      <c r="F37" s="11"/>
      <c r="G37" s="11"/>
      <c r="H37" s="11"/>
      <c r="I37" s="14">
        <f t="shared" si="10"/>
        <v>31</v>
      </c>
      <c r="J37" s="63">
        <f t="shared" si="11"/>
        <v>244293.23490538917</v>
      </c>
      <c r="K37" s="63">
        <f t="shared" si="1"/>
        <v>1079.0504085901778</v>
      </c>
      <c r="L37" s="63">
        <f t="shared" si="12"/>
        <v>-8712.2931747826897</v>
      </c>
      <c r="M37" s="65">
        <f t="shared" si="0"/>
        <v>236659.99213919666</v>
      </c>
      <c r="O37" s="14">
        <f t="shared" si="13"/>
        <v>31</v>
      </c>
      <c r="P37" s="54">
        <f t="shared" si="14"/>
        <v>16123.875</v>
      </c>
      <c r="Q37" s="63">
        <f t="shared" si="15"/>
        <v>40336.554043953955</v>
      </c>
      <c r="R37" s="77">
        <f t="shared" si="2"/>
        <v>-8712.2931747826897</v>
      </c>
      <c r="S37" s="63">
        <f t="shared" si="16"/>
        <v>-4728.75</v>
      </c>
      <c r="T37" s="63"/>
      <c r="U37" s="63">
        <f t="shared" si="17"/>
        <v>-2016.8277021976978</v>
      </c>
      <c r="V37" s="77">
        <f t="shared" si="20"/>
        <v>-444.22968750000001</v>
      </c>
      <c r="W37" s="83">
        <f t="shared" si="4"/>
        <v>24434.45347947357</v>
      </c>
      <c r="X37" s="85">
        <f t="shared" si="18"/>
        <v>695928.37817618076</v>
      </c>
      <c r="Z37" s="92">
        <f t="shared" si="19"/>
        <v>213230.25</v>
      </c>
      <c r="AA37" s="5">
        <f t="shared" si="5"/>
        <v>0</v>
      </c>
      <c r="AB37" s="92">
        <f t="shared" si="6"/>
        <v>213230.25</v>
      </c>
      <c r="AD37" s="133">
        <f t="shared" si="7"/>
        <v>-146591.25</v>
      </c>
      <c r="AE37" s="3">
        <f t="shared" si="8"/>
        <v>1</v>
      </c>
    </row>
    <row r="38" spans="1:31" x14ac:dyDescent="0.45">
      <c r="C38" s="11"/>
      <c r="D38" s="11"/>
      <c r="E38" s="11"/>
      <c r="F38" s="11"/>
      <c r="G38" s="11"/>
      <c r="H38" s="11"/>
      <c r="I38" s="14">
        <f t="shared" si="10"/>
        <v>32</v>
      </c>
      <c r="J38" s="63">
        <f t="shared" si="11"/>
        <v>236659.99213919666</v>
      </c>
      <c r="K38" s="63">
        <f t="shared" si="1"/>
        <v>1045.3341506310985</v>
      </c>
      <c r="L38" s="63">
        <f t="shared" si="12"/>
        <v>-8712.2931747826897</v>
      </c>
      <c r="M38" s="65">
        <f t="shared" si="0"/>
        <v>228993.03311504508</v>
      </c>
      <c r="O38" s="14">
        <f t="shared" si="13"/>
        <v>32</v>
      </c>
      <c r="P38" s="54">
        <f t="shared" si="14"/>
        <v>16644</v>
      </c>
      <c r="Q38" s="63">
        <f t="shared" si="15"/>
        <v>40336.554043953955</v>
      </c>
      <c r="R38" s="77">
        <f t="shared" si="2"/>
        <v>-8712.2931747826897</v>
      </c>
      <c r="S38" s="63">
        <f t="shared" si="16"/>
        <v>-4728.75</v>
      </c>
      <c r="T38" s="63"/>
      <c r="U38" s="63">
        <f t="shared" si="17"/>
        <v>-2016.8277021976978</v>
      </c>
      <c r="V38" s="77">
        <f t="shared" si="20"/>
        <v>-429.22500000000008</v>
      </c>
      <c r="W38" s="83">
        <f t="shared" si="4"/>
        <v>24449.458166973571</v>
      </c>
      <c r="X38" s="85">
        <f t="shared" si="18"/>
        <v>720377.83634315431</v>
      </c>
      <c r="Z38" s="92">
        <f t="shared" si="19"/>
        <v>206028</v>
      </c>
      <c r="AA38" s="5">
        <f t="shared" si="5"/>
        <v>0</v>
      </c>
      <c r="AB38" s="92">
        <f t="shared" si="6"/>
        <v>206028</v>
      </c>
      <c r="AD38" s="133">
        <f t="shared" si="7"/>
        <v>-151320</v>
      </c>
      <c r="AE38" s="3">
        <f t="shared" si="8"/>
        <v>1</v>
      </c>
    </row>
    <row r="39" spans="1:31" x14ac:dyDescent="0.45">
      <c r="C39" s="11"/>
      <c r="D39" s="11"/>
      <c r="E39" s="11"/>
      <c r="F39" s="11"/>
      <c r="G39" s="11"/>
      <c r="H39" s="11"/>
      <c r="I39" s="14">
        <f t="shared" si="10"/>
        <v>33</v>
      </c>
      <c r="J39" s="63">
        <f t="shared" si="11"/>
        <v>228993.03311504508</v>
      </c>
      <c r="K39" s="63">
        <f t="shared" si="1"/>
        <v>1011.4689669682807</v>
      </c>
      <c r="L39" s="63">
        <f t="shared" si="12"/>
        <v>-8712.2931747826897</v>
      </c>
      <c r="M39" s="65">
        <f t="shared" si="0"/>
        <v>221292.20890723067</v>
      </c>
      <c r="O39" s="14">
        <f t="shared" si="13"/>
        <v>33</v>
      </c>
      <c r="P39" s="54">
        <f t="shared" si="14"/>
        <v>17164.125</v>
      </c>
      <c r="Q39" s="63">
        <f t="shared" si="15"/>
        <v>40336.554043953955</v>
      </c>
      <c r="R39" s="77">
        <f t="shared" si="2"/>
        <v>-8712.2931747826897</v>
      </c>
      <c r="S39" s="63">
        <f t="shared" si="16"/>
        <v>-4728.75</v>
      </c>
      <c r="T39" s="63"/>
      <c r="U39" s="63">
        <f t="shared" si="17"/>
        <v>-2016.8277021976978</v>
      </c>
      <c r="V39" s="77">
        <f t="shared" si="20"/>
        <v>-414.22031250000003</v>
      </c>
      <c r="W39" s="83">
        <f t="shared" si="4"/>
        <v>24464.462854473568</v>
      </c>
      <c r="X39" s="85">
        <f t="shared" si="18"/>
        <v>744842.29919762793</v>
      </c>
      <c r="Z39" s="92">
        <f t="shared" si="19"/>
        <v>198825.75</v>
      </c>
      <c r="AA39" s="5">
        <f t="shared" si="5"/>
        <v>0</v>
      </c>
      <c r="AB39" s="92">
        <f t="shared" si="6"/>
        <v>198825.75</v>
      </c>
      <c r="AD39" s="133">
        <f t="shared" si="7"/>
        <v>-156048.75</v>
      </c>
      <c r="AE39" s="3">
        <f t="shared" si="8"/>
        <v>1</v>
      </c>
    </row>
    <row r="40" spans="1:31" ht="14.65" thickBot="1" x14ac:dyDescent="0.5">
      <c r="C40" s="11"/>
      <c r="D40" s="11"/>
      <c r="E40" s="11"/>
      <c r="F40" s="11"/>
      <c r="G40" s="11"/>
      <c r="H40" s="11"/>
      <c r="I40" s="14">
        <f t="shared" si="10"/>
        <v>34</v>
      </c>
      <c r="J40" s="63">
        <f t="shared" si="11"/>
        <v>221292.20890723067</v>
      </c>
      <c r="K40" s="63">
        <f t="shared" si="1"/>
        <v>977.45419979250755</v>
      </c>
      <c r="L40" s="63">
        <f t="shared" si="12"/>
        <v>-8712.2931747826897</v>
      </c>
      <c r="M40" s="65">
        <f t="shared" si="0"/>
        <v>213557.36993224049</v>
      </c>
      <c r="O40" s="14">
        <f t="shared" si="13"/>
        <v>34</v>
      </c>
      <c r="P40" s="54">
        <f t="shared" si="14"/>
        <v>17684.25</v>
      </c>
      <c r="Q40" s="63">
        <f t="shared" si="15"/>
        <v>40336.554043953955</v>
      </c>
      <c r="R40" s="77">
        <f t="shared" si="2"/>
        <v>-8712.2931747826897</v>
      </c>
      <c r="S40" s="63">
        <f t="shared" si="16"/>
        <v>-4728.75</v>
      </c>
      <c r="T40" s="63"/>
      <c r="U40" s="63">
        <f t="shared" si="17"/>
        <v>-2016.8277021976978</v>
      </c>
      <c r="V40" s="77">
        <f t="shared" si="20"/>
        <v>-399.21562500000005</v>
      </c>
      <c r="W40" s="83">
        <f t="shared" si="4"/>
        <v>24479.467541973569</v>
      </c>
      <c r="X40" s="85">
        <f t="shared" si="18"/>
        <v>769321.7667396015</v>
      </c>
      <c r="Z40" s="92">
        <f t="shared" si="19"/>
        <v>191623.5</v>
      </c>
      <c r="AA40" s="5">
        <f t="shared" si="5"/>
        <v>0</v>
      </c>
      <c r="AB40" s="92">
        <f t="shared" si="6"/>
        <v>191623.5</v>
      </c>
      <c r="AD40" s="133">
        <f t="shared" ref="AD40:AD62" si="24">IF(AD39=0,0,IF(+S40+AD39&lt;-$S$68,0,+S40+AD39))</f>
        <v>-160777.5</v>
      </c>
      <c r="AE40" s="3">
        <f t="shared" si="8"/>
        <v>1</v>
      </c>
    </row>
    <row r="41" spans="1:31" ht="32.25" customHeight="1" thickBot="1" x14ac:dyDescent="0.5">
      <c r="A41" s="667" t="s">
        <v>29</v>
      </c>
      <c r="B41" s="668"/>
      <c r="C41" s="668"/>
      <c r="D41" s="668"/>
      <c r="E41" s="668"/>
      <c r="F41" s="668"/>
      <c r="G41" s="669"/>
      <c r="H41" s="11"/>
      <c r="I41" s="14">
        <f t="shared" si="10"/>
        <v>35</v>
      </c>
      <c r="J41" s="63">
        <f t="shared" si="11"/>
        <v>213557.36993224049</v>
      </c>
      <c r="K41" s="63">
        <f t="shared" si="1"/>
        <v>943.28918838899995</v>
      </c>
      <c r="L41" s="63">
        <f t="shared" si="12"/>
        <v>-8712.2931747826897</v>
      </c>
      <c r="M41" s="65">
        <f t="shared" si="0"/>
        <v>205788.3659458468</v>
      </c>
      <c r="O41" s="14">
        <f t="shared" si="13"/>
        <v>35</v>
      </c>
      <c r="P41" s="54">
        <f t="shared" si="14"/>
        <v>18204.375</v>
      </c>
      <c r="Q41" s="63">
        <f t="shared" si="15"/>
        <v>40336.554043953955</v>
      </c>
      <c r="R41" s="77">
        <f t="shared" si="2"/>
        <v>-8712.2931747826897</v>
      </c>
      <c r="S41" s="63">
        <f t="shared" si="16"/>
        <v>-4728.75</v>
      </c>
      <c r="T41" s="63"/>
      <c r="U41" s="63">
        <f t="shared" si="17"/>
        <v>-2016.8277021976978</v>
      </c>
      <c r="V41" s="77">
        <f t="shared" si="20"/>
        <v>-384.2109375</v>
      </c>
      <c r="W41" s="83">
        <f t="shared" si="4"/>
        <v>24494.472229473569</v>
      </c>
      <c r="X41" s="85">
        <f t="shared" si="18"/>
        <v>793816.23896907503</v>
      </c>
      <c r="Z41" s="92">
        <f t="shared" si="19"/>
        <v>184421.25</v>
      </c>
      <c r="AA41" s="5">
        <f t="shared" si="5"/>
        <v>0</v>
      </c>
      <c r="AB41" s="92">
        <f t="shared" si="6"/>
        <v>184421.25</v>
      </c>
      <c r="AD41" s="133">
        <f t="shared" si="24"/>
        <v>-165506.25</v>
      </c>
      <c r="AE41" s="3">
        <f t="shared" si="8"/>
        <v>1</v>
      </c>
    </row>
    <row r="42" spans="1:31" ht="19.5" customHeight="1" x14ac:dyDescent="0.45">
      <c r="A42" s="35">
        <v>1</v>
      </c>
      <c r="B42" s="670" t="s">
        <v>30</v>
      </c>
      <c r="C42" s="671"/>
      <c r="D42" s="671"/>
      <c r="E42" s="672"/>
      <c r="F42" s="73">
        <f>F36/C12/C14</f>
        <v>5325.4346689539534</v>
      </c>
      <c r="G42" s="74">
        <f>G36/C13/C14</f>
        <v>67.312894736842111</v>
      </c>
      <c r="H42" s="11"/>
      <c r="I42" s="20">
        <f t="shared" si="10"/>
        <v>36</v>
      </c>
      <c r="J42" s="63">
        <f t="shared" si="11"/>
        <v>205788.3659458468</v>
      </c>
      <c r="K42" s="79">
        <f t="shared" si="1"/>
        <v>908.97326912458198</v>
      </c>
      <c r="L42" s="63">
        <f t="shared" si="12"/>
        <v>-8712.2931747826897</v>
      </c>
      <c r="M42" s="80">
        <f t="shared" si="0"/>
        <v>197985.0460401887</v>
      </c>
      <c r="O42" s="20">
        <f t="shared" si="13"/>
        <v>36</v>
      </c>
      <c r="P42" s="54">
        <f t="shared" si="14"/>
        <v>18724.5</v>
      </c>
      <c r="Q42" s="63">
        <f t="shared" si="15"/>
        <v>40336.554043953955</v>
      </c>
      <c r="R42" s="77">
        <f t="shared" si="2"/>
        <v>-8712.2931747826897</v>
      </c>
      <c r="S42" s="63">
        <f t="shared" si="16"/>
        <v>-4728.75</v>
      </c>
      <c r="T42" s="63"/>
      <c r="U42" s="63">
        <f t="shared" si="17"/>
        <v>-2016.8277021976978</v>
      </c>
      <c r="V42" s="77">
        <f t="shared" si="20"/>
        <v>-369.20625000000001</v>
      </c>
      <c r="W42" s="83">
        <f t="shared" si="4"/>
        <v>24509.47691697357</v>
      </c>
      <c r="X42" s="85">
        <f t="shared" si="18"/>
        <v>818325.71588604862</v>
      </c>
      <c r="Z42" s="92">
        <f t="shared" si="19"/>
        <v>177219</v>
      </c>
      <c r="AA42" s="5">
        <f t="shared" si="5"/>
        <v>0</v>
      </c>
      <c r="AB42" s="92">
        <f t="shared" si="6"/>
        <v>177219</v>
      </c>
      <c r="AD42" s="133">
        <f t="shared" si="24"/>
        <v>-170235</v>
      </c>
      <c r="AE42" s="3">
        <f t="shared" si="8"/>
        <v>1</v>
      </c>
    </row>
    <row r="43" spans="1:31" ht="19.5" customHeight="1" thickBot="1" x14ac:dyDescent="0.5">
      <c r="A43" s="36">
        <f>A42+1</f>
        <v>2</v>
      </c>
      <c r="B43" s="673" t="s">
        <v>31</v>
      </c>
      <c r="C43" s="674"/>
      <c r="D43" s="674"/>
      <c r="E43" s="675"/>
      <c r="F43" s="75"/>
      <c r="G43" s="76">
        <f>+(F42*C12+D13*G42)/D13</f>
        <v>99.26550275056583</v>
      </c>
      <c r="H43" s="11"/>
      <c r="I43" s="20">
        <f t="shared" si="10"/>
        <v>37</v>
      </c>
      <c r="J43" s="63">
        <f t="shared" si="11"/>
        <v>197985.0460401887</v>
      </c>
      <c r="K43" s="79">
        <f t="shared" si="1"/>
        <v>874.50577543479051</v>
      </c>
      <c r="L43" s="63">
        <f t="shared" si="12"/>
        <v>-8712.2931747826897</v>
      </c>
      <c r="M43" s="80">
        <f t="shared" si="0"/>
        <v>190147.2586408408</v>
      </c>
      <c r="O43" s="20">
        <f t="shared" si="13"/>
        <v>37</v>
      </c>
      <c r="P43" s="54">
        <f t="shared" si="14"/>
        <v>19244.625</v>
      </c>
      <c r="Q43" s="63">
        <f t="shared" si="15"/>
        <v>40336.554043953955</v>
      </c>
      <c r="R43" s="77">
        <f t="shared" si="2"/>
        <v>-8712.2931747826897</v>
      </c>
      <c r="S43" s="63">
        <f t="shared" si="16"/>
        <v>-4728.75</v>
      </c>
      <c r="T43" s="63"/>
      <c r="U43" s="63">
        <f t="shared" si="17"/>
        <v>-2016.8277021976978</v>
      </c>
      <c r="V43" s="77">
        <f t="shared" si="20"/>
        <v>-354.20156249999997</v>
      </c>
      <c r="W43" s="83">
        <f t="shared" si="4"/>
        <v>24524.481604473571</v>
      </c>
      <c r="X43" s="85">
        <f t="shared" si="18"/>
        <v>842850.19749052217</v>
      </c>
      <c r="Z43" s="92">
        <f t="shared" si="19"/>
        <v>170016.75</v>
      </c>
      <c r="AA43" s="5">
        <f t="shared" si="5"/>
        <v>0</v>
      </c>
      <c r="AB43" s="92">
        <f t="shared" si="6"/>
        <v>170016.75</v>
      </c>
      <c r="AD43" s="133">
        <f t="shared" si="24"/>
        <v>-174963.75</v>
      </c>
      <c r="AE43" s="3">
        <f t="shared" si="8"/>
        <v>1</v>
      </c>
    </row>
    <row r="44" spans="1:31" x14ac:dyDescent="0.45">
      <c r="I44" s="20">
        <f t="shared" si="10"/>
        <v>38</v>
      </c>
      <c r="J44" s="63">
        <f t="shared" si="11"/>
        <v>190147.2586408408</v>
      </c>
      <c r="K44" s="79">
        <f t="shared" si="1"/>
        <v>839.88603781092763</v>
      </c>
      <c r="L44" s="63">
        <f t="shared" si="12"/>
        <v>-8712.2931747826897</v>
      </c>
      <c r="M44" s="80">
        <f t="shared" si="0"/>
        <v>182274.85150386905</v>
      </c>
      <c r="O44" s="20">
        <f t="shared" si="13"/>
        <v>38</v>
      </c>
      <c r="P44" s="54">
        <f t="shared" si="14"/>
        <v>19764.75</v>
      </c>
      <c r="Q44" s="63">
        <f t="shared" si="15"/>
        <v>40336.554043953955</v>
      </c>
      <c r="R44" s="77">
        <f t="shared" si="2"/>
        <v>-8712.2931747826897</v>
      </c>
      <c r="S44" s="63">
        <f t="shared" si="16"/>
        <v>-4728.75</v>
      </c>
      <c r="T44" s="63"/>
      <c r="U44" s="63">
        <f t="shared" si="17"/>
        <v>-2016.8277021976978</v>
      </c>
      <c r="V44" s="77">
        <f t="shared" si="20"/>
        <v>-339.19687500000003</v>
      </c>
      <c r="W44" s="83">
        <f t="shared" si="4"/>
        <v>24539.486291973568</v>
      </c>
      <c r="X44" s="85">
        <f t="shared" si="18"/>
        <v>867389.68378249579</v>
      </c>
      <c r="Z44" s="92">
        <f t="shared" si="19"/>
        <v>162814.5</v>
      </c>
      <c r="AA44" s="5">
        <f t="shared" si="5"/>
        <v>0</v>
      </c>
      <c r="AB44" s="92">
        <f t="shared" si="6"/>
        <v>162814.5</v>
      </c>
      <c r="AD44" s="133">
        <f t="shared" si="24"/>
        <v>-179692.5</v>
      </c>
      <c r="AE44" s="3">
        <f t="shared" si="8"/>
        <v>1</v>
      </c>
    </row>
    <row r="45" spans="1:31" x14ac:dyDescent="0.45">
      <c r="I45" s="20">
        <f t="shared" si="10"/>
        <v>39</v>
      </c>
      <c r="J45" s="63">
        <f t="shared" si="11"/>
        <v>182274.85150386905</v>
      </c>
      <c r="K45" s="79">
        <f t="shared" si="1"/>
        <v>805.11338378705545</v>
      </c>
      <c r="L45" s="63">
        <f t="shared" si="12"/>
        <v>-8712.2931747826897</v>
      </c>
      <c r="M45" s="80">
        <f t="shared" si="0"/>
        <v>174367.67171287342</v>
      </c>
      <c r="O45" s="20">
        <f t="shared" si="13"/>
        <v>39</v>
      </c>
      <c r="P45" s="54">
        <f t="shared" si="14"/>
        <v>20284.875</v>
      </c>
      <c r="Q45" s="63">
        <f t="shared" si="15"/>
        <v>40336.554043953955</v>
      </c>
      <c r="R45" s="77">
        <f t="shared" si="2"/>
        <v>-8712.2931747826897</v>
      </c>
      <c r="S45" s="63">
        <f t="shared" si="16"/>
        <v>-4728.75</v>
      </c>
      <c r="T45" s="63"/>
      <c r="U45" s="63">
        <f t="shared" si="17"/>
        <v>-2016.8277021976978</v>
      </c>
      <c r="V45" s="77">
        <f t="shared" si="20"/>
        <v>-324.19218749999999</v>
      </c>
      <c r="W45" s="83">
        <f t="shared" si="4"/>
        <v>24554.490979473569</v>
      </c>
      <c r="X45" s="85">
        <f t="shared" si="18"/>
        <v>891944.17476196936</v>
      </c>
      <c r="Z45" s="92">
        <f t="shared" si="19"/>
        <v>155612.25</v>
      </c>
      <c r="AA45" s="5">
        <f t="shared" si="5"/>
        <v>0</v>
      </c>
      <c r="AB45" s="92">
        <f t="shared" si="6"/>
        <v>155612.25</v>
      </c>
      <c r="AD45" s="133">
        <f t="shared" si="24"/>
        <v>-184421.25</v>
      </c>
      <c r="AE45" s="3">
        <f t="shared" si="8"/>
        <v>1</v>
      </c>
    </row>
    <row r="46" spans="1:31" x14ac:dyDescent="0.45">
      <c r="I46" s="20">
        <f t="shared" si="10"/>
        <v>40</v>
      </c>
      <c r="J46" s="63">
        <f t="shared" si="11"/>
        <v>174367.67171287342</v>
      </c>
      <c r="K46" s="79">
        <f t="shared" si="1"/>
        <v>770.18713792693495</v>
      </c>
      <c r="L46" s="63">
        <f t="shared" si="12"/>
        <v>-8712.2931747826897</v>
      </c>
      <c r="M46" s="80">
        <f t="shared" si="0"/>
        <v>166425.56567601766</v>
      </c>
      <c r="O46" s="20">
        <f t="shared" si="13"/>
        <v>40</v>
      </c>
      <c r="P46" s="54">
        <f t="shared" si="14"/>
        <v>20805</v>
      </c>
      <c r="Q46" s="63">
        <f t="shared" si="15"/>
        <v>40336.554043953955</v>
      </c>
      <c r="R46" s="77">
        <f t="shared" si="2"/>
        <v>-8712.2931747826897</v>
      </c>
      <c r="S46" s="63">
        <f t="shared" si="16"/>
        <v>-4728.75</v>
      </c>
      <c r="T46" s="63"/>
      <c r="U46" s="63">
        <f t="shared" si="17"/>
        <v>-2016.8277021976978</v>
      </c>
      <c r="V46" s="77">
        <f t="shared" si="20"/>
        <v>-309.1875</v>
      </c>
      <c r="W46" s="83">
        <f t="shared" si="4"/>
        <v>24569.495666973569</v>
      </c>
      <c r="X46" s="85">
        <f t="shared" si="18"/>
        <v>916513.67042894289</v>
      </c>
      <c r="Z46" s="92">
        <f t="shared" si="19"/>
        <v>148410</v>
      </c>
      <c r="AA46" s="5">
        <f t="shared" si="5"/>
        <v>0</v>
      </c>
      <c r="AB46" s="92">
        <f t="shared" si="6"/>
        <v>148410</v>
      </c>
      <c r="AD46" s="133">
        <f t="shared" si="24"/>
        <v>-189150</v>
      </c>
      <c r="AE46" s="3">
        <f t="shared" si="8"/>
        <v>1</v>
      </c>
    </row>
    <row r="47" spans="1:31" x14ac:dyDescent="0.45">
      <c r="I47" s="20">
        <f t="shared" si="10"/>
        <v>41</v>
      </c>
      <c r="J47" s="63">
        <f t="shared" si="11"/>
        <v>166425.56567601766</v>
      </c>
      <c r="K47" s="79">
        <f t="shared" si="1"/>
        <v>735.10662181090436</v>
      </c>
      <c r="L47" s="63">
        <f t="shared" si="12"/>
        <v>-8712.2931747826897</v>
      </c>
      <c r="M47" s="80">
        <f t="shared" si="0"/>
        <v>158448.37912304589</v>
      </c>
      <c r="O47" s="20">
        <f t="shared" si="13"/>
        <v>41</v>
      </c>
      <c r="P47" s="54">
        <f t="shared" si="14"/>
        <v>21325.125</v>
      </c>
      <c r="Q47" s="63">
        <f t="shared" si="15"/>
        <v>40336.554043953955</v>
      </c>
      <c r="R47" s="77">
        <f t="shared" si="2"/>
        <v>-8712.2931747826897</v>
      </c>
      <c r="S47" s="63">
        <f t="shared" si="16"/>
        <v>-4728.75</v>
      </c>
      <c r="T47" s="63"/>
      <c r="U47" s="63">
        <f t="shared" si="17"/>
        <v>-2016.8277021976978</v>
      </c>
      <c r="V47" s="77">
        <f t="shared" si="20"/>
        <v>-294.18281250000001</v>
      </c>
      <c r="W47" s="83">
        <f t="shared" si="4"/>
        <v>24584.50035447357</v>
      </c>
      <c r="X47" s="85">
        <f t="shared" si="18"/>
        <v>941098.17078341648</v>
      </c>
      <c r="Z47" s="92">
        <f t="shared" si="19"/>
        <v>141207.75</v>
      </c>
      <c r="AA47" s="5">
        <f t="shared" si="5"/>
        <v>0</v>
      </c>
      <c r="AB47" s="92">
        <f t="shared" si="6"/>
        <v>141207.75</v>
      </c>
      <c r="AD47" s="133">
        <f t="shared" si="24"/>
        <v>-193878.75</v>
      </c>
      <c r="AE47" s="3">
        <f t="shared" si="8"/>
        <v>1</v>
      </c>
    </row>
    <row r="48" spans="1:31" x14ac:dyDescent="0.45">
      <c r="I48" s="20">
        <f t="shared" si="10"/>
        <v>42</v>
      </c>
      <c r="J48" s="63">
        <f t="shared" si="11"/>
        <v>158448.37912304589</v>
      </c>
      <c r="K48" s="79">
        <f t="shared" si="1"/>
        <v>699.87115402270331</v>
      </c>
      <c r="L48" s="63">
        <f t="shared" si="12"/>
        <v>-8712.2931747826897</v>
      </c>
      <c r="M48" s="80">
        <f t="shared" si="0"/>
        <v>150435.9571022859</v>
      </c>
      <c r="O48" s="20">
        <f t="shared" si="13"/>
        <v>42</v>
      </c>
      <c r="P48" s="54">
        <f t="shared" si="14"/>
        <v>21845.25</v>
      </c>
      <c r="Q48" s="63">
        <f t="shared" si="15"/>
        <v>40336.554043953955</v>
      </c>
      <c r="R48" s="77">
        <f t="shared" si="2"/>
        <v>-8712.2931747826897</v>
      </c>
      <c r="S48" s="63">
        <f t="shared" si="16"/>
        <v>-4728.75</v>
      </c>
      <c r="T48" s="63"/>
      <c r="U48" s="63">
        <f t="shared" si="17"/>
        <v>-2016.8277021976978</v>
      </c>
      <c r="V48" s="77">
        <f t="shared" si="20"/>
        <v>-279.17812500000002</v>
      </c>
      <c r="W48" s="83">
        <f t="shared" si="4"/>
        <v>24599.505041973571</v>
      </c>
      <c r="X48" s="85">
        <f t="shared" si="18"/>
        <v>965697.67582539003</v>
      </c>
      <c r="Z48" s="92">
        <f t="shared" si="19"/>
        <v>134005.5</v>
      </c>
      <c r="AA48" s="5">
        <f t="shared" si="5"/>
        <v>0</v>
      </c>
      <c r="AB48" s="92">
        <f t="shared" si="6"/>
        <v>134005.5</v>
      </c>
      <c r="AD48" s="133">
        <f t="shared" si="24"/>
        <v>-198607.5</v>
      </c>
      <c r="AE48" s="3">
        <f t="shared" si="8"/>
        <v>1</v>
      </c>
    </row>
    <row r="49" spans="9:31" x14ac:dyDescent="0.45">
      <c r="I49" s="20">
        <f t="shared" si="10"/>
        <v>43</v>
      </c>
      <c r="J49" s="63">
        <f t="shared" si="11"/>
        <v>150435.9571022859</v>
      </c>
      <c r="K49" s="79">
        <f t="shared" si="1"/>
        <v>664.48005013623515</v>
      </c>
      <c r="L49" s="63">
        <f t="shared" si="12"/>
        <v>-8712.2931747826897</v>
      </c>
      <c r="M49" s="80">
        <f t="shared" si="0"/>
        <v>142388.14397763947</v>
      </c>
      <c r="O49" s="20">
        <f t="shared" si="13"/>
        <v>43</v>
      </c>
      <c r="P49" s="54">
        <f t="shared" si="14"/>
        <v>22365.375</v>
      </c>
      <c r="Q49" s="63">
        <f t="shared" si="15"/>
        <v>40336.554043953955</v>
      </c>
      <c r="R49" s="77">
        <f t="shared" si="2"/>
        <v>-8712.2931747826897</v>
      </c>
      <c r="S49" s="63">
        <f t="shared" si="16"/>
        <v>-4728.75</v>
      </c>
      <c r="T49" s="63"/>
      <c r="U49" s="63">
        <f t="shared" si="17"/>
        <v>-2016.8277021976978</v>
      </c>
      <c r="V49" s="77">
        <f t="shared" si="20"/>
        <v>-264.17343750000003</v>
      </c>
      <c r="W49" s="83">
        <f t="shared" si="4"/>
        <v>24614.509729473568</v>
      </c>
      <c r="X49" s="85">
        <f t="shared" si="18"/>
        <v>990312.18555486365</v>
      </c>
      <c r="Z49" s="92">
        <f t="shared" si="19"/>
        <v>126803.25</v>
      </c>
      <c r="AA49" s="5">
        <f t="shared" si="5"/>
        <v>0</v>
      </c>
      <c r="AB49" s="92">
        <f t="shared" si="6"/>
        <v>126803.25</v>
      </c>
      <c r="AD49" s="133">
        <f t="shared" si="24"/>
        <v>-203336.25</v>
      </c>
      <c r="AE49" s="3">
        <f t="shared" si="8"/>
        <v>1</v>
      </c>
    </row>
    <row r="50" spans="9:31" x14ac:dyDescent="0.45">
      <c r="I50" s="20">
        <f t="shared" si="10"/>
        <v>44</v>
      </c>
      <c r="J50" s="63">
        <f t="shared" si="11"/>
        <v>142388.14397763947</v>
      </c>
      <c r="K50" s="79">
        <f t="shared" si="1"/>
        <v>628.93262270227319</v>
      </c>
      <c r="L50" s="63">
        <f t="shared" si="12"/>
        <v>-8712.2931747826897</v>
      </c>
      <c r="M50" s="80">
        <f t="shared" si="0"/>
        <v>134304.78342555906</v>
      </c>
      <c r="O50" s="20">
        <f t="shared" si="13"/>
        <v>44</v>
      </c>
      <c r="P50" s="54">
        <f t="shared" si="14"/>
        <v>22885.5</v>
      </c>
      <c r="Q50" s="63">
        <f t="shared" si="15"/>
        <v>40336.554043953955</v>
      </c>
      <c r="R50" s="77">
        <f t="shared" si="2"/>
        <v>-8712.2931747826897</v>
      </c>
      <c r="S50" s="63">
        <f t="shared" si="16"/>
        <v>-4728.75</v>
      </c>
      <c r="T50" s="63"/>
      <c r="U50" s="63">
        <f t="shared" si="17"/>
        <v>-2016.8277021976978</v>
      </c>
      <c r="V50" s="77">
        <f t="shared" si="20"/>
        <v>-249.16875000000002</v>
      </c>
      <c r="W50" s="83">
        <f t="shared" si="4"/>
        <v>24629.514416973569</v>
      </c>
      <c r="X50" s="85">
        <f t="shared" si="18"/>
        <v>1014941.6999718372</v>
      </c>
      <c r="Z50" s="92">
        <f t="shared" si="19"/>
        <v>119601</v>
      </c>
      <c r="AA50" s="5">
        <f t="shared" si="5"/>
        <v>0</v>
      </c>
      <c r="AB50" s="92">
        <f t="shared" si="6"/>
        <v>119601</v>
      </c>
      <c r="AD50" s="133">
        <f t="shared" si="24"/>
        <v>-208065</v>
      </c>
      <c r="AE50" s="3">
        <f t="shared" si="8"/>
        <v>1</v>
      </c>
    </row>
    <row r="51" spans="9:31" x14ac:dyDescent="0.45">
      <c r="I51" s="20">
        <f t="shared" si="10"/>
        <v>45</v>
      </c>
      <c r="J51" s="63">
        <f t="shared" si="11"/>
        <v>134304.78342555906</v>
      </c>
      <c r="K51" s="79">
        <f t="shared" si="1"/>
        <v>593.22818123510729</v>
      </c>
      <c r="L51" s="63">
        <f t="shared" si="12"/>
        <v>-8712.2931747826897</v>
      </c>
      <c r="M51" s="80">
        <f t="shared" si="0"/>
        <v>126185.71843201148</v>
      </c>
      <c r="O51" s="20">
        <f t="shared" si="13"/>
        <v>45</v>
      </c>
      <c r="P51" s="54">
        <f t="shared" si="14"/>
        <v>23405.625</v>
      </c>
      <c r="Q51" s="63">
        <f t="shared" si="15"/>
        <v>40336.554043953955</v>
      </c>
      <c r="R51" s="77">
        <f t="shared" si="2"/>
        <v>-8712.2931747826897</v>
      </c>
      <c r="S51" s="63">
        <f t="shared" si="16"/>
        <v>-4728.75</v>
      </c>
      <c r="T51" s="63"/>
      <c r="U51" s="63">
        <f t="shared" si="17"/>
        <v>-2016.8277021976978</v>
      </c>
      <c r="V51" s="77">
        <f t="shared" si="20"/>
        <v>-234.1640625</v>
      </c>
      <c r="W51" s="83">
        <f t="shared" si="4"/>
        <v>24644.519104473569</v>
      </c>
      <c r="X51" s="85">
        <f t="shared" si="18"/>
        <v>1039586.2190763108</v>
      </c>
      <c r="Z51" s="92">
        <f t="shared" si="19"/>
        <v>112398.75</v>
      </c>
      <c r="AA51" s="5">
        <f t="shared" si="5"/>
        <v>0</v>
      </c>
      <c r="AB51" s="92">
        <f t="shared" si="6"/>
        <v>112398.75</v>
      </c>
      <c r="AD51" s="133">
        <f t="shared" si="24"/>
        <v>-212793.75</v>
      </c>
      <c r="AE51" s="3">
        <f t="shared" si="8"/>
        <v>1</v>
      </c>
    </row>
    <row r="52" spans="9:31" x14ac:dyDescent="0.45">
      <c r="I52" s="20">
        <f t="shared" si="10"/>
        <v>46</v>
      </c>
      <c r="J52" s="63">
        <f t="shared" si="11"/>
        <v>126185.71843201148</v>
      </c>
      <c r="K52" s="79">
        <f t="shared" si="1"/>
        <v>557.36603219913138</v>
      </c>
      <c r="L52" s="63">
        <f t="shared" si="12"/>
        <v>-8712.2931747826897</v>
      </c>
      <c r="M52" s="80">
        <f t="shared" si="0"/>
        <v>118030.79128942791</v>
      </c>
      <c r="O52" s="20">
        <f t="shared" si="13"/>
        <v>46</v>
      </c>
      <c r="P52" s="54">
        <f t="shared" si="14"/>
        <v>23925.75</v>
      </c>
      <c r="Q52" s="63">
        <f t="shared" si="15"/>
        <v>40336.554043953955</v>
      </c>
      <c r="R52" s="77">
        <f t="shared" si="2"/>
        <v>-8712.2931747826897</v>
      </c>
      <c r="S52" s="63">
        <f t="shared" si="16"/>
        <v>-4728.75</v>
      </c>
      <c r="T52" s="63"/>
      <c r="U52" s="63">
        <f t="shared" si="17"/>
        <v>-2016.8277021976978</v>
      </c>
      <c r="V52" s="77">
        <f t="shared" si="20"/>
        <v>-219.15937500000004</v>
      </c>
      <c r="W52" s="83">
        <f t="shared" si="4"/>
        <v>24659.52379197357</v>
      </c>
      <c r="X52" s="85">
        <f t="shared" si="18"/>
        <v>1064245.7428682842</v>
      </c>
      <c r="Z52" s="92">
        <f t="shared" si="19"/>
        <v>105196.5</v>
      </c>
      <c r="AA52" s="5">
        <f t="shared" si="5"/>
        <v>0</v>
      </c>
      <c r="AB52" s="92">
        <f t="shared" si="6"/>
        <v>105196.5</v>
      </c>
      <c r="AD52" s="133">
        <f t="shared" si="24"/>
        <v>-217522.5</v>
      </c>
      <c r="AE52" s="3">
        <f t="shared" si="8"/>
        <v>1</v>
      </c>
    </row>
    <row r="53" spans="9:31" x14ac:dyDescent="0.45">
      <c r="I53" s="20">
        <f t="shared" si="10"/>
        <v>47</v>
      </c>
      <c r="J53" s="63">
        <f t="shared" si="11"/>
        <v>118030.79128942791</v>
      </c>
      <c r="K53" s="79">
        <f t="shared" si="1"/>
        <v>521.34547899537267</v>
      </c>
      <c r="L53" s="63">
        <f t="shared" si="12"/>
        <v>-8712.2931747826897</v>
      </c>
      <c r="M53" s="80">
        <f t="shared" si="0"/>
        <v>109839.84359364059</v>
      </c>
      <c r="O53" s="20">
        <f t="shared" si="13"/>
        <v>47</v>
      </c>
      <c r="P53" s="54">
        <f t="shared" si="14"/>
        <v>24445.875</v>
      </c>
      <c r="Q53" s="63">
        <f t="shared" si="15"/>
        <v>40336.554043953955</v>
      </c>
      <c r="R53" s="77">
        <f t="shared" si="2"/>
        <v>-8712.2931747826897</v>
      </c>
      <c r="S53" s="63">
        <f t="shared" si="16"/>
        <v>-4728.75</v>
      </c>
      <c r="T53" s="63"/>
      <c r="U53" s="63">
        <f t="shared" si="17"/>
        <v>-2016.8277021976978</v>
      </c>
      <c r="V53" s="77">
        <f t="shared" si="20"/>
        <v>-204.15468750000002</v>
      </c>
      <c r="W53" s="83">
        <f t="shared" si="4"/>
        <v>24674.528479473571</v>
      </c>
      <c r="X53" s="85">
        <f t="shared" si="18"/>
        <v>1088920.2713477579</v>
      </c>
      <c r="Z53" s="92">
        <f t="shared" si="19"/>
        <v>97994.25</v>
      </c>
      <c r="AA53" s="5">
        <f t="shared" si="5"/>
        <v>0</v>
      </c>
      <c r="AB53" s="92">
        <f t="shared" si="6"/>
        <v>97994.25</v>
      </c>
      <c r="AD53" s="133">
        <f t="shared" si="24"/>
        <v>-222251.25</v>
      </c>
      <c r="AE53" s="3">
        <f t="shared" si="8"/>
        <v>1</v>
      </c>
    </row>
    <row r="54" spans="9:31" x14ac:dyDescent="0.45">
      <c r="I54" s="20">
        <f t="shared" si="10"/>
        <v>48</v>
      </c>
      <c r="J54" s="63">
        <f t="shared" si="11"/>
        <v>109839.84359364059</v>
      </c>
      <c r="K54" s="79">
        <f t="shared" si="1"/>
        <v>485.16582194795956</v>
      </c>
      <c r="L54" s="63">
        <f t="shared" si="12"/>
        <v>-8712.2931747826897</v>
      </c>
      <c r="M54" s="80">
        <f t="shared" si="0"/>
        <v>101612.71624080585</v>
      </c>
      <c r="O54" s="20">
        <f t="shared" si="13"/>
        <v>48</v>
      </c>
      <c r="P54" s="54">
        <f t="shared" si="14"/>
        <v>24966</v>
      </c>
      <c r="Q54" s="63">
        <f t="shared" si="15"/>
        <v>40336.554043953955</v>
      </c>
      <c r="R54" s="77">
        <f t="shared" si="2"/>
        <v>-8712.2931747826897</v>
      </c>
      <c r="S54" s="63">
        <f t="shared" si="16"/>
        <v>-4728.75</v>
      </c>
      <c r="T54" s="63">
        <f t="shared" ref="T54:T59" si="25">-T68*0.5</f>
        <v>-54562.5</v>
      </c>
      <c r="U54" s="63">
        <f t="shared" si="17"/>
        <v>-2016.8277021976978</v>
      </c>
      <c r="V54" s="77">
        <f t="shared" si="20"/>
        <v>-189.15</v>
      </c>
      <c r="W54" s="83">
        <f t="shared" si="4"/>
        <v>-29872.966833026432</v>
      </c>
      <c r="X54" s="85">
        <f t="shared" si="18"/>
        <v>1059047.3045147315</v>
      </c>
      <c r="Z54" s="92">
        <f t="shared" si="19"/>
        <v>90792</v>
      </c>
      <c r="AA54" s="5">
        <f t="shared" si="5"/>
        <v>0</v>
      </c>
      <c r="AB54" s="92">
        <f t="shared" si="6"/>
        <v>90792</v>
      </c>
      <c r="AD54" s="133">
        <f t="shared" si="24"/>
        <v>-226980</v>
      </c>
      <c r="AE54" s="3">
        <f t="shared" si="8"/>
        <v>1</v>
      </c>
    </row>
    <row r="55" spans="9:31" x14ac:dyDescent="0.45">
      <c r="I55" s="20">
        <f t="shared" si="10"/>
        <v>49</v>
      </c>
      <c r="J55" s="63">
        <f t="shared" si="11"/>
        <v>101612.71624080585</v>
      </c>
      <c r="K55" s="79">
        <f>J55*$C$8*30.44/365.25</f>
        <v>448.8263582905322</v>
      </c>
      <c r="L55" s="63">
        <f t="shared" si="12"/>
        <v>-8712.2931747826897</v>
      </c>
      <c r="M55" s="80">
        <f t="shared" si="0"/>
        <v>93349.24942431369</v>
      </c>
      <c r="O55" s="20">
        <f t="shared" si="13"/>
        <v>49</v>
      </c>
      <c r="P55" s="54">
        <f t="shared" si="14"/>
        <v>25486.125</v>
      </c>
      <c r="Q55" s="63">
        <f t="shared" si="15"/>
        <v>40336.554043953955</v>
      </c>
      <c r="R55" s="77">
        <f t="shared" si="2"/>
        <v>-8712.2931747826897</v>
      </c>
      <c r="S55" s="63">
        <f t="shared" si="16"/>
        <v>-4728.75</v>
      </c>
      <c r="T55" s="63">
        <f t="shared" si="25"/>
        <v>0</v>
      </c>
      <c r="U55" s="63">
        <f t="shared" si="17"/>
        <v>-2016.8277021976978</v>
      </c>
      <c r="V55" s="77">
        <f t="shared" si="20"/>
        <v>-174.14531250000002</v>
      </c>
      <c r="W55" s="83">
        <f t="shared" si="4"/>
        <v>24704.537854473569</v>
      </c>
      <c r="X55" s="85">
        <f t="shared" si="18"/>
        <v>1083751.8423692051</v>
      </c>
      <c r="Z55" s="92">
        <f t="shared" si="19"/>
        <v>83589.75</v>
      </c>
      <c r="AA55" s="5">
        <f t="shared" si="5"/>
        <v>0</v>
      </c>
      <c r="AB55" s="92">
        <f t="shared" si="6"/>
        <v>83589.75</v>
      </c>
      <c r="AD55" s="133">
        <f t="shared" si="24"/>
        <v>-231708.75</v>
      </c>
      <c r="AE55" s="3">
        <f t="shared" si="8"/>
        <v>1</v>
      </c>
    </row>
    <row r="56" spans="9:31" x14ac:dyDescent="0.45">
      <c r="I56" s="20">
        <f t="shared" si="10"/>
        <v>50</v>
      </c>
      <c r="J56" s="63">
        <f t="shared" si="11"/>
        <v>93349.24942431369</v>
      </c>
      <c r="K56" s="79">
        <f>J56*$C$8*30.44/365.25</f>
        <v>412.32638215259078</v>
      </c>
      <c r="L56" s="63">
        <f t="shared" si="12"/>
        <v>-8712.2931747826897</v>
      </c>
      <c r="M56" s="80">
        <f t="shared" si="0"/>
        <v>85049.282631683585</v>
      </c>
      <c r="O56" s="20">
        <f t="shared" si="13"/>
        <v>50</v>
      </c>
      <c r="P56" s="54">
        <f t="shared" si="14"/>
        <v>26006.25</v>
      </c>
      <c r="Q56" s="63">
        <f t="shared" si="15"/>
        <v>40336.554043953955</v>
      </c>
      <c r="R56" s="77">
        <f t="shared" si="2"/>
        <v>-8712.2931747826897</v>
      </c>
      <c r="S56" s="63">
        <f t="shared" si="16"/>
        <v>-4728.75</v>
      </c>
      <c r="T56" s="63">
        <f t="shared" si="25"/>
        <v>0</v>
      </c>
      <c r="U56" s="63">
        <f t="shared" si="17"/>
        <v>-2016.8277021976978</v>
      </c>
      <c r="V56" s="77">
        <f t="shared" si="20"/>
        <v>-159.140625</v>
      </c>
      <c r="W56" s="83">
        <f t="shared" si="4"/>
        <v>24719.542541973569</v>
      </c>
      <c r="X56" s="85">
        <f t="shared" si="18"/>
        <v>1108471.3849111786</v>
      </c>
      <c r="Z56" s="92">
        <f t="shared" si="19"/>
        <v>76387.5</v>
      </c>
      <c r="AA56" s="5">
        <f t="shared" si="5"/>
        <v>0</v>
      </c>
      <c r="AB56" s="92">
        <f t="shared" si="6"/>
        <v>76387.5</v>
      </c>
      <c r="AD56" s="133">
        <f t="shared" si="24"/>
        <v>-236437.5</v>
      </c>
      <c r="AE56" s="3">
        <f t="shared" si="8"/>
        <v>1</v>
      </c>
    </row>
    <row r="57" spans="9:31" x14ac:dyDescent="0.45">
      <c r="I57" s="20">
        <f t="shared" si="10"/>
        <v>51</v>
      </c>
      <c r="J57" s="63">
        <f t="shared" si="11"/>
        <v>85049.282631683585</v>
      </c>
      <c r="K57" s="79">
        <f t="shared" ref="K57:K66" si="26">J57*$C$8*30.44/365.25</f>
        <v>375.66518454578448</v>
      </c>
      <c r="L57" s="63">
        <f t="shared" si="12"/>
        <v>-8712.2931747826897</v>
      </c>
      <c r="M57" s="80">
        <f t="shared" si="0"/>
        <v>76712.654641446672</v>
      </c>
      <c r="O57" s="20">
        <f t="shared" si="13"/>
        <v>51</v>
      </c>
      <c r="P57" s="54">
        <f t="shared" si="14"/>
        <v>26526.375</v>
      </c>
      <c r="Q57" s="63">
        <f t="shared" si="15"/>
        <v>40336.554043953955</v>
      </c>
      <c r="R57" s="77">
        <f t="shared" si="2"/>
        <v>-8712.2931747826897</v>
      </c>
      <c r="S57" s="63">
        <f t="shared" si="16"/>
        <v>-4728.75</v>
      </c>
      <c r="T57" s="63">
        <f t="shared" si="25"/>
        <v>0</v>
      </c>
      <c r="U57" s="63">
        <f t="shared" si="17"/>
        <v>-2016.8277021976978</v>
      </c>
      <c r="V57" s="77">
        <f t="shared" si="20"/>
        <v>-144.13593750000001</v>
      </c>
      <c r="W57" s="83">
        <f t="shared" si="4"/>
        <v>24734.54722947357</v>
      </c>
      <c r="X57" s="85">
        <f t="shared" si="18"/>
        <v>1133205.9321406521</v>
      </c>
      <c r="Z57" s="92">
        <f t="shared" si="19"/>
        <v>69185.25</v>
      </c>
      <c r="AA57" s="5">
        <f t="shared" si="5"/>
        <v>0</v>
      </c>
      <c r="AB57" s="92">
        <f t="shared" si="6"/>
        <v>69185.25</v>
      </c>
      <c r="AD57" s="133">
        <f t="shared" si="24"/>
        <v>-241166.25</v>
      </c>
      <c r="AE57" s="3">
        <f t="shared" si="8"/>
        <v>1</v>
      </c>
    </row>
    <row r="58" spans="9:31" x14ac:dyDescent="0.45">
      <c r="I58" s="20">
        <f t="shared" si="10"/>
        <v>52</v>
      </c>
      <c r="J58" s="63">
        <f t="shared" si="11"/>
        <v>76712.654641446672</v>
      </c>
      <c r="K58" s="79">
        <f t="shared" si="26"/>
        <v>338.8420533501403</v>
      </c>
      <c r="L58" s="63">
        <f t="shared" si="12"/>
        <v>-8712.2931747826897</v>
      </c>
      <c r="M58" s="80">
        <f t="shared" si="0"/>
        <v>68339.203520014111</v>
      </c>
      <c r="O58" s="20">
        <f t="shared" si="13"/>
        <v>52</v>
      </c>
      <c r="P58" s="54">
        <f t="shared" si="14"/>
        <v>27046.5</v>
      </c>
      <c r="Q58" s="63">
        <f t="shared" si="15"/>
        <v>40336.554043953955</v>
      </c>
      <c r="R58" s="77">
        <f t="shared" si="2"/>
        <v>-8712.2931747826897</v>
      </c>
      <c r="S58" s="63">
        <f t="shared" si="16"/>
        <v>-4728.75</v>
      </c>
      <c r="T58" s="63">
        <f t="shared" si="25"/>
        <v>0</v>
      </c>
      <c r="U58" s="63">
        <f t="shared" si="17"/>
        <v>-2016.8277021976978</v>
      </c>
      <c r="V58" s="77">
        <f t="shared" si="20"/>
        <v>-129.13124999999999</v>
      </c>
      <c r="W58" s="83">
        <f t="shared" si="4"/>
        <v>24749.551916973571</v>
      </c>
      <c r="X58" s="85">
        <f t="shared" si="18"/>
        <v>1157955.4840576258</v>
      </c>
      <c r="Z58" s="92">
        <f t="shared" si="19"/>
        <v>61983</v>
      </c>
      <c r="AA58" s="5">
        <f t="shared" si="5"/>
        <v>0</v>
      </c>
      <c r="AB58" s="92">
        <f t="shared" si="6"/>
        <v>61983</v>
      </c>
      <c r="AD58" s="133">
        <f t="shared" si="24"/>
        <v>-245895</v>
      </c>
      <c r="AE58" s="3">
        <f t="shared" si="8"/>
        <v>1</v>
      </c>
    </row>
    <row r="59" spans="9:31" x14ac:dyDescent="0.45">
      <c r="I59" s="20">
        <f t="shared" si="10"/>
        <v>53</v>
      </c>
      <c r="J59" s="63">
        <f t="shared" si="11"/>
        <v>68339.203520014111</v>
      </c>
      <c r="K59" s="79">
        <f t="shared" si="26"/>
        <v>301.85627330023044</v>
      </c>
      <c r="L59" s="63">
        <f t="shared" si="12"/>
        <v>-8712.2931747826897</v>
      </c>
      <c r="M59" s="80">
        <f t="shared" si="0"/>
        <v>59928.766618531656</v>
      </c>
      <c r="O59" s="20">
        <f t="shared" si="13"/>
        <v>53</v>
      </c>
      <c r="P59" s="54">
        <f t="shared" si="14"/>
        <v>27566.625</v>
      </c>
      <c r="Q59" s="63">
        <f t="shared" si="15"/>
        <v>40336.554043953955</v>
      </c>
      <c r="R59" s="77">
        <f t="shared" si="2"/>
        <v>-8712.2931747826897</v>
      </c>
      <c r="S59" s="63">
        <f t="shared" si="16"/>
        <v>-4728.75</v>
      </c>
      <c r="T59" s="63">
        <f t="shared" si="25"/>
        <v>0</v>
      </c>
      <c r="U59" s="63">
        <f t="shared" si="17"/>
        <v>-2016.8277021976978</v>
      </c>
      <c r="V59" s="77">
        <f t="shared" si="20"/>
        <v>-114.12656250000002</v>
      </c>
      <c r="W59" s="83">
        <f t="shared" si="4"/>
        <v>24764.556604473568</v>
      </c>
      <c r="X59" s="85">
        <f t="shared" si="18"/>
        <v>1182720.0406620994</v>
      </c>
      <c r="Z59" s="92">
        <f t="shared" si="19"/>
        <v>54780.75</v>
      </c>
      <c r="AA59" s="5">
        <f t="shared" si="5"/>
        <v>0</v>
      </c>
      <c r="AB59" s="92">
        <f t="shared" si="6"/>
        <v>54780.75</v>
      </c>
      <c r="AD59" s="133">
        <f t="shared" si="24"/>
        <v>-250623.75</v>
      </c>
      <c r="AE59" s="3">
        <f t="shared" si="8"/>
        <v>1</v>
      </c>
    </row>
    <row r="60" spans="9:31" x14ac:dyDescent="0.45">
      <c r="I60" s="20">
        <f t="shared" si="10"/>
        <v>54</v>
      </c>
      <c r="J60" s="63">
        <f t="shared" si="11"/>
        <v>59928.766618531656</v>
      </c>
      <c r="K60" s="79">
        <f t="shared" si="26"/>
        <v>264.70712597127857</v>
      </c>
      <c r="L60" s="63">
        <f t="shared" si="12"/>
        <v>-8712.2931747826897</v>
      </c>
      <c r="M60" s="80">
        <f t="shared" si="0"/>
        <v>51481.180569720244</v>
      </c>
      <c r="O60" s="20">
        <f t="shared" si="13"/>
        <v>54</v>
      </c>
      <c r="P60" s="54">
        <f t="shared" si="14"/>
        <v>28086.75</v>
      </c>
      <c r="Q60" s="63">
        <f t="shared" si="15"/>
        <v>40336.554043953955</v>
      </c>
      <c r="R60" s="77">
        <f t="shared" si="2"/>
        <v>-8712.2931747826897</v>
      </c>
      <c r="S60" s="63">
        <f t="shared" si="16"/>
        <v>-4728.75</v>
      </c>
      <c r="T60" s="63"/>
      <c r="U60" s="63">
        <f t="shared" si="17"/>
        <v>-2016.8277021976978</v>
      </c>
      <c r="V60" s="77">
        <f t="shared" si="20"/>
        <v>-99.121875000000003</v>
      </c>
      <c r="W60" s="83">
        <f t="shared" si="4"/>
        <v>24779.561291973569</v>
      </c>
      <c r="X60" s="85">
        <f t="shared" si="18"/>
        <v>1207499.6019540729</v>
      </c>
      <c r="Z60" s="92">
        <f t="shared" si="19"/>
        <v>47578.5</v>
      </c>
      <c r="AA60" s="5">
        <f t="shared" si="5"/>
        <v>0</v>
      </c>
      <c r="AB60" s="92">
        <f t="shared" si="6"/>
        <v>47578.5</v>
      </c>
      <c r="AD60" s="133">
        <f t="shared" si="24"/>
        <v>-255352.5</v>
      </c>
      <c r="AE60" s="3">
        <f t="shared" si="8"/>
        <v>1</v>
      </c>
    </row>
    <row r="61" spans="9:31" x14ac:dyDescent="0.45">
      <c r="I61" s="20">
        <f t="shared" si="10"/>
        <v>55</v>
      </c>
      <c r="J61" s="63">
        <f t="shared" si="11"/>
        <v>51481.180569720244</v>
      </c>
      <c r="K61" s="79">
        <f t="shared" si="26"/>
        <v>227.39388976520485</v>
      </c>
      <c r="L61" s="63">
        <f t="shared" si="12"/>
        <v>-8712.2931747826897</v>
      </c>
      <c r="M61" s="80">
        <f t="shared" si="0"/>
        <v>42996.28128470276</v>
      </c>
      <c r="O61" s="20">
        <f t="shared" si="13"/>
        <v>55</v>
      </c>
      <c r="P61" s="54">
        <f t="shared" si="14"/>
        <v>28606.875</v>
      </c>
      <c r="Q61" s="63">
        <f t="shared" si="15"/>
        <v>40336.554043953955</v>
      </c>
      <c r="R61" s="77">
        <f t="shared" si="2"/>
        <v>-8712.2931747826897</v>
      </c>
      <c r="S61" s="63">
        <f t="shared" si="16"/>
        <v>-4728.75</v>
      </c>
      <c r="T61" s="63">
        <f>-T75*0.5</f>
        <v>0</v>
      </c>
      <c r="U61" s="63">
        <f t="shared" si="17"/>
        <v>-2016.8277021976978</v>
      </c>
      <c r="V61" s="77">
        <f t="shared" si="20"/>
        <v>-84.1171875</v>
      </c>
      <c r="W61" s="83">
        <f t="shared" si="4"/>
        <v>24794.565979473569</v>
      </c>
      <c r="X61" s="85">
        <f t="shared" si="18"/>
        <v>1232294.1679335465</v>
      </c>
      <c r="Z61" s="92">
        <f t="shared" si="19"/>
        <v>40376.25</v>
      </c>
      <c r="AA61" s="5">
        <f t="shared" si="5"/>
        <v>0</v>
      </c>
      <c r="AB61" s="92">
        <f t="shared" si="6"/>
        <v>40376.25</v>
      </c>
      <c r="AD61" s="133">
        <f t="shared" si="24"/>
        <v>-260081.25</v>
      </c>
      <c r="AE61" s="3">
        <f t="shared" si="8"/>
        <v>1</v>
      </c>
    </row>
    <row r="62" spans="9:31" x14ac:dyDescent="0.45">
      <c r="I62" s="20">
        <f t="shared" si="10"/>
        <v>56</v>
      </c>
      <c r="J62" s="63">
        <f t="shared" si="11"/>
        <v>42996.28128470276</v>
      </c>
      <c r="K62" s="79">
        <f t="shared" si="26"/>
        <v>189.91583989660958</v>
      </c>
      <c r="L62" s="63">
        <f t="shared" si="12"/>
        <v>-8712.2931747826897</v>
      </c>
      <c r="M62" s="80">
        <f t="shared" si="0"/>
        <v>34473.903949816682</v>
      </c>
      <c r="O62" s="20">
        <f t="shared" si="13"/>
        <v>56</v>
      </c>
      <c r="P62" s="54">
        <f t="shared" si="14"/>
        <v>29127</v>
      </c>
      <c r="Q62" s="63">
        <f t="shared" si="15"/>
        <v>40336.554043953955</v>
      </c>
      <c r="R62" s="77">
        <f t="shared" si="2"/>
        <v>-8712.2931747826897</v>
      </c>
      <c r="S62" s="63">
        <f t="shared" si="16"/>
        <v>-4728.75</v>
      </c>
      <c r="T62" s="63">
        <f>-T76*0.5</f>
        <v>0</v>
      </c>
      <c r="U62" s="63">
        <f t="shared" si="17"/>
        <v>-2016.8277021976978</v>
      </c>
      <c r="V62" s="77">
        <f t="shared" si="20"/>
        <v>-69.112499999999997</v>
      </c>
      <c r="W62" s="83">
        <f t="shared" si="4"/>
        <v>24809.57066697357</v>
      </c>
      <c r="X62" s="85">
        <f t="shared" si="18"/>
        <v>1257103.73860052</v>
      </c>
      <c r="Z62" s="92">
        <f t="shared" si="19"/>
        <v>33174</v>
      </c>
      <c r="AA62" s="5">
        <f t="shared" si="5"/>
        <v>0</v>
      </c>
      <c r="AB62" s="92">
        <f t="shared" si="6"/>
        <v>33174</v>
      </c>
      <c r="AD62" s="133">
        <f t="shared" si="24"/>
        <v>-264810</v>
      </c>
      <c r="AE62" s="3">
        <f t="shared" si="8"/>
        <v>1</v>
      </c>
    </row>
    <row r="63" spans="9:31" x14ac:dyDescent="0.45">
      <c r="I63" s="20">
        <f t="shared" si="10"/>
        <v>57</v>
      </c>
      <c r="J63" s="63">
        <f t="shared" si="11"/>
        <v>34473.903949816682</v>
      </c>
      <c r="K63" s="79">
        <f t="shared" si="26"/>
        <v>152.27224837869471</v>
      </c>
      <c r="L63" s="63">
        <f t="shared" si="12"/>
        <v>-8712.2931747826897</v>
      </c>
      <c r="M63" s="80">
        <f t="shared" si="0"/>
        <v>25913.883023412687</v>
      </c>
      <c r="O63" s="20">
        <f t="shared" si="13"/>
        <v>57</v>
      </c>
      <c r="P63" s="54">
        <f t="shared" si="14"/>
        <v>29647.125</v>
      </c>
      <c r="Q63" s="63">
        <f t="shared" si="15"/>
        <v>40336.554043953955</v>
      </c>
      <c r="R63" s="77">
        <f t="shared" si="2"/>
        <v>-8712.2931747826897</v>
      </c>
      <c r="S63" s="63">
        <f>+S61</f>
        <v>-4728.75</v>
      </c>
      <c r="T63" s="63">
        <f>-T76*0.5</f>
        <v>0</v>
      </c>
      <c r="U63" s="63">
        <f>U61</f>
        <v>-2016.8277021976978</v>
      </c>
      <c r="V63" s="77">
        <f t="shared" si="20"/>
        <v>-54.107812500000001</v>
      </c>
      <c r="W63" s="83">
        <f t="shared" si="4"/>
        <v>24824.575354473571</v>
      </c>
      <c r="X63" s="85">
        <f>X61+W63</f>
        <v>1257118.7432880201</v>
      </c>
      <c r="Z63" s="92">
        <f t="shared" si="19"/>
        <v>25971.75</v>
      </c>
      <c r="AA63" s="5">
        <f t="shared" si="5"/>
        <v>0</v>
      </c>
      <c r="AB63" s="92">
        <f t="shared" si="6"/>
        <v>25971.75</v>
      </c>
      <c r="AD63" s="133">
        <f>IF(AD61=0,0,IF(+S63+AD61&lt;-$S$68,0,+S63+AD61))</f>
        <v>-264810</v>
      </c>
      <c r="AE63" s="3">
        <f t="shared" si="8"/>
        <v>1</v>
      </c>
    </row>
    <row r="64" spans="9:31" x14ac:dyDescent="0.45">
      <c r="I64" s="20">
        <f t="shared" si="10"/>
        <v>58</v>
      </c>
      <c r="J64" s="63">
        <f t="shared" si="11"/>
        <v>25913.883023412687</v>
      </c>
      <c r="K64" s="79">
        <f t="shared" si="26"/>
        <v>114.46238400912296</v>
      </c>
      <c r="L64" s="63">
        <f t="shared" si="12"/>
        <v>-8712.2931747826897</v>
      </c>
      <c r="M64" s="80">
        <f t="shared" si="0"/>
        <v>17316.052232639122</v>
      </c>
      <c r="O64" s="20">
        <f t="shared" si="13"/>
        <v>58</v>
      </c>
      <c r="P64" s="54">
        <f t="shared" si="14"/>
        <v>30167.25</v>
      </c>
      <c r="Q64" s="63">
        <f t="shared" si="15"/>
        <v>40336.554043953955</v>
      </c>
      <c r="R64" s="77">
        <f t="shared" si="2"/>
        <v>-8712.2931747826897</v>
      </c>
      <c r="S64" s="63">
        <f>+S61</f>
        <v>-4728.75</v>
      </c>
      <c r="T64" s="63">
        <f>-T76*0.5</f>
        <v>0</v>
      </c>
      <c r="U64" s="63">
        <f>U61</f>
        <v>-2016.8277021976978</v>
      </c>
      <c r="V64" s="77">
        <f t="shared" si="20"/>
        <v>-39.103124999999999</v>
      </c>
      <c r="W64" s="83">
        <f t="shared" si="4"/>
        <v>24839.580041973568</v>
      </c>
      <c r="X64" s="85">
        <f>X61+W64</f>
        <v>1257133.7479755201</v>
      </c>
      <c r="Z64" s="92">
        <f t="shared" si="19"/>
        <v>18769.5</v>
      </c>
      <c r="AA64" s="5">
        <f t="shared" si="5"/>
        <v>0</v>
      </c>
      <c r="AB64" s="92">
        <f t="shared" si="6"/>
        <v>18769.5</v>
      </c>
      <c r="AD64" s="133">
        <f>IF(AD61=0,0,IF(+S64+AD61&lt;-$S$68,0,+S64+AD61))</f>
        <v>-264810</v>
      </c>
      <c r="AE64" s="3">
        <f t="shared" si="8"/>
        <v>1</v>
      </c>
    </row>
    <row r="65" spans="1:31" x14ac:dyDescent="0.45">
      <c r="I65" s="20">
        <f t="shared" si="10"/>
        <v>59</v>
      </c>
      <c r="J65" s="63">
        <f t="shared" si="11"/>
        <v>17316.052232639122</v>
      </c>
      <c r="K65" s="79">
        <f t="shared" si="26"/>
        <v>76.485512355814777</v>
      </c>
      <c r="L65" s="63">
        <f t="shared" si="12"/>
        <v>-8712.2931747826897</v>
      </c>
      <c r="M65" s="80">
        <f t="shared" si="0"/>
        <v>8680.2445702122477</v>
      </c>
      <c r="O65" s="20">
        <f t="shared" si="13"/>
        <v>59</v>
      </c>
      <c r="P65" s="54">
        <f t="shared" si="14"/>
        <v>30687.375</v>
      </c>
      <c r="Q65" s="63">
        <f t="shared" si="15"/>
        <v>40336.554043953955</v>
      </c>
      <c r="R65" s="77">
        <f t="shared" si="2"/>
        <v>-8712.2931747826897</v>
      </c>
      <c r="S65" s="63">
        <f>+S62</f>
        <v>-4728.75</v>
      </c>
      <c r="T65" s="63">
        <f>-T77*0.5</f>
        <v>0</v>
      </c>
      <c r="U65" s="63">
        <f>U62</f>
        <v>-2016.8277021976978</v>
      </c>
      <c r="V65" s="77">
        <f t="shared" si="20"/>
        <v>-24.098437500000003</v>
      </c>
      <c r="W65" s="83">
        <f t="shared" si="4"/>
        <v>24854.584729473569</v>
      </c>
      <c r="X65" s="85">
        <f>X62+W65</f>
        <v>1281958.3233299935</v>
      </c>
      <c r="Z65" s="92">
        <f t="shared" si="19"/>
        <v>11567.25</v>
      </c>
      <c r="AA65" s="5">
        <f t="shared" si="5"/>
        <v>0</v>
      </c>
      <c r="AB65" s="92">
        <f t="shared" si="6"/>
        <v>11567.25</v>
      </c>
      <c r="AD65" s="133">
        <f>IF(AD62=0,0,IF(+S65+AD62&lt;-$S$68,0,+S65+AD62))</f>
        <v>-269538.75</v>
      </c>
      <c r="AE65" s="3">
        <f t="shared" si="8"/>
        <v>1</v>
      </c>
    </row>
    <row r="66" spans="1:31" ht="14.65" thickBot="1" x14ac:dyDescent="0.5">
      <c r="I66" s="20">
        <f t="shared" si="10"/>
        <v>60</v>
      </c>
      <c r="J66" s="63">
        <f t="shared" si="11"/>
        <v>8680.2445702122477</v>
      </c>
      <c r="K66" s="79">
        <f t="shared" si="26"/>
        <v>38.340895742682612</v>
      </c>
      <c r="L66" s="63">
        <f t="shared" si="12"/>
        <v>-8712.2931747826897</v>
      </c>
      <c r="M66" s="80">
        <f t="shared" si="0"/>
        <v>6.2922911722398567</v>
      </c>
      <c r="O66" s="20">
        <f t="shared" si="13"/>
        <v>60</v>
      </c>
      <c r="P66" s="54">
        <f t="shared" si="14"/>
        <v>31207.5</v>
      </c>
      <c r="Q66" s="63">
        <f t="shared" si="15"/>
        <v>40336.554043953955</v>
      </c>
      <c r="R66" s="77">
        <f t="shared" si="2"/>
        <v>-8712.2931747826897</v>
      </c>
      <c r="S66" s="63">
        <f>+S62</f>
        <v>-4728.75</v>
      </c>
      <c r="T66" s="63">
        <f>-T77*0.5</f>
        <v>0</v>
      </c>
      <c r="U66" s="63">
        <f>U62</f>
        <v>-2016.8277021976978</v>
      </c>
      <c r="V66" s="77">
        <f t="shared" si="20"/>
        <v>-9.09375</v>
      </c>
      <c r="W66" s="83">
        <f t="shared" si="4"/>
        <v>24869.589416973569</v>
      </c>
      <c r="X66" s="85">
        <f>X62+W66</f>
        <v>1281973.3280174935</v>
      </c>
      <c r="Z66" s="92">
        <f t="shared" si="19"/>
        <v>4365</v>
      </c>
      <c r="AA66" s="5">
        <f t="shared" si="5"/>
        <v>0</v>
      </c>
      <c r="AB66" s="92">
        <f t="shared" si="6"/>
        <v>4365</v>
      </c>
      <c r="AD66" s="133">
        <f>IF(AD62=0,0,IF(+S66+AD62&lt;-$S$68,0,+S66+AD62))</f>
        <v>-269538.75</v>
      </c>
      <c r="AE66" s="3">
        <f t="shared" si="8"/>
        <v>1</v>
      </c>
    </row>
    <row r="67" spans="1:31" ht="14.65" thickBot="1" x14ac:dyDescent="0.5">
      <c r="I67" s="21" t="s">
        <v>20</v>
      </c>
      <c r="J67" s="69">
        <f>C7*C11</f>
        <v>4583.25</v>
      </c>
      <c r="K67" s="69">
        <f>SUM(K7:K54)</f>
        <v>61477.788630375333</v>
      </c>
      <c r="L67" s="81"/>
      <c r="M67" s="82"/>
      <c r="O67" s="58"/>
      <c r="P67" s="59"/>
      <c r="Q67" s="69">
        <f t="shared" ref="Q67:V67" si="27">SUM(Q7:Q54)</f>
        <v>1936154.5941097916</v>
      </c>
      <c r="R67" s="69">
        <f t="shared" si="27"/>
        <v>-418190.07238956937</v>
      </c>
      <c r="S67" s="87">
        <f t="shared" si="27"/>
        <v>-226980</v>
      </c>
      <c r="T67" s="87">
        <f t="shared" si="27"/>
        <v>-109125</v>
      </c>
      <c r="U67" s="69">
        <f t="shared" si="27"/>
        <v>-96807.729705489488</v>
      </c>
      <c r="V67" s="69">
        <f t="shared" si="27"/>
        <v>-26004.487499999999</v>
      </c>
      <c r="W67" s="88"/>
      <c r="X67" s="82"/>
    </row>
    <row r="68" spans="1:31" x14ac:dyDescent="0.45">
      <c r="Q68" s="89">
        <f>+SUM(Q67:V67)</f>
        <v>1059047.3045147327</v>
      </c>
      <c r="R68" s="89"/>
      <c r="S68" s="90">
        <f>D31</f>
        <v>283725</v>
      </c>
      <c r="T68" s="60">
        <f>D32</f>
        <v>109125</v>
      </c>
      <c r="U68" s="89"/>
      <c r="V68" s="89"/>
      <c r="W68" s="89"/>
      <c r="X68" s="89"/>
    </row>
    <row r="69" spans="1:31" ht="14.65" thickBot="1" x14ac:dyDescent="0.5">
      <c r="L69" s="129">
        <f>+PMT(C8/12,C12,(C7),,)</f>
        <v>-8712.2931747826897</v>
      </c>
      <c r="Q69" s="89"/>
      <c r="R69" s="89"/>
      <c r="S69" s="91">
        <f>S67+S68</f>
        <v>56745</v>
      </c>
      <c r="T69" s="66">
        <f>T67+T68</f>
        <v>0</v>
      </c>
      <c r="U69" s="89"/>
      <c r="V69" s="89"/>
      <c r="W69" s="89"/>
      <c r="X69" s="89"/>
    </row>
    <row r="70" spans="1:31" s="131" customFormat="1" ht="14.65" thickBot="1" x14ac:dyDescent="0.5"/>
    <row r="71" spans="1:31" s="177" customFormat="1" ht="31.15" thickBot="1" x14ac:dyDescent="0.5">
      <c r="A71" s="695" t="str">
        <f>+A3</f>
        <v>ATLAS T45</v>
      </c>
      <c r="B71" s="696"/>
      <c r="C71" s="697"/>
      <c r="D71" s="698" t="s">
        <v>2</v>
      </c>
      <c r="E71" s="699"/>
      <c r="F71" s="699"/>
      <c r="G71" s="699"/>
      <c r="H71" s="700"/>
      <c r="I71" s="700"/>
      <c r="J71" s="700"/>
      <c r="K71" s="700"/>
      <c r="L71" s="700"/>
      <c r="M71" s="700"/>
      <c r="N71" s="700"/>
      <c r="O71" s="700"/>
      <c r="P71" s="700"/>
      <c r="Q71" s="700"/>
      <c r="R71" s="700"/>
      <c r="S71" s="700"/>
      <c r="T71" s="700"/>
      <c r="U71" s="700"/>
      <c r="V71" s="700"/>
      <c r="W71" s="700"/>
      <c r="X71" s="701"/>
    </row>
    <row r="72" spans="1:31" s="177" customFormat="1" ht="28.9" thickBot="1" x14ac:dyDescent="0.5">
      <c r="C72" s="178"/>
      <c r="D72" s="178"/>
      <c r="E72" s="179" t="s">
        <v>77</v>
      </c>
      <c r="F72" s="179" t="s">
        <v>78</v>
      </c>
      <c r="G72" s="179" t="s">
        <v>79</v>
      </c>
      <c r="H72" s="178"/>
      <c r="I72" s="180"/>
      <c r="J72" s="178"/>
      <c r="K72" s="178"/>
      <c r="L72" s="178"/>
      <c r="M72" s="178"/>
      <c r="Q72" s="181">
        <f>+C81/C80*C82</f>
        <v>194.44444444444443</v>
      </c>
      <c r="U72" s="182">
        <v>0.05</v>
      </c>
    </row>
    <row r="73" spans="1:31" s="177" customFormat="1" ht="23.65" thickBot="1" x14ac:dyDescent="0.5">
      <c r="A73" s="708" t="s">
        <v>9</v>
      </c>
      <c r="B73" s="709"/>
      <c r="C73" s="710"/>
      <c r="D73" s="178"/>
      <c r="E73" s="183">
        <f>+'Summary Equip'!AL27</f>
        <v>0</v>
      </c>
      <c r="F73" s="183">
        <f>+'Summary Equip'!AM27</f>
        <v>0</v>
      </c>
      <c r="G73" s="183">
        <f>+'Summary Equip'!AN27</f>
        <v>0</v>
      </c>
      <c r="H73" s="178"/>
      <c r="I73" s="711" t="s">
        <v>34</v>
      </c>
      <c r="J73" s="712"/>
      <c r="K73" s="712"/>
      <c r="L73" s="712"/>
      <c r="M73" s="713"/>
      <c r="O73" s="711" t="s">
        <v>35</v>
      </c>
      <c r="P73" s="714"/>
      <c r="Q73" s="712"/>
      <c r="R73" s="712"/>
      <c r="S73" s="712"/>
      <c r="T73" s="712"/>
      <c r="U73" s="712"/>
      <c r="V73" s="712"/>
      <c r="W73" s="715"/>
      <c r="X73" s="716"/>
      <c r="AA73" s="184">
        <v>0</v>
      </c>
    </row>
    <row r="74" spans="1:31" s="177" customFormat="1" ht="28.9" thickBot="1" x14ac:dyDescent="0.5">
      <c r="A74" s="185" t="s">
        <v>0</v>
      </c>
      <c r="B74" s="186" t="s">
        <v>1</v>
      </c>
      <c r="C74" s="187" t="s">
        <v>10</v>
      </c>
      <c r="D74" s="178"/>
      <c r="E74" s="178"/>
      <c r="F74" s="178"/>
      <c r="G74" s="178"/>
      <c r="H74" s="178"/>
      <c r="I74" s="188" t="s">
        <v>15</v>
      </c>
      <c r="J74" s="189" t="s">
        <v>16</v>
      </c>
      <c r="K74" s="189" t="s">
        <v>17</v>
      </c>
      <c r="L74" s="189" t="s">
        <v>18</v>
      </c>
      <c r="M74" s="190" t="s">
        <v>19</v>
      </c>
      <c r="O74" s="188" t="s">
        <v>15</v>
      </c>
      <c r="P74" s="191" t="s">
        <v>39</v>
      </c>
      <c r="Q74" s="189" t="s">
        <v>36</v>
      </c>
      <c r="R74" s="189" t="s">
        <v>37</v>
      </c>
      <c r="S74" s="189" t="s">
        <v>27</v>
      </c>
      <c r="T74" s="189" t="s">
        <v>38</v>
      </c>
      <c r="U74" s="189" t="s">
        <v>7</v>
      </c>
      <c r="V74" s="189" t="s">
        <v>41</v>
      </c>
      <c r="W74" s="190" t="s">
        <v>40</v>
      </c>
      <c r="X74" s="192" t="s">
        <v>42</v>
      </c>
      <c r="Z74" s="193" t="s">
        <v>71</v>
      </c>
      <c r="AA74" s="193" t="s">
        <v>46</v>
      </c>
      <c r="AB74" s="193" t="s">
        <v>47</v>
      </c>
    </row>
    <row r="75" spans="1:31" s="177" customFormat="1" x14ac:dyDescent="0.45">
      <c r="A75" s="194">
        <v>1</v>
      </c>
      <c r="B75" s="195" t="s">
        <v>11</v>
      </c>
      <c r="C75" s="196">
        <f>+F79*(1+'Summary Equip'!$N$3)</f>
        <v>21825</v>
      </c>
      <c r="D75" s="197"/>
      <c r="E75" s="194" t="s">
        <v>61</v>
      </c>
      <c r="F75" s="198">
        <f>+IF(G73=1,'Summary Equip'!Q29,'Summary Equip'!J27)</f>
        <v>0</v>
      </c>
      <c r="G75" s="199"/>
      <c r="H75" s="178"/>
      <c r="I75" s="200">
        <v>1</v>
      </c>
      <c r="J75" s="201">
        <f>C75</f>
        <v>21825</v>
      </c>
      <c r="K75" s="201">
        <f>J75*$C$8*30.44/365.25</f>
        <v>96.401667351129348</v>
      </c>
      <c r="L75" s="201">
        <f>L125</f>
        <v>-657.05856440188245</v>
      </c>
      <c r="M75" s="202">
        <f t="shared" ref="M75:M122" si="28">J75+K75+L75</f>
        <v>21264.343102949246</v>
      </c>
      <c r="O75" s="200">
        <v>1</v>
      </c>
      <c r="P75" s="203">
        <f>Q72</f>
        <v>194.44444444444443</v>
      </c>
      <c r="Q75" s="201">
        <f t="shared" ref="Q75:Q110" si="29">$F$110+($Q$4*$G$42)</f>
        <v>36625.034885735404</v>
      </c>
      <c r="R75" s="201">
        <f>+L75</f>
        <v>-657.05856440188245</v>
      </c>
      <c r="S75" s="201">
        <f>-S124/C80</f>
        <v>0</v>
      </c>
      <c r="T75" s="201"/>
      <c r="U75" s="201">
        <f>-Q75*U72</f>
        <v>-1831.2517442867702</v>
      </c>
      <c r="V75" s="201">
        <f>-(AB75*$C$9/12)</f>
        <v>-894.37031250000007</v>
      </c>
      <c r="W75" s="204">
        <f>SUM(Q75:V75)</f>
        <v>33242.354264546753</v>
      </c>
      <c r="X75" s="205">
        <f>W75</f>
        <v>33242.354264546753</v>
      </c>
      <c r="Z75" s="206">
        <f>+$D$27-(($D$27+$D$28)*O75/$B$22)</f>
        <v>429297.75</v>
      </c>
      <c r="AA75" s="193">
        <f>+Z75*$AA$5</f>
        <v>0</v>
      </c>
      <c r="AB75" s="206">
        <f>+Z75+AA75</f>
        <v>429297.75</v>
      </c>
    </row>
    <row r="76" spans="1:31" s="177" customFormat="1" ht="28.5" x14ac:dyDescent="0.45">
      <c r="A76" s="207">
        <f>A75+1</f>
        <v>2</v>
      </c>
      <c r="B76" s="193" t="s">
        <v>3</v>
      </c>
      <c r="C76" s="208">
        <f>+C8</f>
        <v>5.2999999999999999E-2</v>
      </c>
      <c r="D76" s="178"/>
      <c r="E76" s="209" t="s">
        <v>64</v>
      </c>
      <c r="F76" s="210">
        <f>+'Summary Equip'!D27*(1-'ATLAS T45'!E73)</f>
        <v>0</v>
      </c>
      <c r="G76" s="211"/>
      <c r="H76" s="178"/>
      <c r="I76" s="212">
        <f>I75+1</f>
        <v>2</v>
      </c>
      <c r="J76" s="213">
        <f>M75</f>
        <v>21264.343102949246</v>
      </c>
      <c r="K76" s="213">
        <f t="shared" ref="K76:K110" si="30">J76*$C$8*30.44/365.25</f>
        <v>93.925229335660717</v>
      </c>
      <c r="L76" s="213">
        <f>L75</f>
        <v>-657.05856440188245</v>
      </c>
      <c r="M76" s="214">
        <f t="shared" si="28"/>
        <v>20701.209767883025</v>
      </c>
      <c r="O76" s="212">
        <f>O75+1</f>
        <v>2</v>
      </c>
      <c r="P76" s="215">
        <f>P75+$Q$4</f>
        <v>714.56944444444446</v>
      </c>
      <c r="Q76" s="201">
        <f t="shared" si="29"/>
        <v>36625.034885735404</v>
      </c>
      <c r="R76" s="201">
        <f t="shared" ref="R76:R122" si="31">+L76</f>
        <v>-657.05856440188245</v>
      </c>
      <c r="S76" s="213">
        <f>+S75</f>
        <v>0</v>
      </c>
      <c r="T76" s="213"/>
      <c r="U76" s="213">
        <f>U75</f>
        <v>-1831.2517442867702</v>
      </c>
      <c r="V76" s="201">
        <f t="shared" ref="V76:V82" si="32">-(AB76*$C$9/12)</f>
        <v>-879.36562500000002</v>
      </c>
      <c r="W76" s="204">
        <f t="shared" ref="W76:W122" si="33">SUM(Q76:V76)</f>
        <v>33257.358952046758</v>
      </c>
      <c r="X76" s="216">
        <f>X75+W76</f>
        <v>66499.713216593518</v>
      </c>
      <c r="Z76" s="206">
        <f>+$D$27-(($D$27+$D$28)*O76/$B$22)</f>
        <v>422095.5</v>
      </c>
      <c r="AA76" s="193">
        <f t="shared" ref="AA76:AA122" si="34">+Z76*$AA$5</f>
        <v>0</v>
      </c>
      <c r="AB76" s="206">
        <f t="shared" ref="AB76:AB122" si="35">+Z76+AA76</f>
        <v>422095.5</v>
      </c>
    </row>
    <row r="77" spans="1:31" s="177" customFormat="1" x14ac:dyDescent="0.45">
      <c r="A77" s="207">
        <f t="shared" ref="A77:A82" si="36">A76+1</f>
        <v>3</v>
      </c>
      <c r="B77" s="193" t="s">
        <v>4</v>
      </c>
      <c r="C77" s="208">
        <f>+C9</f>
        <v>2.5000000000000001E-2</v>
      </c>
      <c r="D77" s="178"/>
      <c r="E77" s="109" t="s">
        <v>69</v>
      </c>
      <c r="F77" s="149">
        <f>+F9</f>
        <v>21825</v>
      </c>
      <c r="G77" s="110"/>
      <c r="H77" s="178"/>
      <c r="I77" s="212">
        <f t="shared" ref="I77:I122" si="37">I76+1</f>
        <v>3</v>
      </c>
      <c r="J77" s="213">
        <f t="shared" ref="J77:J91" si="38">M76</f>
        <v>20701.209767883025</v>
      </c>
      <c r="K77" s="213">
        <f t="shared" si="30"/>
        <v>91.437852820591488</v>
      </c>
      <c r="L77" s="213">
        <f t="shared" ref="L77:L109" si="39">L76</f>
        <v>-657.05856440188245</v>
      </c>
      <c r="M77" s="214">
        <f t="shared" si="28"/>
        <v>20135.589056301735</v>
      </c>
      <c r="O77" s="212">
        <f t="shared" ref="O77:O122" si="40">O76+1</f>
        <v>3</v>
      </c>
      <c r="P77" s="215">
        <f t="shared" ref="P77:P122" si="41">P76+$Q$4</f>
        <v>1234.6944444444443</v>
      </c>
      <c r="Q77" s="201">
        <f t="shared" si="29"/>
        <v>36625.034885735404</v>
      </c>
      <c r="R77" s="201">
        <f t="shared" si="31"/>
        <v>-657.05856440188245</v>
      </c>
      <c r="S77" s="213">
        <f t="shared" ref="S77:S122" si="42">+S76</f>
        <v>0</v>
      </c>
      <c r="T77" s="213"/>
      <c r="U77" s="213">
        <f t="shared" ref="U77:U122" si="43">U76</f>
        <v>-1831.2517442867702</v>
      </c>
      <c r="V77" s="201">
        <f t="shared" si="32"/>
        <v>-864.36093750000009</v>
      </c>
      <c r="W77" s="204">
        <f t="shared" si="33"/>
        <v>33272.363639546755</v>
      </c>
      <c r="X77" s="216">
        <f t="shared" ref="X77:X122" si="44">X76+W77</f>
        <v>99772.07685614028</v>
      </c>
      <c r="Z77" s="206">
        <f t="shared" ref="Z77:Z122" si="45">+$D$27-(($D$27+$D$28)*O77/$B$22)</f>
        <v>414893.25</v>
      </c>
      <c r="AA77" s="193">
        <f t="shared" si="34"/>
        <v>0</v>
      </c>
      <c r="AB77" s="206">
        <f t="shared" si="35"/>
        <v>414893.25</v>
      </c>
    </row>
    <row r="78" spans="1:31" s="177" customFormat="1" ht="14.65" thickBot="1" x14ac:dyDescent="0.5">
      <c r="A78" s="207">
        <f t="shared" si="36"/>
        <v>4</v>
      </c>
      <c r="B78" s="193" t="s">
        <v>5</v>
      </c>
      <c r="C78" s="208">
        <f>+C10</f>
        <v>0.05</v>
      </c>
      <c r="D78" s="178"/>
      <c r="E78" s="111" t="s">
        <v>52</v>
      </c>
      <c r="F78" s="217">
        <f>(SUM(F75:F77)*G78)*(1-F73)</f>
        <v>0</v>
      </c>
      <c r="G78" s="218">
        <f>+G10</f>
        <v>0</v>
      </c>
      <c r="H78" s="178"/>
      <c r="I78" s="212">
        <f t="shared" si="37"/>
        <v>4</v>
      </c>
      <c r="J78" s="213">
        <f t="shared" si="38"/>
        <v>20135.589056301735</v>
      </c>
      <c r="K78" s="213">
        <f t="shared" si="30"/>
        <v>88.939489490246984</v>
      </c>
      <c r="L78" s="213">
        <f t="shared" si="39"/>
        <v>-657.05856440188245</v>
      </c>
      <c r="M78" s="214">
        <f t="shared" si="28"/>
        <v>19567.469981390099</v>
      </c>
      <c r="O78" s="212">
        <f t="shared" si="40"/>
        <v>4</v>
      </c>
      <c r="P78" s="215">
        <f t="shared" si="41"/>
        <v>1754.8194444444443</v>
      </c>
      <c r="Q78" s="201">
        <f t="shared" si="29"/>
        <v>36625.034885735404</v>
      </c>
      <c r="R78" s="201">
        <f t="shared" si="31"/>
        <v>-657.05856440188245</v>
      </c>
      <c r="S78" s="213">
        <f t="shared" si="42"/>
        <v>0</v>
      </c>
      <c r="T78" s="213"/>
      <c r="U78" s="213">
        <f t="shared" si="43"/>
        <v>-1831.2517442867702</v>
      </c>
      <c r="V78" s="201">
        <f t="shared" si="32"/>
        <v>-849.35625000000016</v>
      </c>
      <c r="W78" s="204">
        <f t="shared" si="33"/>
        <v>33287.368327046759</v>
      </c>
      <c r="X78" s="216">
        <f t="shared" si="44"/>
        <v>133059.44518318702</v>
      </c>
      <c r="Z78" s="206">
        <f t="shared" si="45"/>
        <v>407691</v>
      </c>
      <c r="AA78" s="193">
        <f t="shared" si="34"/>
        <v>0</v>
      </c>
      <c r="AB78" s="206">
        <f t="shared" si="35"/>
        <v>407691</v>
      </c>
    </row>
    <row r="79" spans="1:31" s="177" customFormat="1" ht="14.65" thickBot="1" x14ac:dyDescent="0.5">
      <c r="A79" s="207">
        <f t="shared" si="36"/>
        <v>5</v>
      </c>
      <c r="B79" s="193" t="s">
        <v>12</v>
      </c>
      <c r="C79" s="208">
        <f>+C11</f>
        <v>0.01</v>
      </c>
      <c r="D79" s="178"/>
      <c r="E79" s="112" t="s">
        <v>28</v>
      </c>
      <c r="F79" s="219">
        <f>SUM(F75:F78)</f>
        <v>21825</v>
      </c>
      <c r="G79" s="113"/>
      <c r="H79" s="178"/>
      <c r="I79" s="212">
        <f t="shared" si="37"/>
        <v>5</v>
      </c>
      <c r="J79" s="213">
        <f t="shared" si="38"/>
        <v>19567.469981390099</v>
      </c>
      <c r="K79" s="213">
        <f t="shared" si="30"/>
        <v>86.430090815540808</v>
      </c>
      <c r="L79" s="213">
        <f t="shared" si="39"/>
        <v>-657.05856440188245</v>
      </c>
      <c r="M79" s="214">
        <f t="shared" si="28"/>
        <v>18996.841507803758</v>
      </c>
      <c r="O79" s="212">
        <f t="shared" si="40"/>
        <v>5</v>
      </c>
      <c r="P79" s="215">
        <f t="shared" si="41"/>
        <v>2274.9444444444443</v>
      </c>
      <c r="Q79" s="201">
        <f t="shared" si="29"/>
        <v>36625.034885735404</v>
      </c>
      <c r="R79" s="201">
        <f t="shared" si="31"/>
        <v>-657.05856440188245</v>
      </c>
      <c r="S79" s="213">
        <f t="shared" si="42"/>
        <v>0</v>
      </c>
      <c r="T79" s="213"/>
      <c r="U79" s="213">
        <f t="shared" si="43"/>
        <v>-1831.2517442867702</v>
      </c>
      <c r="V79" s="201">
        <f t="shared" si="32"/>
        <v>-834.3515625</v>
      </c>
      <c r="W79" s="204">
        <f t="shared" si="33"/>
        <v>33302.373014546756</v>
      </c>
      <c r="X79" s="216">
        <f t="shared" si="44"/>
        <v>166361.81819773378</v>
      </c>
      <c r="Z79" s="206">
        <f t="shared" si="45"/>
        <v>400488.75</v>
      </c>
      <c r="AA79" s="193">
        <f t="shared" si="34"/>
        <v>0</v>
      </c>
      <c r="AB79" s="206">
        <f t="shared" si="35"/>
        <v>400488.75</v>
      </c>
    </row>
    <row r="80" spans="1:31" s="177" customFormat="1" x14ac:dyDescent="0.45">
      <c r="A80" s="207">
        <f t="shared" si="36"/>
        <v>6</v>
      </c>
      <c r="B80" s="193" t="s">
        <v>13</v>
      </c>
      <c r="C80" s="220">
        <v>36</v>
      </c>
      <c r="D80" s="178"/>
      <c r="E80" s="178"/>
      <c r="F80" s="178"/>
      <c r="G80" s="178"/>
      <c r="H80" s="178"/>
      <c r="I80" s="212">
        <f t="shared" si="37"/>
        <v>6</v>
      </c>
      <c r="J80" s="213">
        <f t="shared" si="38"/>
        <v>18996.841507803758</v>
      </c>
      <c r="K80" s="213">
        <f t="shared" si="30"/>
        <v>83.909608053032045</v>
      </c>
      <c r="L80" s="213">
        <f t="shared" si="39"/>
        <v>-657.05856440188245</v>
      </c>
      <c r="M80" s="214">
        <f t="shared" si="28"/>
        <v>18423.692551454908</v>
      </c>
      <c r="O80" s="212">
        <f t="shared" si="40"/>
        <v>6</v>
      </c>
      <c r="P80" s="215">
        <f t="shared" si="41"/>
        <v>2795.0694444444443</v>
      </c>
      <c r="Q80" s="201">
        <f t="shared" si="29"/>
        <v>36625.034885735404</v>
      </c>
      <c r="R80" s="201">
        <f t="shared" si="31"/>
        <v>-657.05856440188245</v>
      </c>
      <c r="S80" s="213">
        <f t="shared" si="42"/>
        <v>0</v>
      </c>
      <c r="T80" s="213"/>
      <c r="U80" s="213">
        <f t="shared" si="43"/>
        <v>-1831.2517442867702</v>
      </c>
      <c r="V80" s="201">
        <f t="shared" si="32"/>
        <v>-819.34687500000007</v>
      </c>
      <c r="W80" s="204">
        <f t="shared" si="33"/>
        <v>33317.377702046753</v>
      </c>
      <c r="X80" s="216">
        <f t="shared" si="44"/>
        <v>199679.19589978055</v>
      </c>
      <c r="Z80" s="206">
        <f t="shared" si="45"/>
        <v>393286.5</v>
      </c>
      <c r="AA80" s="193">
        <f t="shared" si="34"/>
        <v>0</v>
      </c>
      <c r="AB80" s="206">
        <f t="shared" si="35"/>
        <v>393286.5</v>
      </c>
    </row>
    <row r="81" spans="1:28" s="177" customFormat="1" x14ac:dyDescent="0.45">
      <c r="A81" s="207">
        <f t="shared" si="36"/>
        <v>7</v>
      </c>
      <c r="B81" s="193" t="s">
        <v>14</v>
      </c>
      <c r="C81" s="220">
        <f>+C13</f>
        <v>10000</v>
      </c>
      <c r="D81" s="178"/>
      <c r="E81" s="178"/>
      <c r="F81" s="178"/>
      <c r="G81" s="178"/>
      <c r="H81" s="178"/>
      <c r="I81" s="212">
        <f t="shared" si="37"/>
        <v>7</v>
      </c>
      <c r="J81" s="213">
        <f t="shared" si="38"/>
        <v>18423.692551454908</v>
      </c>
      <c r="K81" s="213">
        <f t="shared" si="30"/>
        <v>81.377992243978738</v>
      </c>
      <c r="L81" s="213">
        <f t="shared" si="39"/>
        <v>-657.05856440188245</v>
      </c>
      <c r="M81" s="214">
        <f t="shared" si="28"/>
        <v>17848.011979297004</v>
      </c>
      <c r="O81" s="212">
        <f t="shared" si="40"/>
        <v>7</v>
      </c>
      <c r="P81" s="215">
        <f t="shared" si="41"/>
        <v>3315.1944444444443</v>
      </c>
      <c r="Q81" s="201">
        <f t="shared" si="29"/>
        <v>36625.034885735404</v>
      </c>
      <c r="R81" s="201">
        <f t="shared" si="31"/>
        <v>-657.05856440188245</v>
      </c>
      <c r="S81" s="213">
        <f t="shared" si="42"/>
        <v>0</v>
      </c>
      <c r="T81" s="213"/>
      <c r="U81" s="213">
        <f t="shared" si="43"/>
        <v>-1831.2517442867702</v>
      </c>
      <c r="V81" s="201">
        <f t="shared" si="32"/>
        <v>-804.34218750000002</v>
      </c>
      <c r="W81" s="204">
        <f t="shared" si="33"/>
        <v>33332.382389546758</v>
      </c>
      <c r="X81" s="216">
        <f t="shared" si="44"/>
        <v>233011.5782893273</v>
      </c>
      <c r="Z81" s="206">
        <f t="shared" si="45"/>
        <v>386084.25</v>
      </c>
      <c r="AA81" s="193">
        <f t="shared" si="34"/>
        <v>0</v>
      </c>
      <c r="AB81" s="206">
        <f t="shared" si="35"/>
        <v>386084.25</v>
      </c>
    </row>
    <row r="82" spans="1:28" s="177" customFormat="1" ht="14.65" thickBot="1" x14ac:dyDescent="0.5">
      <c r="A82" s="221">
        <f t="shared" si="36"/>
        <v>8</v>
      </c>
      <c r="B82" s="222" t="s">
        <v>33</v>
      </c>
      <c r="C82" s="208">
        <v>0.7</v>
      </c>
      <c r="D82" s="178"/>
      <c r="E82" s="178"/>
      <c r="F82" s="178"/>
      <c r="G82" s="178"/>
      <c r="H82" s="178"/>
      <c r="I82" s="212">
        <f t="shared" si="37"/>
        <v>8</v>
      </c>
      <c r="J82" s="213">
        <f t="shared" si="38"/>
        <v>17848.011979297004</v>
      </c>
      <c r="K82" s="213">
        <f t="shared" si="30"/>
        <v>78.835194213386558</v>
      </c>
      <c r="L82" s="213">
        <f t="shared" si="39"/>
        <v>-657.05856440188245</v>
      </c>
      <c r="M82" s="214">
        <f t="shared" si="28"/>
        <v>17269.788609108506</v>
      </c>
      <c r="O82" s="212">
        <f t="shared" si="40"/>
        <v>8</v>
      </c>
      <c r="P82" s="215">
        <f t="shared" si="41"/>
        <v>3835.3194444444443</v>
      </c>
      <c r="Q82" s="201">
        <f t="shared" si="29"/>
        <v>36625.034885735404</v>
      </c>
      <c r="R82" s="201">
        <f t="shared" si="31"/>
        <v>-657.05856440188245</v>
      </c>
      <c r="S82" s="213">
        <f t="shared" si="42"/>
        <v>0</v>
      </c>
      <c r="T82" s="213"/>
      <c r="U82" s="213">
        <f t="shared" si="43"/>
        <v>-1831.2517442867702</v>
      </c>
      <c r="V82" s="201">
        <f t="shared" si="32"/>
        <v>-789.33750000000009</v>
      </c>
      <c r="W82" s="204">
        <f t="shared" si="33"/>
        <v>33347.387077046755</v>
      </c>
      <c r="X82" s="216">
        <f t="shared" si="44"/>
        <v>266358.96536637406</v>
      </c>
      <c r="Z82" s="206">
        <f t="shared" si="45"/>
        <v>378882</v>
      </c>
      <c r="AA82" s="193">
        <f t="shared" si="34"/>
        <v>0</v>
      </c>
      <c r="AB82" s="206">
        <f t="shared" si="35"/>
        <v>378882</v>
      </c>
    </row>
    <row r="83" spans="1:28" s="177" customFormat="1" ht="14.65" thickBot="1" x14ac:dyDescent="0.5">
      <c r="C83" s="178"/>
      <c r="D83" s="178"/>
      <c r="E83" s="178"/>
      <c r="F83" s="178"/>
      <c r="G83" s="178"/>
      <c r="H83" s="178"/>
      <c r="I83" s="212">
        <f t="shared" si="37"/>
        <v>9</v>
      </c>
      <c r="J83" s="213">
        <f t="shared" si="38"/>
        <v>17269.788609108506</v>
      </c>
      <c r="K83" s="213">
        <f t="shared" si="30"/>
        <v>76.2811645690539</v>
      </c>
      <c r="L83" s="213">
        <f t="shared" si="39"/>
        <v>-657.05856440188245</v>
      </c>
      <c r="M83" s="214">
        <f t="shared" si="28"/>
        <v>16689.011209275675</v>
      </c>
      <c r="O83" s="212">
        <f t="shared" si="40"/>
        <v>9</v>
      </c>
      <c r="P83" s="215">
        <f t="shared" si="41"/>
        <v>4355.4444444444443</v>
      </c>
      <c r="Q83" s="201">
        <f t="shared" si="29"/>
        <v>36625.034885735404</v>
      </c>
      <c r="R83" s="201">
        <f t="shared" si="31"/>
        <v>-657.05856440188245</v>
      </c>
      <c r="S83" s="213">
        <f t="shared" si="42"/>
        <v>0</v>
      </c>
      <c r="T83" s="213"/>
      <c r="U83" s="213">
        <f t="shared" si="43"/>
        <v>-1831.2517442867702</v>
      </c>
      <c r="V83" s="201">
        <f>-(AB83*$C$9/12)</f>
        <v>-774.33281249999993</v>
      </c>
      <c r="W83" s="204">
        <f t="shared" si="33"/>
        <v>33362.391764546759</v>
      </c>
      <c r="X83" s="216">
        <f t="shared" si="44"/>
        <v>299721.35713092081</v>
      </c>
      <c r="Z83" s="206">
        <f t="shared" si="45"/>
        <v>371679.75</v>
      </c>
      <c r="AA83" s="193">
        <f t="shared" si="34"/>
        <v>0</v>
      </c>
      <c r="AB83" s="206">
        <f t="shared" si="35"/>
        <v>371679.75</v>
      </c>
    </row>
    <row r="84" spans="1:28" s="177" customFormat="1" ht="16.149999999999999" thickBot="1" x14ac:dyDescent="0.5">
      <c r="A84" s="717" t="s">
        <v>43</v>
      </c>
      <c r="B84" s="718"/>
      <c r="C84" s="718"/>
      <c r="D84" s="718"/>
      <c r="E84" s="719"/>
      <c r="F84" s="223"/>
      <c r="G84" s="223"/>
      <c r="H84" s="224"/>
      <c r="I84" s="212">
        <f t="shared" si="37"/>
        <v>10</v>
      </c>
      <c r="J84" s="213">
        <f t="shared" si="38"/>
        <v>16689.011209275675</v>
      </c>
      <c r="K84" s="213">
        <f t="shared" si="30"/>
        <v>73.715853700612286</v>
      </c>
      <c r="L84" s="213">
        <f t="shared" si="39"/>
        <v>-657.05856440188245</v>
      </c>
      <c r="M84" s="214">
        <f t="shared" si="28"/>
        <v>16105.668498574403</v>
      </c>
      <c r="O84" s="212">
        <f t="shared" si="40"/>
        <v>10</v>
      </c>
      <c r="P84" s="215">
        <f t="shared" si="41"/>
        <v>4875.5694444444443</v>
      </c>
      <c r="Q84" s="201">
        <f t="shared" si="29"/>
        <v>36625.034885735404</v>
      </c>
      <c r="R84" s="201">
        <f t="shared" si="31"/>
        <v>-657.05856440188245</v>
      </c>
      <c r="S84" s="213">
        <f t="shared" si="42"/>
        <v>0</v>
      </c>
      <c r="T84" s="213"/>
      <c r="U84" s="213">
        <f t="shared" si="43"/>
        <v>-1831.2517442867702</v>
      </c>
      <c r="V84" s="201">
        <f t="shared" ref="V84:V122" si="46">-(AB84*$C$9/12)</f>
        <v>-759.328125</v>
      </c>
      <c r="W84" s="204">
        <f t="shared" si="33"/>
        <v>33377.396452046756</v>
      </c>
      <c r="X84" s="216">
        <f t="shared" si="44"/>
        <v>333098.75358296756</v>
      </c>
      <c r="Z84" s="206">
        <f t="shared" si="45"/>
        <v>364477.5</v>
      </c>
      <c r="AA84" s="193">
        <f t="shared" si="34"/>
        <v>0</v>
      </c>
      <c r="AB84" s="206">
        <f t="shared" si="35"/>
        <v>364477.5</v>
      </c>
    </row>
    <row r="85" spans="1:28" s="177" customFormat="1" ht="14.65" thickBot="1" x14ac:dyDescent="0.5">
      <c r="A85" s="225" t="s">
        <v>44</v>
      </c>
      <c r="B85" s="226" t="s">
        <v>48</v>
      </c>
      <c r="C85" s="226" t="s">
        <v>45</v>
      </c>
      <c r="D85" s="227" t="s">
        <v>46</v>
      </c>
      <c r="E85" s="192" t="s">
        <v>47</v>
      </c>
      <c r="F85" s="223"/>
      <c r="G85" s="223"/>
      <c r="H85" s="224"/>
      <c r="I85" s="212">
        <f t="shared" si="37"/>
        <v>11</v>
      </c>
      <c r="J85" s="213">
        <f t="shared" si="38"/>
        <v>16105.668498574403</v>
      </c>
      <c r="K85" s="213">
        <f t="shared" si="30"/>
        <v>71.139211778562768</v>
      </c>
      <c r="L85" s="213">
        <f t="shared" si="39"/>
        <v>-657.05856440188245</v>
      </c>
      <c r="M85" s="214">
        <f t="shared" si="28"/>
        <v>15519.749145951084</v>
      </c>
      <c r="O85" s="212">
        <f t="shared" si="40"/>
        <v>11</v>
      </c>
      <c r="P85" s="215">
        <f t="shared" si="41"/>
        <v>5395.6944444444443</v>
      </c>
      <c r="Q85" s="201">
        <f t="shared" si="29"/>
        <v>36625.034885735404</v>
      </c>
      <c r="R85" s="201">
        <f t="shared" si="31"/>
        <v>-657.05856440188245</v>
      </c>
      <c r="S85" s="213">
        <f t="shared" si="42"/>
        <v>0</v>
      </c>
      <c r="T85" s="213"/>
      <c r="U85" s="213">
        <f t="shared" si="43"/>
        <v>-1831.2517442867702</v>
      </c>
      <c r="V85" s="201">
        <f t="shared" si="46"/>
        <v>-744.32343750000007</v>
      </c>
      <c r="W85" s="204">
        <f t="shared" si="33"/>
        <v>33392.401139546753</v>
      </c>
      <c r="X85" s="216">
        <f t="shared" si="44"/>
        <v>366491.15472251433</v>
      </c>
      <c r="Z85" s="206">
        <f t="shared" si="45"/>
        <v>357275.25</v>
      </c>
      <c r="AA85" s="193">
        <f t="shared" si="34"/>
        <v>0</v>
      </c>
      <c r="AB85" s="206">
        <f t="shared" si="35"/>
        <v>357275.25</v>
      </c>
    </row>
    <row r="86" spans="1:28" s="177" customFormat="1" x14ac:dyDescent="0.45">
      <c r="A86" s="228">
        <v>1</v>
      </c>
      <c r="B86" s="229">
        <v>12</v>
      </c>
      <c r="C86" s="230">
        <f>D$27-(D$27+D$28)*B86/60</f>
        <v>350073</v>
      </c>
      <c r="D86" s="231">
        <v>0.1</v>
      </c>
      <c r="E86" s="232">
        <f t="shared" ref="E86:E91" si="47">C86/(100%-D86)</f>
        <v>388970</v>
      </c>
      <c r="F86" s="178"/>
      <c r="G86" s="178"/>
      <c r="H86" s="178"/>
      <c r="I86" s="212">
        <f t="shared" si="37"/>
        <v>12</v>
      </c>
      <c r="J86" s="213">
        <f t="shared" si="38"/>
        <v>15519.749145951084</v>
      </c>
      <c r="K86" s="213">
        <f t="shared" si="30"/>
        <v>68.551188753308153</v>
      </c>
      <c r="L86" s="213">
        <f t="shared" si="39"/>
        <v>-657.05856440188245</v>
      </c>
      <c r="M86" s="214">
        <f t="shared" si="28"/>
        <v>14931.241770302509</v>
      </c>
      <c r="O86" s="212">
        <f t="shared" si="40"/>
        <v>12</v>
      </c>
      <c r="P86" s="215">
        <f t="shared" si="41"/>
        <v>5915.8194444444443</v>
      </c>
      <c r="Q86" s="201">
        <f t="shared" si="29"/>
        <v>36625.034885735404</v>
      </c>
      <c r="R86" s="201">
        <f t="shared" si="31"/>
        <v>-657.05856440188245</v>
      </c>
      <c r="S86" s="213">
        <f t="shared" si="42"/>
        <v>0</v>
      </c>
      <c r="T86" s="213"/>
      <c r="U86" s="213">
        <f t="shared" si="43"/>
        <v>-1831.2517442867702</v>
      </c>
      <c r="V86" s="201">
        <f t="shared" si="46"/>
        <v>-729.31875000000002</v>
      </c>
      <c r="W86" s="204">
        <f t="shared" si="33"/>
        <v>33407.405827046758</v>
      </c>
      <c r="X86" s="216">
        <f t="shared" si="44"/>
        <v>399898.56054956111</v>
      </c>
      <c r="Z86" s="206">
        <f t="shared" si="45"/>
        <v>350073</v>
      </c>
      <c r="AA86" s="193">
        <f t="shared" si="34"/>
        <v>0</v>
      </c>
      <c r="AB86" s="206">
        <f t="shared" si="35"/>
        <v>350073</v>
      </c>
    </row>
    <row r="87" spans="1:28" s="177" customFormat="1" x14ac:dyDescent="0.45">
      <c r="A87" s="207">
        <f>A86+1</f>
        <v>2</v>
      </c>
      <c r="B87" s="193">
        <f>B86+12</f>
        <v>24</v>
      </c>
      <c r="C87" s="206">
        <f>D$27-(D$27+D$28)*B87/60</f>
        <v>263646</v>
      </c>
      <c r="D87" s="233">
        <f>D86</f>
        <v>0.1</v>
      </c>
      <c r="E87" s="234">
        <f t="shared" si="47"/>
        <v>292940</v>
      </c>
      <c r="F87" s="178"/>
      <c r="G87" s="178"/>
      <c r="H87" s="178"/>
      <c r="I87" s="212">
        <f t="shared" si="37"/>
        <v>13</v>
      </c>
      <c r="J87" s="213">
        <f t="shared" si="38"/>
        <v>14931.241770302509</v>
      </c>
      <c r="K87" s="213">
        <f t="shared" si="30"/>
        <v>65.951734354180545</v>
      </c>
      <c r="L87" s="213">
        <f t="shared" si="39"/>
        <v>-657.05856440188245</v>
      </c>
      <c r="M87" s="214">
        <f t="shared" si="28"/>
        <v>14340.134940254808</v>
      </c>
      <c r="O87" s="212">
        <f t="shared" si="40"/>
        <v>13</v>
      </c>
      <c r="P87" s="215">
        <f t="shared" si="41"/>
        <v>6435.9444444444443</v>
      </c>
      <c r="Q87" s="201">
        <f t="shared" si="29"/>
        <v>36625.034885735404</v>
      </c>
      <c r="R87" s="201">
        <f t="shared" si="31"/>
        <v>-657.05856440188245</v>
      </c>
      <c r="S87" s="213">
        <f t="shared" si="42"/>
        <v>0</v>
      </c>
      <c r="T87" s="213"/>
      <c r="U87" s="213">
        <f t="shared" si="43"/>
        <v>-1831.2517442867702</v>
      </c>
      <c r="V87" s="201">
        <f t="shared" si="46"/>
        <v>-714.31406250000009</v>
      </c>
      <c r="W87" s="204">
        <f t="shared" si="33"/>
        <v>33422.410514546755</v>
      </c>
      <c r="X87" s="216">
        <f t="shared" si="44"/>
        <v>433320.97106410784</v>
      </c>
      <c r="Z87" s="206">
        <f t="shared" si="45"/>
        <v>342870.75</v>
      </c>
      <c r="AA87" s="193">
        <f t="shared" si="34"/>
        <v>0</v>
      </c>
      <c r="AB87" s="206">
        <f t="shared" si="35"/>
        <v>342870.75</v>
      </c>
    </row>
    <row r="88" spans="1:28" s="177" customFormat="1" x14ac:dyDescent="0.45">
      <c r="A88" s="207">
        <f>A87+1</f>
        <v>3</v>
      </c>
      <c r="B88" s="193">
        <f>B87+12</f>
        <v>36</v>
      </c>
      <c r="C88" s="206">
        <f>D$27-(D$27+D$28)*B88/60</f>
        <v>177219</v>
      </c>
      <c r="D88" s="233">
        <f>D87</f>
        <v>0.1</v>
      </c>
      <c r="E88" s="234">
        <f t="shared" si="47"/>
        <v>196910</v>
      </c>
      <c r="F88" s="178"/>
      <c r="G88" s="178"/>
      <c r="H88" s="178"/>
      <c r="I88" s="212">
        <f t="shared" si="37"/>
        <v>14</v>
      </c>
      <c r="J88" s="213">
        <f t="shared" si="38"/>
        <v>14340.134940254808</v>
      </c>
      <c r="K88" s="213">
        <f t="shared" si="30"/>
        <v>63.340798088465128</v>
      </c>
      <c r="L88" s="213">
        <f t="shared" si="39"/>
        <v>-657.05856440188245</v>
      </c>
      <c r="M88" s="214">
        <f t="shared" si="28"/>
        <v>13746.417173941391</v>
      </c>
      <c r="O88" s="212">
        <f t="shared" si="40"/>
        <v>14</v>
      </c>
      <c r="P88" s="215">
        <f t="shared" si="41"/>
        <v>6956.0694444444443</v>
      </c>
      <c r="Q88" s="201">
        <f t="shared" si="29"/>
        <v>36625.034885735404</v>
      </c>
      <c r="R88" s="201">
        <f t="shared" si="31"/>
        <v>-657.05856440188245</v>
      </c>
      <c r="S88" s="213">
        <f t="shared" si="42"/>
        <v>0</v>
      </c>
      <c r="T88" s="213"/>
      <c r="U88" s="213">
        <f t="shared" si="43"/>
        <v>-1831.2517442867702</v>
      </c>
      <c r="V88" s="201">
        <f t="shared" si="46"/>
        <v>-699.30937499999993</v>
      </c>
      <c r="W88" s="204">
        <f t="shared" si="33"/>
        <v>33437.415202046759</v>
      </c>
      <c r="X88" s="216">
        <f t="shared" si="44"/>
        <v>466758.38626615459</v>
      </c>
      <c r="Z88" s="206">
        <f t="shared" si="45"/>
        <v>335668.5</v>
      </c>
      <c r="AA88" s="193">
        <f t="shared" si="34"/>
        <v>0</v>
      </c>
      <c r="AB88" s="206">
        <f t="shared" si="35"/>
        <v>335668.5</v>
      </c>
    </row>
    <row r="89" spans="1:28" s="177" customFormat="1" x14ac:dyDescent="0.45">
      <c r="A89" s="207">
        <f>A88+1</f>
        <v>4</v>
      </c>
      <c r="B89" s="193">
        <f>B88+12</f>
        <v>48</v>
      </c>
      <c r="C89" s="206">
        <f>D$27-(D$27+D$28)*B89/60</f>
        <v>90792</v>
      </c>
      <c r="D89" s="233">
        <f>D88</f>
        <v>0.1</v>
      </c>
      <c r="E89" s="234">
        <f t="shared" si="47"/>
        <v>100880</v>
      </c>
      <c r="F89" s="178"/>
      <c r="G89" s="178"/>
      <c r="H89" s="178"/>
      <c r="I89" s="212">
        <f t="shared" si="37"/>
        <v>15</v>
      </c>
      <c r="J89" s="213">
        <f t="shared" si="38"/>
        <v>13746.417173941391</v>
      </c>
      <c r="K89" s="213">
        <f t="shared" si="30"/>
        <v>60.718329240419237</v>
      </c>
      <c r="L89" s="213">
        <f t="shared" si="39"/>
        <v>-657.05856440188245</v>
      </c>
      <c r="M89" s="214">
        <f t="shared" si="28"/>
        <v>13150.076938779926</v>
      </c>
      <c r="O89" s="212">
        <f t="shared" si="40"/>
        <v>15</v>
      </c>
      <c r="P89" s="215">
        <f t="shared" si="41"/>
        <v>7476.1944444444443</v>
      </c>
      <c r="Q89" s="201">
        <f t="shared" si="29"/>
        <v>36625.034885735404</v>
      </c>
      <c r="R89" s="201">
        <f t="shared" si="31"/>
        <v>-657.05856440188245</v>
      </c>
      <c r="S89" s="213">
        <f t="shared" si="42"/>
        <v>0</v>
      </c>
      <c r="T89" s="213"/>
      <c r="U89" s="213">
        <f t="shared" si="43"/>
        <v>-1831.2517442867702</v>
      </c>
      <c r="V89" s="201">
        <f t="shared" si="46"/>
        <v>-684.3046875</v>
      </c>
      <c r="W89" s="204">
        <f t="shared" si="33"/>
        <v>33452.419889546756</v>
      </c>
      <c r="X89" s="216">
        <f t="shared" si="44"/>
        <v>500210.80615570134</v>
      </c>
      <c r="Z89" s="206">
        <f t="shared" si="45"/>
        <v>328466.25</v>
      </c>
      <c r="AA89" s="193">
        <f t="shared" si="34"/>
        <v>0</v>
      </c>
      <c r="AB89" s="206">
        <f t="shared" si="35"/>
        <v>328466.25</v>
      </c>
    </row>
    <row r="90" spans="1:28" s="177" customFormat="1" x14ac:dyDescent="0.45">
      <c r="A90" s="207">
        <f>A89+1</f>
        <v>5</v>
      </c>
      <c r="B90" s="193">
        <f>B89+12</f>
        <v>60</v>
      </c>
      <c r="C90" s="206">
        <f>D$27-(D$27+D$28)*B90/60</f>
        <v>4365</v>
      </c>
      <c r="D90" s="233">
        <f>D89</f>
        <v>0.1</v>
      </c>
      <c r="E90" s="234">
        <f t="shared" si="47"/>
        <v>4850</v>
      </c>
      <c r="F90" s="178"/>
      <c r="G90" s="178"/>
      <c r="H90" s="178"/>
      <c r="I90" s="212">
        <f t="shared" si="37"/>
        <v>16</v>
      </c>
      <c r="J90" s="213">
        <f t="shared" si="38"/>
        <v>13150.076938779926</v>
      </c>
      <c r="K90" s="213">
        <f t="shared" si="30"/>
        <v>58.08427687028729</v>
      </c>
      <c r="L90" s="213">
        <f t="shared" si="39"/>
        <v>-657.05856440188245</v>
      </c>
      <c r="M90" s="214">
        <f t="shared" si="28"/>
        <v>12551.102651248331</v>
      </c>
      <c r="O90" s="212">
        <f t="shared" si="40"/>
        <v>16</v>
      </c>
      <c r="P90" s="215">
        <f t="shared" si="41"/>
        <v>7996.3194444444443</v>
      </c>
      <c r="Q90" s="201">
        <f t="shared" si="29"/>
        <v>36625.034885735404</v>
      </c>
      <c r="R90" s="201">
        <f t="shared" si="31"/>
        <v>-657.05856440188245</v>
      </c>
      <c r="S90" s="213">
        <f t="shared" si="42"/>
        <v>0</v>
      </c>
      <c r="T90" s="213"/>
      <c r="U90" s="213">
        <f t="shared" si="43"/>
        <v>-1831.2517442867702</v>
      </c>
      <c r="V90" s="201">
        <f t="shared" si="46"/>
        <v>-669.30000000000007</v>
      </c>
      <c r="W90" s="204">
        <f t="shared" si="33"/>
        <v>33467.424577046753</v>
      </c>
      <c r="X90" s="216">
        <f t="shared" si="44"/>
        <v>533678.23073274805</v>
      </c>
      <c r="Z90" s="206">
        <f t="shared" si="45"/>
        <v>321264</v>
      </c>
      <c r="AA90" s="193">
        <f t="shared" si="34"/>
        <v>0</v>
      </c>
      <c r="AB90" s="206">
        <f t="shared" si="35"/>
        <v>321264</v>
      </c>
    </row>
    <row r="91" spans="1:28" s="177" customFormat="1" ht="14.65" thickBot="1" x14ac:dyDescent="0.5">
      <c r="A91" s="221">
        <f>A90+1</f>
        <v>6</v>
      </c>
      <c r="B91" s="222">
        <f>B90+12</f>
        <v>72</v>
      </c>
      <c r="C91" s="235">
        <v>1</v>
      </c>
      <c r="D91" s="236">
        <f>D90</f>
        <v>0.1</v>
      </c>
      <c r="E91" s="237">
        <f t="shared" si="47"/>
        <v>1.1111111111111112</v>
      </c>
      <c r="H91" s="178"/>
      <c r="I91" s="212">
        <f t="shared" si="37"/>
        <v>17</v>
      </c>
      <c r="J91" s="213">
        <f t="shared" si="38"/>
        <v>12551.102651248331</v>
      </c>
      <c r="K91" s="213">
        <f t="shared" si="30"/>
        <v>55.438589813311317</v>
      </c>
      <c r="L91" s="213">
        <f t="shared" si="39"/>
        <v>-657.05856440188245</v>
      </c>
      <c r="M91" s="214">
        <f t="shared" si="28"/>
        <v>11949.48267665976</v>
      </c>
      <c r="O91" s="212">
        <f t="shared" si="40"/>
        <v>17</v>
      </c>
      <c r="P91" s="215">
        <f t="shared" si="41"/>
        <v>8516.4444444444453</v>
      </c>
      <c r="Q91" s="201">
        <f t="shared" si="29"/>
        <v>36625.034885735404</v>
      </c>
      <c r="R91" s="201">
        <f t="shared" si="31"/>
        <v>-657.05856440188245</v>
      </c>
      <c r="S91" s="213">
        <f t="shared" si="42"/>
        <v>0</v>
      </c>
      <c r="T91" s="213"/>
      <c r="U91" s="213">
        <f t="shared" si="43"/>
        <v>-1831.2517442867702</v>
      </c>
      <c r="V91" s="201">
        <f t="shared" si="46"/>
        <v>-654.29531250000002</v>
      </c>
      <c r="W91" s="204">
        <f t="shared" si="33"/>
        <v>33482.429264546758</v>
      </c>
      <c r="X91" s="216">
        <f t="shared" si="44"/>
        <v>567160.65999729477</v>
      </c>
      <c r="Z91" s="206">
        <f t="shared" si="45"/>
        <v>314061.75</v>
      </c>
      <c r="AA91" s="193">
        <f t="shared" si="34"/>
        <v>0</v>
      </c>
      <c r="AB91" s="206">
        <f t="shared" si="35"/>
        <v>314061.75</v>
      </c>
    </row>
    <row r="92" spans="1:28" s="177" customFormat="1" ht="14.65" thickBot="1" x14ac:dyDescent="0.5">
      <c r="H92" s="178"/>
      <c r="I92" s="212">
        <f>I91+1</f>
        <v>18</v>
      </c>
      <c r="J92" s="213">
        <f>M91</f>
        <v>11949.48267665976</v>
      </c>
      <c r="K92" s="213">
        <f t="shared" si="30"/>
        <v>52.781216678737096</v>
      </c>
      <c r="L92" s="213">
        <f>L91</f>
        <v>-657.05856440188245</v>
      </c>
      <c r="M92" s="214">
        <f t="shared" si="28"/>
        <v>11345.205328936614</v>
      </c>
      <c r="O92" s="212">
        <f>O91+1</f>
        <v>18</v>
      </c>
      <c r="P92" s="215">
        <f t="shared" si="41"/>
        <v>9036.5694444444453</v>
      </c>
      <c r="Q92" s="201">
        <f t="shared" si="29"/>
        <v>36625.034885735404</v>
      </c>
      <c r="R92" s="201">
        <f t="shared" si="31"/>
        <v>-657.05856440188245</v>
      </c>
      <c r="S92" s="213">
        <f t="shared" si="42"/>
        <v>0</v>
      </c>
      <c r="T92" s="213"/>
      <c r="U92" s="213">
        <f t="shared" si="43"/>
        <v>-1831.2517442867702</v>
      </c>
      <c r="V92" s="201">
        <f t="shared" si="46"/>
        <v>-639.29062499999998</v>
      </c>
      <c r="W92" s="204">
        <f t="shared" si="33"/>
        <v>33497.433952046755</v>
      </c>
      <c r="X92" s="216">
        <f t="shared" si="44"/>
        <v>600658.09394934156</v>
      </c>
      <c r="Z92" s="206">
        <f t="shared" si="45"/>
        <v>306859.5</v>
      </c>
      <c r="AA92" s="193">
        <f t="shared" si="34"/>
        <v>0</v>
      </c>
      <c r="AB92" s="206">
        <f t="shared" si="35"/>
        <v>306859.5</v>
      </c>
    </row>
    <row r="93" spans="1:28" s="177" customFormat="1" ht="31.15" thickBot="1" x14ac:dyDescent="0.5">
      <c r="A93" s="720" t="s">
        <v>21</v>
      </c>
      <c r="B93" s="721"/>
      <c r="C93" s="721"/>
      <c r="D93" s="721"/>
      <c r="E93" s="721"/>
      <c r="F93" s="721"/>
      <c r="G93" s="722"/>
      <c r="H93" s="178"/>
      <c r="I93" s="212">
        <f t="shared" si="37"/>
        <v>19</v>
      </c>
      <c r="J93" s="213">
        <f t="shared" ref="J93:J110" si="48">M92</f>
        <v>11345.205328936614</v>
      </c>
      <c r="K93" s="213">
        <f t="shared" si="30"/>
        <v>50.112105848815929</v>
      </c>
      <c r="L93" s="213">
        <f t="shared" si="39"/>
        <v>-657.05856440188245</v>
      </c>
      <c r="M93" s="214">
        <f t="shared" si="28"/>
        <v>10738.258870383546</v>
      </c>
      <c r="O93" s="212">
        <f t="shared" si="40"/>
        <v>19</v>
      </c>
      <c r="P93" s="215">
        <f t="shared" si="41"/>
        <v>9556.6944444444453</v>
      </c>
      <c r="Q93" s="201">
        <f t="shared" si="29"/>
        <v>36625.034885735404</v>
      </c>
      <c r="R93" s="201">
        <f t="shared" si="31"/>
        <v>-657.05856440188245</v>
      </c>
      <c r="S93" s="213">
        <f t="shared" si="42"/>
        <v>0</v>
      </c>
      <c r="T93" s="213"/>
      <c r="U93" s="213">
        <f t="shared" si="43"/>
        <v>-1831.2517442867702</v>
      </c>
      <c r="V93" s="201">
        <f t="shared" si="46"/>
        <v>-624.28593750000005</v>
      </c>
      <c r="W93" s="204">
        <f t="shared" si="33"/>
        <v>33512.438639546759</v>
      </c>
      <c r="X93" s="216">
        <f t="shared" si="44"/>
        <v>634170.53258888831</v>
      </c>
      <c r="Z93" s="206">
        <f t="shared" si="45"/>
        <v>299657.25</v>
      </c>
      <c r="AA93" s="193">
        <f t="shared" si="34"/>
        <v>0</v>
      </c>
      <c r="AB93" s="206">
        <f t="shared" si="35"/>
        <v>299657.25</v>
      </c>
    </row>
    <row r="94" spans="1:28" s="177" customFormat="1" ht="28.9" thickBot="1" x14ac:dyDescent="0.5">
      <c r="A94" s="238" t="s">
        <v>0</v>
      </c>
      <c r="B94" s="239" t="s">
        <v>1</v>
      </c>
      <c r="C94" s="240" t="s">
        <v>22</v>
      </c>
      <c r="D94" s="240" t="s">
        <v>10</v>
      </c>
      <c r="E94" s="240" t="s">
        <v>23</v>
      </c>
      <c r="F94" s="240" t="s">
        <v>24</v>
      </c>
      <c r="G94" s="241" t="s">
        <v>25</v>
      </c>
      <c r="H94" s="178"/>
      <c r="I94" s="212">
        <f t="shared" si="37"/>
        <v>20</v>
      </c>
      <c r="J94" s="213">
        <f t="shared" si="48"/>
        <v>10738.258870383546</v>
      </c>
      <c r="K94" s="213">
        <f t="shared" si="30"/>
        <v>47.431205477802003</v>
      </c>
      <c r="L94" s="213">
        <f t="shared" si="39"/>
        <v>-657.05856440188245</v>
      </c>
      <c r="M94" s="214">
        <f t="shared" si="28"/>
        <v>10128.631511459465</v>
      </c>
      <c r="O94" s="212">
        <f t="shared" si="40"/>
        <v>20</v>
      </c>
      <c r="P94" s="215">
        <f t="shared" si="41"/>
        <v>10076.819444444445</v>
      </c>
      <c r="Q94" s="201">
        <f t="shared" si="29"/>
        <v>36625.034885735404</v>
      </c>
      <c r="R94" s="201">
        <f t="shared" si="31"/>
        <v>-657.05856440188245</v>
      </c>
      <c r="S94" s="213">
        <f t="shared" si="42"/>
        <v>0</v>
      </c>
      <c r="T94" s="213"/>
      <c r="U94" s="213">
        <f t="shared" si="43"/>
        <v>-1831.2517442867702</v>
      </c>
      <c r="V94" s="201">
        <f t="shared" si="46"/>
        <v>-609.28125</v>
      </c>
      <c r="W94" s="204">
        <f t="shared" si="33"/>
        <v>33527.443327046756</v>
      </c>
      <c r="X94" s="216">
        <f t="shared" si="44"/>
        <v>667697.97591593512</v>
      </c>
      <c r="Z94" s="206">
        <f t="shared" si="45"/>
        <v>292455</v>
      </c>
      <c r="AA94" s="193">
        <f t="shared" si="34"/>
        <v>0</v>
      </c>
      <c r="AB94" s="206">
        <f t="shared" si="35"/>
        <v>292455</v>
      </c>
    </row>
    <row r="95" spans="1:28" s="177" customFormat="1" x14ac:dyDescent="0.45">
      <c r="A95" s="194">
        <v>1</v>
      </c>
      <c r="B95" s="195" t="s">
        <v>16</v>
      </c>
      <c r="C95" s="242">
        <v>1</v>
      </c>
      <c r="D95" s="243">
        <f>+C75*C95</f>
        <v>21825</v>
      </c>
      <c r="E95" s="244">
        <v>0.5</v>
      </c>
      <c r="F95" s="245">
        <f>E95*D95</f>
        <v>10912.5</v>
      </c>
      <c r="G95" s="246">
        <f>D95-F95</f>
        <v>10912.5</v>
      </c>
      <c r="H95" s="178"/>
      <c r="I95" s="212">
        <f t="shared" si="37"/>
        <v>21</v>
      </c>
      <c r="J95" s="213">
        <f t="shared" si="48"/>
        <v>10128.631511459465</v>
      </c>
      <c r="K95" s="213">
        <f t="shared" si="30"/>
        <v>44.738463490945335</v>
      </c>
      <c r="L95" s="213">
        <f t="shared" si="39"/>
        <v>-657.05856440188245</v>
      </c>
      <c r="M95" s="214">
        <f t="shared" si="28"/>
        <v>9516.3114105485274</v>
      </c>
      <c r="O95" s="212">
        <f t="shared" si="40"/>
        <v>21</v>
      </c>
      <c r="P95" s="215">
        <f t="shared" si="41"/>
        <v>10596.944444444445</v>
      </c>
      <c r="Q95" s="201">
        <f t="shared" si="29"/>
        <v>36625.034885735404</v>
      </c>
      <c r="R95" s="201">
        <f t="shared" si="31"/>
        <v>-657.05856440188245</v>
      </c>
      <c r="S95" s="213">
        <f t="shared" si="42"/>
        <v>0</v>
      </c>
      <c r="T95" s="213"/>
      <c r="U95" s="213">
        <f t="shared" si="43"/>
        <v>-1831.2517442867702</v>
      </c>
      <c r="V95" s="201">
        <f t="shared" si="46"/>
        <v>-594.27656250000007</v>
      </c>
      <c r="W95" s="204">
        <f t="shared" si="33"/>
        <v>33542.448014546753</v>
      </c>
      <c r="X95" s="216">
        <f t="shared" si="44"/>
        <v>701240.42393048189</v>
      </c>
      <c r="Z95" s="206">
        <f t="shared" si="45"/>
        <v>285252.75</v>
      </c>
      <c r="AA95" s="193">
        <f t="shared" si="34"/>
        <v>0</v>
      </c>
      <c r="AB95" s="206">
        <f t="shared" si="35"/>
        <v>285252.75</v>
      </c>
    </row>
    <row r="96" spans="1:28" s="177" customFormat="1" x14ac:dyDescent="0.45">
      <c r="A96" s="207">
        <f>A95+1</f>
        <v>2</v>
      </c>
      <c r="B96" s="193" t="s">
        <v>12</v>
      </c>
      <c r="C96" s="247">
        <f>C79</f>
        <v>0.01</v>
      </c>
      <c r="D96" s="248">
        <f>-C96*C75</f>
        <v>-218.25</v>
      </c>
      <c r="E96" s="249">
        <f>E95</f>
        <v>0.5</v>
      </c>
      <c r="F96" s="213">
        <f t="shared" ref="F96:F101" si="49">E96*D96</f>
        <v>-109.125</v>
      </c>
      <c r="G96" s="214">
        <f>D96-F96</f>
        <v>-109.125</v>
      </c>
      <c r="H96" s="178"/>
      <c r="I96" s="212">
        <f t="shared" si="37"/>
        <v>22</v>
      </c>
      <c r="J96" s="213">
        <f t="shared" si="48"/>
        <v>9516.3114105485274</v>
      </c>
      <c r="K96" s="213">
        <f t="shared" si="30"/>
        <v>42.033827583480218</v>
      </c>
      <c r="L96" s="213">
        <f t="shared" si="39"/>
        <v>-657.05856440188245</v>
      </c>
      <c r="M96" s="214">
        <f t="shared" si="28"/>
        <v>8901.2866737301247</v>
      </c>
      <c r="O96" s="212">
        <f t="shared" si="40"/>
        <v>22</v>
      </c>
      <c r="P96" s="215">
        <f t="shared" si="41"/>
        <v>11117.069444444445</v>
      </c>
      <c r="Q96" s="201">
        <f t="shared" si="29"/>
        <v>36625.034885735404</v>
      </c>
      <c r="R96" s="201">
        <f t="shared" si="31"/>
        <v>-657.05856440188245</v>
      </c>
      <c r="S96" s="213">
        <f t="shared" si="42"/>
        <v>0</v>
      </c>
      <c r="T96" s="213"/>
      <c r="U96" s="213">
        <f t="shared" si="43"/>
        <v>-1831.2517442867702</v>
      </c>
      <c r="V96" s="201">
        <f t="shared" si="46"/>
        <v>-579.27187500000002</v>
      </c>
      <c r="W96" s="204">
        <f t="shared" si="33"/>
        <v>33557.452702046758</v>
      </c>
      <c r="X96" s="216">
        <f t="shared" si="44"/>
        <v>734797.87663252861</v>
      </c>
      <c r="Z96" s="206">
        <f t="shared" si="45"/>
        <v>278050.5</v>
      </c>
      <c r="AA96" s="193">
        <f t="shared" si="34"/>
        <v>0</v>
      </c>
      <c r="AB96" s="206">
        <f t="shared" si="35"/>
        <v>278050.5</v>
      </c>
    </row>
    <row r="97" spans="1:28" s="177" customFormat="1" x14ac:dyDescent="0.45">
      <c r="A97" s="207">
        <f t="shared" ref="A97:A102" si="50">A96+1</f>
        <v>3</v>
      </c>
      <c r="B97" s="193" t="s">
        <v>17</v>
      </c>
      <c r="C97" s="250">
        <f>C76</f>
        <v>5.2999999999999999E-2</v>
      </c>
      <c r="D97" s="213">
        <f>K123</f>
        <v>1829.2748270054283</v>
      </c>
      <c r="E97" s="249">
        <v>1</v>
      </c>
      <c r="F97" s="213">
        <f t="shared" si="49"/>
        <v>1829.2748270054283</v>
      </c>
      <c r="G97" s="214">
        <f>D97-F97</f>
        <v>0</v>
      </c>
      <c r="H97" s="178"/>
      <c r="I97" s="212">
        <f t="shared" si="37"/>
        <v>23</v>
      </c>
      <c r="J97" s="213">
        <f t="shared" si="48"/>
        <v>8901.2866737301247</v>
      </c>
      <c r="K97" s="213">
        <f t="shared" si="30"/>
        <v>39.317245219609269</v>
      </c>
      <c r="L97" s="213">
        <f t="shared" si="39"/>
        <v>-657.05856440188245</v>
      </c>
      <c r="M97" s="214">
        <f t="shared" si="28"/>
        <v>8283.5453545478504</v>
      </c>
      <c r="O97" s="212">
        <f t="shared" si="40"/>
        <v>23</v>
      </c>
      <c r="P97" s="215">
        <f t="shared" si="41"/>
        <v>11637.194444444445</v>
      </c>
      <c r="Q97" s="201">
        <f t="shared" si="29"/>
        <v>36625.034885735404</v>
      </c>
      <c r="R97" s="201">
        <f t="shared" si="31"/>
        <v>-657.05856440188245</v>
      </c>
      <c r="S97" s="213">
        <f t="shared" si="42"/>
        <v>0</v>
      </c>
      <c r="T97" s="213"/>
      <c r="U97" s="213">
        <f t="shared" si="43"/>
        <v>-1831.2517442867702</v>
      </c>
      <c r="V97" s="201">
        <f t="shared" si="46"/>
        <v>-564.26718749999998</v>
      </c>
      <c r="W97" s="204">
        <f t="shared" si="33"/>
        <v>33572.457389546755</v>
      </c>
      <c r="X97" s="216">
        <f t="shared" si="44"/>
        <v>768370.3340220754</v>
      </c>
      <c r="Z97" s="206">
        <f t="shared" si="45"/>
        <v>270848.25</v>
      </c>
      <c r="AA97" s="193">
        <f t="shared" si="34"/>
        <v>0</v>
      </c>
      <c r="AB97" s="206">
        <f t="shared" si="35"/>
        <v>270848.25</v>
      </c>
    </row>
    <row r="98" spans="1:28" s="177" customFormat="1" x14ac:dyDescent="0.45">
      <c r="A98" s="207">
        <f t="shared" si="50"/>
        <v>4</v>
      </c>
      <c r="B98" s="193" t="s">
        <v>6</v>
      </c>
      <c r="C98" s="249">
        <f>C77</f>
        <v>2.5000000000000001E-2</v>
      </c>
      <c r="D98" s="213">
        <f>-V123</f>
        <v>26004.487499999999</v>
      </c>
      <c r="E98" s="249">
        <v>1</v>
      </c>
      <c r="F98" s="213">
        <f t="shared" si="49"/>
        <v>26004.487499999999</v>
      </c>
      <c r="G98" s="214">
        <f>D98-F98</f>
        <v>0</v>
      </c>
      <c r="H98" s="178"/>
      <c r="I98" s="212">
        <f t="shared" si="37"/>
        <v>24</v>
      </c>
      <c r="J98" s="213">
        <f t="shared" si="48"/>
        <v>8283.5453545478504</v>
      </c>
      <c r="K98" s="213">
        <f t="shared" si="30"/>
        <v>36.588663631482923</v>
      </c>
      <c r="L98" s="213">
        <f t="shared" si="39"/>
        <v>-657.05856440188245</v>
      </c>
      <c r="M98" s="214">
        <f t="shared" si="28"/>
        <v>7663.0754537774501</v>
      </c>
      <c r="O98" s="212">
        <f t="shared" si="40"/>
        <v>24</v>
      </c>
      <c r="P98" s="215">
        <f t="shared" si="41"/>
        <v>12157.319444444445</v>
      </c>
      <c r="Q98" s="201">
        <f t="shared" si="29"/>
        <v>36625.034885735404</v>
      </c>
      <c r="R98" s="201">
        <f t="shared" si="31"/>
        <v>-657.05856440188245</v>
      </c>
      <c r="S98" s="213">
        <f t="shared" si="42"/>
        <v>0</v>
      </c>
      <c r="T98" s="213"/>
      <c r="U98" s="213">
        <f t="shared" si="43"/>
        <v>-1831.2517442867702</v>
      </c>
      <c r="V98" s="201">
        <f t="shared" si="46"/>
        <v>-549.26250000000005</v>
      </c>
      <c r="W98" s="204">
        <f t="shared" si="33"/>
        <v>33587.462077046759</v>
      </c>
      <c r="X98" s="216">
        <f t="shared" si="44"/>
        <v>801957.79609912215</v>
      </c>
      <c r="Z98" s="206">
        <f t="shared" si="45"/>
        <v>263646</v>
      </c>
      <c r="AA98" s="193">
        <f t="shared" si="34"/>
        <v>0</v>
      </c>
      <c r="AB98" s="206">
        <f t="shared" si="35"/>
        <v>263646</v>
      </c>
    </row>
    <row r="99" spans="1:28" s="177" customFormat="1" x14ac:dyDescent="0.45">
      <c r="A99" s="207">
        <f t="shared" si="50"/>
        <v>5</v>
      </c>
      <c r="B99" s="193" t="s">
        <v>27</v>
      </c>
      <c r="C99" s="247">
        <f>+C31</f>
        <v>0.65</v>
      </c>
      <c r="D99" s="251">
        <f>C99*('Summary Equip'!$J$27)*(1+'Summary Equip'!$N$3)</f>
        <v>0</v>
      </c>
      <c r="E99" s="249">
        <v>0</v>
      </c>
      <c r="F99" s="213">
        <f t="shared" si="49"/>
        <v>0</v>
      </c>
      <c r="G99" s="214">
        <f>D99</f>
        <v>0</v>
      </c>
      <c r="H99" s="178"/>
      <c r="I99" s="212">
        <f t="shared" si="37"/>
        <v>25</v>
      </c>
      <c r="J99" s="213">
        <f t="shared" si="48"/>
        <v>7663.0754537774501</v>
      </c>
      <c r="K99" s="213">
        <f t="shared" si="30"/>
        <v>33.848029818174496</v>
      </c>
      <c r="L99" s="213">
        <f t="shared" si="39"/>
        <v>-657.05856440188245</v>
      </c>
      <c r="M99" s="214">
        <f t="shared" si="28"/>
        <v>7039.864919193742</v>
      </c>
      <c r="O99" s="212">
        <f t="shared" si="40"/>
        <v>25</v>
      </c>
      <c r="P99" s="215">
        <f t="shared" si="41"/>
        <v>12677.444444444445</v>
      </c>
      <c r="Q99" s="201">
        <f t="shared" si="29"/>
        <v>36625.034885735404</v>
      </c>
      <c r="R99" s="201">
        <f t="shared" si="31"/>
        <v>-657.05856440188245</v>
      </c>
      <c r="S99" s="213">
        <f t="shared" si="42"/>
        <v>0</v>
      </c>
      <c r="T99" s="213"/>
      <c r="U99" s="213">
        <f t="shared" si="43"/>
        <v>-1831.2517442867702</v>
      </c>
      <c r="V99" s="201">
        <f t="shared" si="46"/>
        <v>-534.2578125</v>
      </c>
      <c r="W99" s="204">
        <f t="shared" si="33"/>
        <v>33602.466764546756</v>
      </c>
      <c r="X99" s="216">
        <f t="shared" si="44"/>
        <v>835560.26286366885</v>
      </c>
      <c r="Z99" s="206">
        <f t="shared" si="45"/>
        <v>256443.75</v>
      </c>
      <c r="AA99" s="193">
        <f t="shared" si="34"/>
        <v>0</v>
      </c>
      <c r="AB99" s="206">
        <f t="shared" si="35"/>
        <v>256443.75</v>
      </c>
    </row>
    <row r="100" spans="1:28" s="177" customFormat="1" ht="28.5" x14ac:dyDescent="0.45">
      <c r="A100" s="207">
        <f t="shared" si="50"/>
        <v>6</v>
      </c>
      <c r="B100" s="193" t="s">
        <v>81</v>
      </c>
      <c r="C100" s="247">
        <f>+C32</f>
        <v>0.25</v>
      </c>
      <c r="D100" s="251">
        <f>C100*('Summary Equip'!$J$27)*(1+'Summary Equip'!$N$3)</f>
        <v>0</v>
      </c>
      <c r="E100" s="249">
        <v>0</v>
      </c>
      <c r="F100" s="213">
        <f t="shared" si="49"/>
        <v>0</v>
      </c>
      <c r="G100" s="214">
        <f>D100</f>
        <v>0</v>
      </c>
      <c r="H100" s="178"/>
      <c r="I100" s="212">
        <f t="shared" si="37"/>
        <v>26</v>
      </c>
      <c r="J100" s="213">
        <f t="shared" si="48"/>
        <v>7039.864919193742</v>
      </c>
      <c r="K100" s="213">
        <f t="shared" si="30"/>
        <v>31.095290544650648</v>
      </c>
      <c r="L100" s="213">
        <f t="shared" si="39"/>
        <v>-657.05856440188245</v>
      </c>
      <c r="M100" s="214">
        <f t="shared" si="28"/>
        <v>6413.9016453365093</v>
      </c>
      <c r="O100" s="212">
        <f t="shared" si="40"/>
        <v>26</v>
      </c>
      <c r="P100" s="215">
        <f t="shared" si="41"/>
        <v>13197.569444444445</v>
      </c>
      <c r="Q100" s="201">
        <f t="shared" si="29"/>
        <v>36625.034885735404</v>
      </c>
      <c r="R100" s="201">
        <f t="shared" si="31"/>
        <v>-657.05856440188245</v>
      </c>
      <c r="S100" s="213">
        <f t="shared" si="42"/>
        <v>0</v>
      </c>
      <c r="T100" s="213"/>
      <c r="U100" s="213">
        <f t="shared" si="43"/>
        <v>-1831.2517442867702</v>
      </c>
      <c r="V100" s="201">
        <f t="shared" si="46"/>
        <v>-519.25312500000007</v>
      </c>
      <c r="W100" s="204">
        <f t="shared" si="33"/>
        <v>33617.471452046753</v>
      </c>
      <c r="X100" s="216">
        <f t="shared" si="44"/>
        <v>869177.73431571561</v>
      </c>
      <c r="Z100" s="206">
        <f t="shared" si="45"/>
        <v>249241.5</v>
      </c>
      <c r="AA100" s="193">
        <f t="shared" si="34"/>
        <v>0</v>
      </c>
      <c r="AB100" s="206">
        <f t="shared" si="35"/>
        <v>249241.5</v>
      </c>
    </row>
    <row r="101" spans="1:28" s="177" customFormat="1" ht="14.65" thickBot="1" x14ac:dyDescent="0.5">
      <c r="A101" s="221">
        <f t="shared" si="50"/>
        <v>7</v>
      </c>
      <c r="B101" s="222" t="s">
        <v>32</v>
      </c>
      <c r="C101" s="247">
        <f>+C33</f>
        <v>7.0000000000000007E-2</v>
      </c>
      <c r="D101" s="251">
        <f>C101*('Summary Equip'!$J$27)*(1+'Summary Equip'!$N$3)</f>
        <v>0</v>
      </c>
      <c r="E101" s="252">
        <v>0</v>
      </c>
      <c r="F101" s="253">
        <f t="shared" si="49"/>
        <v>0</v>
      </c>
      <c r="G101" s="254">
        <f>D101</f>
        <v>0</v>
      </c>
      <c r="H101" s="178"/>
      <c r="I101" s="212">
        <f t="shared" si="37"/>
        <v>27</v>
      </c>
      <c r="J101" s="213">
        <f t="shared" si="48"/>
        <v>6413.9016453365093</v>
      </c>
      <c r="K101" s="213">
        <f t="shared" si="30"/>
        <v>28.330392340737298</v>
      </c>
      <c r="L101" s="213">
        <f t="shared" si="39"/>
        <v>-657.05856440188245</v>
      </c>
      <c r="M101" s="214">
        <f t="shared" si="28"/>
        <v>5785.1734732753648</v>
      </c>
      <c r="O101" s="212">
        <f t="shared" si="40"/>
        <v>27</v>
      </c>
      <c r="P101" s="215">
        <f t="shared" si="41"/>
        <v>13717.694444444445</v>
      </c>
      <c r="Q101" s="201">
        <f t="shared" si="29"/>
        <v>36625.034885735404</v>
      </c>
      <c r="R101" s="201">
        <f t="shared" si="31"/>
        <v>-657.05856440188245</v>
      </c>
      <c r="S101" s="213">
        <f t="shared" si="42"/>
        <v>0</v>
      </c>
      <c r="T101" s="213"/>
      <c r="U101" s="213">
        <f t="shared" si="43"/>
        <v>-1831.2517442867702</v>
      </c>
      <c r="V101" s="201">
        <f t="shared" si="46"/>
        <v>-504.24843750000008</v>
      </c>
      <c r="W101" s="204">
        <f t="shared" si="33"/>
        <v>33632.476139546758</v>
      </c>
      <c r="X101" s="216">
        <f t="shared" si="44"/>
        <v>902810.21045526234</v>
      </c>
      <c r="Z101" s="206">
        <f t="shared" si="45"/>
        <v>242039.25</v>
      </c>
      <c r="AA101" s="193">
        <f t="shared" si="34"/>
        <v>0</v>
      </c>
      <c r="AB101" s="206">
        <f t="shared" si="35"/>
        <v>242039.25</v>
      </c>
    </row>
    <row r="102" spans="1:28" s="177" customFormat="1" ht="14.65" thickBot="1" x14ac:dyDescent="0.5">
      <c r="A102" s="255">
        <f t="shared" si="50"/>
        <v>8</v>
      </c>
      <c r="B102" s="256" t="s">
        <v>8</v>
      </c>
      <c r="C102" s="257"/>
      <c r="D102" s="258"/>
      <c r="E102" s="259"/>
      <c r="F102" s="260">
        <f>SUM(F95:F101)</f>
        <v>38637.137327005432</v>
      </c>
      <c r="G102" s="261">
        <f>SUM(G95:G101)</f>
        <v>10803.375</v>
      </c>
      <c r="H102" s="178"/>
      <c r="I102" s="212">
        <f t="shared" si="37"/>
        <v>28</v>
      </c>
      <c r="J102" s="213">
        <f t="shared" si="48"/>
        <v>5785.1734732753648</v>
      </c>
      <c r="K102" s="213">
        <f t="shared" si="30"/>
        <v>25.55328150008107</v>
      </c>
      <c r="L102" s="213">
        <f t="shared" si="39"/>
        <v>-657.05856440188245</v>
      </c>
      <c r="M102" s="214">
        <f t="shared" si="28"/>
        <v>5153.6681903735625</v>
      </c>
      <c r="O102" s="212">
        <f t="shared" si="40"/>
        <v>28</v>
      </c>
      <c r="P102" s="215">
        <f t="shared" si="41"/>
        <v>14237.819444444445</v>
      </c>
      <c r="Q102" s="201">
        <f t="shared" si="29"/>
        <v>36625.034885735404</v>
      </c>
      <c r="R102" s="201">
        <f t="shared" si="31"/>
        <v>-657.05856440188245</v>
      </c>
      <c r="S102" s="213">
        <f t="shared" si="42"/>
        <v>0</v>
      </c>
      <c r="T102" s="213"/>
      <c r="U102" s="213">
        <f t="shared" si="43"/>
        <v>-1831.2517442867702</v>
      </c>
      <c r="V102" s="201">
        <f t="shared" si="46"/>
        <v>-489.24375000000003</v>
      </c>
      <c r="W102" s="204">
        <f t="shared" si="33"/>
        <v>33647.480827046755</v>
      </c>
      <c r="X102" s="216">
        <f t="shared" si="44"/>
        <v>936457.69128230913</v>
      </c>
      <c r="Z102" s="206">
        <f t="shared" si="45"/>
        <v>234837</v>
      </c>
      <c r="AA102" s="193">
        <f t="shared" si="34"/>
        <v>0</v>
      </c>
      <c r="AB102" s="206">
        <f t="shared" si="35"/>
        <v>234837</v>
      </c>
    </row>
    <row r="103" spans="1:28" s="177" customFormat="1" ht="14.65" thickBot="1" x14ac:dyDescent="0.5">
      <c r="A103" s="262">
        <f>A102+1</f>
        <v>9</v>
      </c>
      <c r="B103" s="263" t="s">
        <v>7</v>
      </c>
      <c r="C103" s="264">
        <f>+C35</f>
        <v>0.05</v>
      </c>
      <c r="D103" s="265"/>
      <c r="E103" s="266"/>
      <c r="F103" s="267">
        <f>F104-F102</f>
        <v>2033.5335435266024</v>
      </c>
      <c r="G103" s="268">
        <f>G104-G102</f>
        <v>568.5986842105267</v>
      </c>
      <c r="H103" s="178"/>
      <c r="I103" s="212">
        <f t="shared" si="37"/>
        <v>29</v>
      </c>
      <c r="J103" s="213">
        <f t="shared" si="48"/>
        <v>5153.6681903735625</v>
      </c>
      <c r="K103" s="213">
        <f t="shared" si="30"/>
        <v>22.763904079106027</v>
      </c>
      <c r="L103" s="213">
        <f t="shared" si="39"/>
        <v>-657.05856440188245</v>
      </c>
      <c r="M103" s="214">
        <f t="shared" si="28"/>
        <v>4519.3735300507869</v>
      </c>
      <c r="O103" s="212">
        <f t="shared" si="40"/>
        <v>29</v>
      </c>
      <c r="P103" s="215">
        <f t="shared" si="41"/>
        <v>14757.944444444445</v>
      </c>
      <c r="Q103" s="201">
        <f t="shared" si="29"/>
        <v>36625.034885735404</v>
      </c>
      <c r="R103" s="201">
        <f t="shared" si="31"/>
        <v>-657.05856440188245</v>
      </c>
      <c r="S103" s="213">
        <f t="shared" si="42"/>
        <v>0</v>
      </c>
      <c r="T103" s="213"/>
      <c r="U103" s="213">
        <f t="shared" si="43"/>
        <v>-1831.2517442867702</v>
      </c>
      <c r="V103" s="201">
        <f t="shared" si="46"/>
        <v>-474.23906250000005</v>
      </c>
      <c r="W103" s="204">
        <f t="shared" si="33"/>
        <v>33662.485514546759</v>
      </c>
      <c r="X103" s="216">
        <f t="shared" si="44"/>
        <v>970120.17679685587</v>
      </c>
      <c r="Z103" s="206">
        <f t="shared" si="45"/>
        <v>227634.75</v>
      </c>
      <c r="AA103" s="193">
        <f t="shared" si="34"/>
        <v>0</v>
      </c>
      <c r="AB103" s="206">
        <f t="shared" si="35"/>
        <v>227634.75</v>
      </c>
    </row>
    <row r="104" spans="1:28" s="177" customFormat="1" ht="14.65" thickBot="1" x14ac:dyDescent="0.5">
      <c r="A104" s="269">
        <f>A103+1</f>
        <v>10</v>
      </c>
      <c r="B104" s="270" t="s">
        <v>28</v>
      </c>
      <c r="C104" s="271"/>
      <c r="D104" s="272"/>
      <c r="E104" s="273"/>
      <c r="F104" s="274">
        <f>F102/(100%-C103)</f>
        <v>40670.670870532034</v>
      </c>
      <c r="G104" s="275">
        <f>G102/(100%-C103)</f>
        <v>11371.973684210527</v>
      </c>
      <c r="H104" s="178"/>
      <c r="I104" s="212">
        <f t="shared" si="37"/>
        <v>30</v>
      </c>
      <c r="J104" s="213">
        <f t="shared" si="48"/>
        <v>4519.3735300507869</v>
      </c>
      <c r="K104" s="213">
        <f t="shared" si="30"/>
        <v>19.962205895965873</v>
      </c>
      <c r="L104" s="213">
        <f t="shared" si="39"/>
        <v>-657.05856440188245</v>
      </c>
      <c r="M104" s="214">
        <f t="shared" si="28"/>
        <v>3882.2771715448703</v>
      </c>
      <c r="O104" s="212">
        <f t="shared" si="40"/>
        <v>30</v>
      </c>
      <c r="P104" s="215">
        <f t="shared" si="41"/>
        <v>15278.069444444445</v>
      </c>
      <c r="Q104" s="201">
        <f t="shared" si="29"/>
        <v>36625.034885735404</v>
      </c>
      <c r="R104" s="201">
        <f t="shared" si="31"/>
        <v>-657.05856440188245</v>
      </c>
      <c r="S104" s="213">
        <f t="shared" si="42"/>
        <v>0</v>
      </c>
      <c r="T104" s="213">
        <f>-T124*0.5</f>
        <v>0</v>
      </c>
      <c r="U104" s="213">
        <f t="shared" si="43"/>
        <v>-1831.2517442867702</v>
      </c>
      <c r="V104" s="201">
        <f t="shared" si="46"/>
        <v>-459.234375</v>
      </c>
      <c r="W104" s="204">
        <f t="shared" si="33"/>
        <v>33677.490202046756</v>
      </c>
      <c r="X104" s="216">
        <f t="shared" si="44"/>
        <v>1003797.6669989026</v>
      </c>
      <c r="Z104" s="206">
        <f t="shared" si="45"/>
        <v>220432.5</v>
      </c>
      <c r="AA104" s="193">
        <f t="shared" si="34"/>
        <v>0</v>
      </c>
      <c r="AB104" s="206">
        <f t="shared" si="35"/>
        <v>220432.5</v>
      </c>
    </row>
    <row r="105" spans="1:28" s="177" customFormat="1" x14ac:dyDescent="0.45">
      <c r="C105" s="178"/>
      <c r="D105" s="178"/>
      <c r="E105" s="178"/>
      <c r="F105" s="178"/>
      <c r="G105" s="178"/>
      <c r="H105" s="178"/>
      <c r="I105" s="212">
        <f t="shared" si="37"/>
        <v>31</v>
      </c>
      <c r="J105" s="213">
        <f t="shared" si="48"/>
        <v>3882.2771715448703</v>
      </c>
      <c r="K105" s="213">
        <f t="shared" si="30"/>
        <v>17.148132529491502</v>
      </c>
      <c r="L105" s="213">
        <f t="shared" si="39"/>
        <v>-657.05856440188245</v>
      </c>
      <c r="M105" s="214">
        <f t="shared" si="28"/>
        <v>3242.3667396724795</v>
      </c>
      <c r="O105" s="212">
        <f t="shared" si="40"/>
        <v>31</v>
      </c>
      <c r="P105" s="215">
        <f t="shared" si="41"/>
        <v>15798.194444444445</v>
      </c>
      <c r="Q105" s="201">
        <f t="shared" si="29"/>
        <v>36625.034885735404</v>
      </c>
      <c r="R105" s="201">
        <f t="shared" si="31"/>
        <v>-657.05856440188245</v>
      </c>
      <c r="S105" s="213">
        <f t="shared" si="42"/>
        <v>0</v>
      </c>
      <c r="T105" s="213"/>
      <c r="U105" s="213">
        <f t="shared" si="43"/>
        <v>-1831.2517442867702</v>
      </c>
      <c r="V105" s="201">
        <f t="shared" si="46"/>
        <v>-444.22968750000001</v>
      </c>
      <c r="W105" s="204">
        <f t="shared" si="33"/>
        <v>33692.494889546753</v>
      </c>
      <c r="X105" s="216">
        <f t="shared" si="44"/>
        <v>1037490.1618884493</v>
      </c>
      <c r="Z105" s="206">
        <f t="shared" si="45"/>
        <v>213230.25</v>
      </c>
      <c r="AA105" s="193">
        <f t="shared" si="34"/>
        <v>0</v>
      </c>
      <c r="AB105" s="206">
        <f t="shared" si="35"/>
        <v>213230.25</v>
      </c>
    </row>
    <row r="106" spans="1:28" s="177" customFormat="1" x14ac:dyDescent="0.45">
      <c r="C106" s="178"/>
      <c r="D106" s="178"/>
      <c r="E106" s="178"/>
      <c r="F106" s="178"/>
      <c r="G106" s="178"/>
      <c r="H106" s="178"/>
      <c r="I106" s="212">
        <f t="shared" si="37"/>
        <v>32</v>
      </c>
      <c r="J106" s="213">
        <f t="shared" si="48"/>
        <v>3242.3667396724795</v>
      </c>
      <c r="K106" s="213">
        <f t="shared" si="30"/>
        <v>14.321629318133894</v>
      </c>
      <c r="L106" s="213">
        <f t="shared" si="39"/>
        <v>-657.05856440188245</v>
      </c>
      <c r="M106" s="214">
        <f t="shared" si="28"/>
        <v>2599.6298045887311</v>
      </c>
      <c r="O106" s="212">
        <f t="shared" si="40"/>
        <v>32</v>
      </c>
      <c r="P106" s="215">
        <f t="shared" si="41"/>
        <v>16318.319444444445</v>
      </c>
      <c r="Q106" s="201">
        <f t="shared" si="29"/>
        <v>36625.034885735404</v>
      </c>
      <c r="R106" s="201">
        <f t="shared" si="31"/>
        <v>-657.05856440188245</v>
      </c>
      <c r="S106" s="213">
        <f t="shared" si="42"/>
        <v>0</v>
      </c>
      <c r="T106" s="213"/>
      <c r="U106" s="213">
        <f t="shared" si="43"/>
        <v>-1831.2517442867702</v>
      </c>
      <c r="V106" s="201">
        <f t="shared" si="46"/>
        <v>-429.22500000000008</v>
      </c>
      <c r="W106" s="204">
        <f t="shared" si="33"/>
        <v>33707.499577046758</v>
      </c>
      <c r="X106" s="216">
        <f t="shared" si="44"/>
        <v>1071197.6614654961</v>
      </c>
      <c r="Z106" s="206">
        <f t="shared" si="45"/>
        <v>206028</v>
      </c>
      <c r="AA106" s="193">
        <f t="shared" si="34"/>
        <v>0</v>
      </c>
      <c r="AB106" s="206">
        <f t="shared" si="35"/>
        <v>206028</v>
      </c>
    </row>
    <row r="107" spans="1:28" s="177" customFormat="1" x14ac:dyDescent="0.45">
      <c r="C107" s="178"/>
      <c r="D107" s="178"/>
      <c r="E107" s="178"/>
      <c r="F107" s="178"/>
      <c r="G107" s="178"/>
      <c r="H107" s="178"/>
      <c r="I107" s="212">
        <f t="shared" si="37"/>
        <v>33</v>
      </c>
      <c r="J107" s="213">
        <f t="shared" si="48"/>
        <v>2599.6298045887311</v>
      </c>
      <c r="K107" s="213">
        <f t="shared" si="30"/>
        <v>11.482641358902372</v>
      </c>
      <c r="L107" s="213">
        <f t="shared" si="39"/>
        <v>-657.05856440188245</v>
      </c>
      <c r="M107" s="214">
        <f t="shared" si="28"/>
        <v>1954.0538815457512</v>
      </c>
      <c r="O107" s="212">
        <f t="shared" si="40"/>
        <v>33</v>
      </c>
      <c r="P107" s="215">
        <f t="shared" si="41"/>
        <v>16838.444444444445</v>
      </c>
      <c r="Q107" s="201">
        <f t="shared" si="29"/>
        <v>36625.034885735404</v>
      </c>
      <c r="R107" s="201">
        <f t="shared" si="31"/>
        <v>-657.05856440188245</v>
      </c>
      <c r="S107" s="213">
        <f t="shared" si="42"/>
        <v>0</v>
      </c>
      <c r="T107" s="213"/>
      <c r="U107" s="213">
        <f t="shared" si="43"/>
        <v>-1831.2517442867702</v>
      </c>
      <c r="V107" s="201">
        <f t="shared" si="46"/>
        <v>-414.22031250000003</v>
      </c>
      <c r="W107" s="204">
        <f t="shared" si="33"/>
        <v>33722.504264546755</v>
      </c>
      <c r="X107" s="216">
        <f t="shared" si="44"/>
        <v>1104920.1657300428</v>
      </c>
      <c r="Z107" s="206">
        <f t="shared" si="45"/>
        <v>198825.75</v>
      </c>
      <c r="AA107" s="193">
        <f t="shared" si="34"/>
        <v>0</v>
      </c>
      <c r="AB107" s="206">
        <f t="shared" si="35"/>
        <v>198825.75</v>
      </c>
    </row>
    <row r="108" spans="1:28" s="177" customFormat="1" ht="14.65" thickBot="1" x14ac:dyDescent="0.5">
      <c r="C108" s="178"/>
      <c r="D108" s="178"/>
      <c r="E108" s="178"/>
      <c r="F108" s="178"/>
      <c r="G108" s="178"/>
      <c r="H108" s="178"/>
      <c r="I108" s="212">
        <f t="shared" si="37"/>
        <v>34</v>
      </c>
      <c r="J108" s="213">
        <f t="shared" si="48"/>
        <v>1954.0538815457512</v>
      </c>
      <c r="K108" s="213">
        <f t="shared" si="30"/>
        <v>8.6311135062981297</v>
      </c>
      <c r="L108" s="213">
        <f t="shared" si="39"/>
        <v>-657.05856440188245</v>
      </c>
      <c r="M108" s="214">
        <f t="shared" si="28"/>
        <v>1305.6264306501669</v>
      </c>
      <c r="O108" s="212">
        <f t="shared" si="40"/>
        <v>34</v>
      </c>
      <c r="P108" s="215">
        <f t="shared" si="41"/>
        <v>17358.569444444445</v>
      </c>
      <c r="Q108" s="201">
        <f t="shared" si="29"/>
        <v>36625.034885735404</v>
      </c>
      <c r="R108" s="201">
        <f t="shared" si="31"/>
        <v>-657.05856440188245</v>
      </c>
      <c r="S108" s="213">
        <f t="shared" si="42"/>
        <v>0</v>
      </c>
      <c r="T108" s="213"/>
      <c r="U108" s="213">
        <f t="shared" si="43"/>
        <v>-1831.2517442867702</v>
      </c>
      <c r="V108" s="201">
        <f t="shared" si="46"/>
        <v>-399.21562500000005</v>
      </c>
      <c r="W108" s="204">
        <f t="shared" si="33"/>
        <v>33737.508952046759</v>
      </c>
      <c r="X108" s="216">
        <f t="shared" si="44"/>
        <v>1138657.6746820896</v>
      </c>
      <c r="Z108" s="206">
        <f t="shared" si="45"/>
        <v>191623.5</v>
      </c>
      <c r="AA108" s="193">
        <f t="shared" si="34"/>
        <v>0</v>
      </c>
      <c r="AB108" s="206">
        <f t="shared" si="35"/>
        <v>191623.5</v>
      </c>
    </row>
    <row r="109" spans="1:28" s="177" customFormat="1" ht="31.15" thickBot="1" x14ac:dyDescent="0.5">
      <c r="A109" s="723" t="s">
        <v>29</v>
      </c>
      <c r="B109" s="724"/>
      <c r="C109" s="724"/>
      <c r="D109" s="724"/>
      <c r="E109" s="724"/>
      <c r="F109" s="724"/>
      <c r="G109" s="725"/>
      <c r="H109" s="178"/>
      <c r="I109" s="212">
        <f t="shared" si="37"/>
        <v>35</v>
      </c>
      <c r="J109" s="213">
        <f t="shared" si="48"/>
        <v>1305.6264306501669</v>
      </c>
      <c r="K109" s="213">
        <f t="shared" si="30"/>
        <v>5.7669903712430584</v>
      </c>
      <c r="L109" s="213">
        <f t="shared" si="39"/>
        <v>-657.05856440188245</v>
      </c>
      <c r="M109" s="214">
        <f t="shared" si="28"/>
        <v>654.3348566195275</v>
      </c>
      <c r="O109" s="212">
        <f t="shared" si="40"/>
        <v>35</v>
      </c>
      <c r="P109" s="215">
        <f t="shared" si="41"/>
        <v>17878.694444444445</v>
      </c>
      <c r="Q109" s="201">
        <f t="shared" si="29"/>
        <v>36625.034885735404</v>
      </c>
      <c r="R109" s="201">
        <f t="shared" si="31"/>
        <v>-657.05856440188245</v>
      </c>
      <c r="S109" s="213">
        <f t="shared" si="42"/>
        <v>0</v>
      </c>
      <c r="T109" s="213"/>
      <c r="U109" s="213">
        <f t="shared" si="43"/>
        <v>-1831.2517442867702</v>
      </c>
      <c r="V109" s="201">
        <f t="shared" si="46"/>
        <v>-384.2109375</v>
      </c>
      <c r="W109" s="204">
        <f t="shared" si="33"/>
        <v>33752.513639546756</v>
      </c>
      <c r="X109" s="216">
        <f t="shared" si="44"/>
        <v>1172410.1883216363</v>
      </c>
      <c r="Z109" s="206">
        <f t="shared" si="45"/>
        <v>184421.25</v>
      </c>
      <c r="AA109" s="193">
        <f t="shared" si="34"/>
        <v>0</v>
      </c>
      <c r="AB109" s="206">
        <f t="shared" si="35"/>
        <v>184421.25</v>
      </c>
    </row>
    <row r="110" spans="1:28" s="177" customFormat="1" ht="18" x14ac:dyDescent="0.45">
      <c r="A110" s="276">
        <v>1</v>
      </c>
      <c r="B110" s="702" t="s">
        <v>30</v>
      </c>
      <c r="C110" s="703"/>
      <c r="D110" s="703"/>
      <c r="E110" s="704"/>
      <c r="F110" s="277">
        <f>F104/C80/C82</f>
        <v>1613.9155107353984</v>
      </c>
      <c r="G110" s="278">
        <f>G104/C81/C82</f>
        <v>1.6245676691729323</v>
      </c>
      <c r="H110" s="178"/>
      <c r="I110" s="279">
        <f t="shared" si="37"/>
        <v>36</v>
      </c>
      <c r="J110" s="280">
        <f t="shared" si="48"/>
        <v>654.3348566195275</v>
      </c>
      <c r="K110" s="280">
        <f t="shared" si="30"/>
        <v>2.8902163200038768</v>
      </c>
      <c r="L110" s="280">
        <f>L109</f>
        <v>-657.05856440188245</v>
      </c>
      <c r="M110" s="281">
        <f t="shared" si="28"/>
        <v>0.16650853764895146</v>
      </c>
      <c r="O110" s="279">
        <f t="shared" si="40"/>
        <v>36</v>
      </c>
      <c r="P110" s="215">
        <f t="shared" si="41"/>
        <v>18398.819444444445</v>
      </c>
      <c r="Q110" s="201">
        <f t="shared" si="29"/>
        <v>36625.034885735404</v>
      </c>
      <c r="R110" s="201">
        <f t="shared" si="31"/>
        <v>-657.05856440188245</v>
      </c>
      <c r="S110" s="213">
        <f t="shared" si="42"/>
        <v>0</v>
      </c>
      <c r="T110" s="213"/>
      <c r="U110" s="213">
        <f t="shared" si="43"/>
        <v>-1831.2517442867702</v>
      </c>
      <c r="V110" s="201">
        <f t="shared" si="46"/>
        <v>-369.20625000000001</v>
      </c>
      <c r="W110" s="204">
        <f t="shared" si="33"/>
        <v>33767.518327046753</v>
      </c>
      <c r="X110" s="216">
        <f t="shared" si="44"/>
        <v>1206177.7066486829</v>
      </c>
      <c r="Z110" s="206">
        <f t="shared" si="45"/>
        <v>177219</v>
      </c>
      <c r="AA110" s="193">
        <f t="shared" si="34"/>
        <v>0</v>
      </c>
      <c r="AB110" s="206">
        <f t="shared" si="35"/>
        <v>177219</v>
      </c>
    </row>
    <row r="111" spans="1:28" s="177" customFormat="1" ht="18.399999999999999" thickBot="1" x14ac:dyDescent="0.5">
      <c r="A111" s="282">
        <f>A110+1</f>
        <v>2</v>
      </c>
      <c r="B111" s="705" t="s">
        <v>31</v>
      </c>
      <c r="C111" s="706"/>
      <c r="D111" s="706"/>
      <c r="E111" s="707"/>
      <c r="F111" s="283"/>
      <c r="G111" s="284">
        <f>(G104+F104)/C81/C82</f>
        <v>7.4346635078203658</v>
      </c>
      <c r="H111" s="178"/>
      <c r="I111" s="279">
        <f t="shared" si="37"/>
        <v>37</v>
      </c>
      <c r="J111" s="280"/>
      <c r="K111" s="280"/>
      <c r="L111" s="280"/>
      <c r="M111" s="281">
        <f t="shared" si="28"/>
        <v>0</v>
      </c>
      <c r="O111" s="279">
        <f t="shared" si="40"/>
        <v>37</v>
      </c>
      <c r="P111" s="215">
        <f t="shared" si="41"/>
        <v>18918.944444444445</v>
      </c>
      <c r="Q111" s="213">
        <f t="shared" ref="Q111:Q122" si="51">$F$42+($Q$4*$G$42)</f>
        <v>40336.554043953955</v>
      </c>
      <c r="R111" s="201">
        <f t="shared" si="31"/>
        <v>0</v>
      </c>
      <c r="S111" s="213">
        <f t="shared" si="42"/>
        <v>0</v>
      </c>
      <c r="T111" s="213"/>
      <c r="U111" s="213">
        <f t="shared" si="43"/>
        <v>-1831.2517442867702</v>
      </c>
      <c r="V111" s="201">
        <f t="shared" si="46"/>
        <v>-354.20156249999997</v>
      </c>
      <c r="W111" s="204">
        <f t="shared" si="33"/>
        <v>38151.100737167188</v>
      </c>
      <c r="X111" s="216">
        <f t="shared" si="44"/>
        <v>1244328.8073858502</v>
      </c>
      <c r="Z111" s="206">
        <f t="shared" si="45"/>
        <v>170016.75</v>
      </c>
      <c r="AA111" s="193">
        <f t="shared" si="34"/>
        <v>0</v>
      </c>
      <c r="AB111" s="206">
        <f t="shared" si="35"/>
        <v>170016.75</v>
      </c>
    </row>
    <row r="112" spans="1:28" s="177" customFormat="1" x14ac:dyDescent="0.45">
      <c r="I112" s="279">
        <f t="shared" si="37"/>
        <v>38</v>
      </c>
      <c r="J112" s="280"/>
      <c r="K112" s="280"/>
      <c r="L112" s="280"/>
      <c r="M112" s="281">
        <f t="shared" si="28"/>
        <v>0</v>
      </c>
      <c r="O112" s="279">
        <f t="shared" si="40"/>
        <v>38</v>
      </c>
      <c r="P112" s="215">
        <f t="shared" si="41"/>
        <v>19439.069444444445</v>
      </c>
      <c r="Q112" s="213">
        <f t="shared" si="51"/>
        <v>40336.554043953955</v>
      </c>
      <c r="R112" s="201">
        <f t="shared" si="31"/>
        <v>0</v>
      </c>
      <c r="S112" s="213">
        <f t="shared" si="42"/>
        <v>0</v>
      </c>
      <c r="T112" s="213"/>
      <c r="U112" s="213">
        <f t="shared" si="43"/>
        <v>-1831.2517442867702</v>
      </c>
      <c r="V112" s="201">
        <f t="shared" si="46"/>
        <v>-339.19687500000003</v>
      </c>
      <c r="W112" s="204">
        <f t="shared" si="33"/>
        <v>38166.105424667185</v>
      </c>
      <c r="X112" s="216">
        <f t="shared" si="44"/>
        <v>1282494.9128105175</v>
      </c>
      <c r="Z112" s="206">
        <f t="shared" si="45"/>
        <v>162814.5</v>
      </c>
      <c r="AA112" s="193">
        <f t="shared" si="34"/>
        <v>0</v>
      </c>
      <c r="AB112" s="206">
        <f t="shared" si="35"/>
        <v>162814.5</v>
      </c>
    </row>
    <row r="113" spans="9:28" s="177" customFormat="1" x14ac:dyDescent="0.45">
      <c r="I113" s="279">
        <f t="shared" si="37"/>
        <v>39</v>
      </c>
      <c r="J113" s="280"/>
      <c r="K113" s="280"/>
      <c r="L113" s="280"/>
      <c r="M113" s="281">
        <f t="shared" si="28"/>
        <v>0</v>
      </c>
      <c r="O113" s="279">
        <f t="shared" si="40"/>
        <v>39</v>
      </c>
      <c r="P113" s="215">
        <f t="shared" si="41"/>
        <v>19959.194444444445</v>
      </c>
      <c r="Q113" s="213">
        <f t="shared" si="51"/>
        <v>40336.554043953955</v>
      </c>
      <c r="R113" s="201">
        <f t="shared" si="31"/>
        <v>0</v>
      </c>
      <c r="S113" s="213">
        <f t="shared" si="42"/>
        <v>0</v>
      </c>
      <c r="T113" s="213"/>
      <c r="U113" s="213">
        <f t="shared" si="43"/>
        <v>-1831.2517442867702</v>
      </c>
      <c r="V113" s="201">
        <f t="shared" si="46"/>
        <v>-324.19218749999999</v>
      </c>
      <c r="W113" s="204">
        <f t="shared" si="33"/>
        <v>38181.110112167189</v>
      </c>
      <c r="X113" s="216">
        <f t="shared" si="44"/>
        <v>1320676.0229226847</v>
      </c>
      <c r="Z113" s="206">
        <f t="shared" si="45"/>
        <v>155612.25</v>
      </c>
      <c r="AA113" s="193">
        <f t="shared" si="34"/>
        <v>0</v>
      </c>
      <c r="AB113" s="206">
        <f t="shared" si="35"/>
        <v>155612.25</v>
      </c>
    </row>
    <row r="114" spans="9:28" s="177" customFormat="1" x14ac:dyDescent="0.45">
      <c r="I114" s="279">
        <f t="shared" si="37"/>
        <v>40</v>
      </c>
      <c r="J114" s="280"/>
      <c r="K114" s="280"/>
      <c r="L114" s="280"/>
      <c r="M114" s="281">
        <f t="shared" si="28"/>
        <v>0</v>
      </c>
      <c r="O114" s="279">
        <f t="shared" si="40"/>
        <v>40</v>
      </c>
      <c r="P114" s="215">
        <f t="shared" si="41"/>
        <v>20479.319444444445</v>
      </c>
      <c r="Q114" s="213">
        <f t="shared" si="51"/>
        <v>40336.554043953955</v>
      </c>
      <c r="R114" s="201">
        <f t="shared" si="31"/>
        <v>0</v>
      </c>
      <c r="S114" s="213">
        <f t="shared" si="42"/>
        <v>0</v>
      </c>
      <c r="T114" s="213"/>
      <c r="U114" s="213">
        <f t="shared" si="43"/>
        <v>-1831.2517442867702</v>
      </c>
      <c r="V114" s="201">
        <f t="shared" si="46"/>
        <v>-309.1875</v>
      </c>
      <c r="W114" s="204">
        <f t="shared" si="33"/>
        <v>38196.114799667186</v>
      </c>
      <c r="X114" s="216">
        <f t="shared" si="44"/>
        <v>1358872.1377223518</v>
      </c>
      <c r="Z114" s="206">
        <f t="shared" si="45"/>
        <v>148410</v>
      </c>
      <c r="AA114" s="193">
        <f t="shared" si="34"/>
        <v>0</v>
      </c>
      <c r="AB114" s="206">
        <f t="shared" si="35"/>
        <v>148410</v>
      </c>
    </row>
    <row r="115" spans="9:28" s="177" customFormat="1" x14ac:dyDescent="0.45">
      <c r="I115" s="279">
        <f t="shared" si="37"/>
        <v>41</v>
      </c>
      <c r="J115" s="280"/>
      <c r="K115" s="280"/>
      <c r="L115" s="280"/>
      <c r="M115" s="281">
        <f t="shared" si="28"/>
        <v>0</v>
      </c>
      <c r="O115" s="279">
        <f t="shared" si="40"/>
        <v>41</v>
      </c>
      <c r="P115" s="215">
        <f t="shared" si="41"/>
        <v>20999.444444444445</v>
      </c>
      <c r="Q115" s="213">
        <f t="shared" si="51"/>
        <v>40336.554043953955</v>
      </c>
      <c r="R115" s="201">
        <f t="shared" si="31"/>
        <v>0</v>
      </c>
      <c r="S115" s="213">
        <f t="shared" si="42"/>
        <v>0</v>
      </c>
      <c r="T115" s="213"/>
      <c r="U115" s="213">
        <f t="shared" si="43"/>
        <v>-1831.2517442867702</v>
      </c>
      <c r="V115" s="201">
        <f t="shared" si="46"/>
        <v>-294.18281250000001</v>
      </c>
      <c r="W115" s="204">
        <f t="shared" si="33"/>
        <v>38211.119487167183</v>
      </c>
      <c r="X115" s="216">
        <f t="shared" si="44"/>
        <v>1397083.2572095189</v>
      </c>
      <c r="Z115" s="206">
        <f t="shared" si="45"/>
        <v>141207.75</v>
      </c>
      <c r="AA115" s="193">
        <f t="shared" si="34"/>
        <v>0</v>
      </c>
      <c r="AB115" s="206">
        <f t="shared" si="35"/>
        <v>141207.75</v>
      </c>
    </row>
    <row r="116" spans="9:28" s="177" customFormat="1" x14ac:dyDescent="0.45">
      <c r="I116" s="279">
        <f t="shared" si="37"/>
        <v>42</v>
      </c>
      <c r="J116" s="280"/>
      <c r="K116" s="280"/>
      <c r="L116" s="280"/>
      <c r="M116" s="281">
        <f t="shared" si="28"/>
        <v>0</v>
      </c>
      <c r="O116" s="279">
        <f t="shared" si="40"/>
        <v>42</v>
      </c>
      <c r="P116" s="215">
        <f t="shared" si="41"/>
        <v>21519.569444444445</v>
      </c>
      <c r="Q116" s="213">
        <f t="shared" si="51"/>
        <v>40336.554043953955</v>
      </c>
      <c r="R116" s="201">
        <f t="shared" si="31"/>
        <v>0</v>
      </c>
      <c r="S116" s="213">
        <f t="shared" si="42"/>
        <v>0</v>
      </c>
      <c r="T116" s="213"/>
      <c r="U116" s="213">
        <f t="shared" si="43"/>
        <v>-1831.2517442867702</v>
      </c>
      <c r="V116" s="201">
        <f t="shared" si="46"/>
        <v>-279.17812500000002</v>
      </c>
      <c r="W116" s="204">
        <f t="shared" si="33"/>
        <v>38226.124174667188</v>
      </c>
      <c r="X116" s="216">
        <f t="shared" si="44"/>
        <v>1435309.3813841862</v>
      </c>
      <c r="Z116" s="206">
        <f t="shared" si="45"/>
        <v>134005.5</v>
      </c>
      <c r="AA116" s="193">
        <f t="shared" si="34"/>
        <v>0</v>
      </c>
      <c r="AB116" s="206">
        <f t="shared" si="35"/>
        <v>134005.5</v>
      </c>
    </row>
    <row r="117" spans="9:28" s="177" customFormat="1" x14ac:dyDescent="0.45">
      <c r="I117" s="279">
        <f t="shared" si="37"/>
        <v>43</v>
      </c>
      <c r="J117" s="280"/>
      <c r="K117" s="280"/>
      <c r="L117" s="280"/>
      <c r="M117" s="281">
        <f t="shared" si="28"/>
        <v>0</v>
      </c>
      <c r="O117" s="279">
        <f t="shared" si="40"/>
        <v>43</v>
      </c>
      <c r="P117" s="215">
        <f t="shared" si="41"/>
        <v>22039.694444444445</v>
      </c>
      <c r="Q117" s="213">
        <f t="shared" si="51"/>
        <v>40336.554043953955</v>
      </c>
      <c r="R117" s="201">
        <f t="shared" si="31"/>
        <v>0</v>
      </c>
      <c r="S117" s="213">
        <f t="shared" si="42"/>
        <v>0</v>
      </c>
      <c r="T117" s="213"/>
      <c r="U117" s="213">
        <f t="shared" si="43"/>
        <v>-1831.2517442867702</v>
      </c>
      <c r="V117" s="201">
        <f t="shared" si="46"/>
        <v>-264.17343750000003</v>
      </c>
      <c r="W117" s="204">
        <f t="shared" si="33"/>
        <v>38241.128862167185</v>
      </c>
      <c r="X117" s="216">
        <f t="shared" si="44"/>
        <v>1473550.5102463535</v>
      </c>
      <c r="Z117" s="206">
        <f t="shared" si="45"/>
        <v>126803.25</v>
      </c>
      <c r="AA117" s="193">
        <f t="shared" si="34"/>
        <v>0</v>
      </c>
      <c r="AB117" s="206">
        <f t="shared" si="35"/>
        <v>126803.25</v>
      </c>
    </row>
    <row r="118" spans="9:28" s="177" customFormat="1" x14ac:dyDescent="0.45">
      <c r="I118" s="279">
        <f t="shared" si="37"/>
        <v>44</v>
      </c>
      <c r="J118" s="280"/>
      <c r="K118" s="280"/>
      <c r="L118" s="280"/>
      <c r="M118" s="281">
        <f t="shared" si="28"/>
        <v>0</v>
      </c>
      <c r="O118" s="279">
        <f t="shared" si="40"/>
        <v>44</v>
      </c>
      <c r="P118" s="215">
        <f t="shared" si="41"/>
        <v>22559.819444444445</v>
      </c>
      <c r="Q118" s="213">
        <f t="shared" si="51"/>
        <v>40336.554043953955</v>
      </c>
      <c r="R118" s="201">
        <f t="shared" si="31"/>
        <v>0</v>
      </c>
      <c r="S118" s="213">
        <f t="shared" si="42"/>
        <v>0</v>
      </c>
      <c r="T118" s="213"/>
      <c r="U118" s="213">
        <f t="shared" si="43"/>
        <v>-1831.2517442867702</v>
      </c>
      <c r="V118" s="201">
        <f t="shared" si="46"/>
        <v>-249.16875000000002</v>
      </c>
      <c r="W118" s="204">
        <f t="shared" si="33"/>
        <v>38256.133549667189</v>
      </c>
      <c r="X118" s="216">
        <f t="shared" si="44"/>
        <v>1511806.6437960207</v>
      </c>
      <c r="Z118" s="206">
        <f t="shared" si="45"/>
        <v>119601</v>
      </c>
      <c r="AA118" s="193">
        <f t="shared" si="34"/>
        <v>0</v>
      </c>
      <c r="AB118" s="206">
        <f t="shared" si="35"/>
        <v>119601</v>
      </c>
    </row>
    <row r="119" spans="9:28" s="177" customFormat="1" x14ac:dyDescent="0.45">
      <c r="I119" s="279">
        <f t="shared" si="37"/>
        <v>45</v>
      </c>
      <c r="J119" s="280"/>
      <c r="K119" s="280"/>
      <c r="L119" s="280"/>
      <c r="M119" s="281">
        <f t="shared" si="28"/>
        <v>0</v>
      </c>
      <c r="O119" s="279">
        <f t="shared" si="40"/>
        <v>45</v>
      </c>
      <c r="P119" s="215">
        <f t="shared" si="41"/>
        <v>23079.944444444445</v>
      </c>
      <c r="Q119" s="213">
        <f t="shared" si="51"/>
        <v>40336.554043953955</v>
      </c>
      <c r="R119" s="201">
        <f t="shared" si="31"/>
        <v>0</v>
      </c>
      <c r="S119" s="213">
        <f t="shared" si="42"/>
        <v>0</v>
      </c>
      <c r="T119" s="213"/>
      <c r="U119" s="213">
        <f t="shared" si="43"/>
        <v>-1831.2517442867702</v>
      </c>
      <c r="V119" s="201">
        <f t="shared" si="46"/>
        <v>-234.1640625</v>
      </c>
      <c r="W119" s="204">
        <f t="shared" si="33"/>
        <v>38271.138237167186</v>
      </c>
      <c r="X119" s="216">
        <f t="shared" si="44"/>
        <v>1550077.7820331878</v>
      </c>
      <c r="Z119" s="206">
        <f t="shared" si="45"/>
        <v>112398.75</v>
      </c>
      <c r="AA119" s="193">
        <f t="shared" si="34"/>
        <v>0</v>
      </c>
      <c r="AB119" s="206">
        <f t="shared" si="35"/>
        <v>112398.75</v>
      </c>
    </row>
    <row r="120" spans="9:28" s="177" customFormat="1" x14ac:dyDescent="0.45">
      <c r="I120" s="279">
        <f t="shared" si="37"/>
        <v>46</v>
      </c>
      <c r="J120" s="280"/>
      <c r="K120" s="280"/>
      <c r="L120" s="280"/>
      <c r="M120" s="281">
        <f t="shared" si="28"/>
        <v>0</v>
      </c>
      <c r="O120" s="279">
        <f t="shared" si="40"/>
        <v>46</v>
      </c>
      <c r="P120" s="215">
        <f t="shared" si="41"/>
        <v>23600.069444444445</v>
      </c>
      <c r="Q120" s="213">
        <f t="shared" si="51"/>
        <v>40336.554043953955</v>
      </c>
      <c r="R120" s="201">
        <f t="shared" si="31"/>
        <v>0</v>
      </c>
      <c r="S120" s="213">
        <f t="shared" si="42"/>
        <v>0</v>
      </c>
      <c r="T120" s="213"/>
      <c r="U120" s="213">
        <f t="shared" si="43"/>
        <v>-1831.2517442867702</v>
      </c>
      <c r="V120" s="201">
        <f t="shared" si="46"/>
        <v>-219.15937500000004</v>
      </c>
      <c r="W120" s="204">
        <f t="shared" si="33"/>
        <v>38286.142924667183</v>
      </c>
      <c r="X120" s="216">
        <f t="shared" si="44"/>
        <v>1588363.9249578549</v>
      </c>
      <c r="Z120" s="206">
        <f t="shared" si="45"/>
        <v>105196.5</v>
      </c>
      <c r="AA120" s="193">
        <f t="shared" si="34"/>
        <v>0</v>
      </c>
      <c r="AB120" s="206">
        <f t="shared" si="35"/>
        <v>105196.5</v>
      </c>
    </row>
    <row r="121" spans="9:28" s="177" customFormat="1" x14ac:dyDescent="0.45">
      <c r="I121" s="279">
        <f t="shared" si="37"/>
        <v>47</v>
      </c>
      <c r="J121" s="280"/>
      <c r="K121" s="280"/>
      <c r="L121" s="280"/>
      <c r="M121" s="281">
        <f t="shared" si="28"/>
        <v>0</v>
      </c>
      <c r="O121" s="279">
        <f t="shared" si="40"/>
        <v>47</v>
      </c>
      <c r="P121" s="215">
        <f t="shared" si="41"/>
        <v>24120.194444444445</v>
      </c>
      <c r="Q121" s="213">
        <f t="shared" si="51"/>
        <v>40336.554043953955</v>
      </c>
      <c r="R121" s="201">
        <f t="shared" si="31"/>
        <v>0</v>
      </c>
      <c r="S121" s="213">
        <f t="shared" si="42"/>
        <v>0</v>
      </c>
      <c r="T121" s="213"/>
      <c r="U121" s="213">
        <f t="shared" si="43"/>
        <v>-1831.2517442867702</v>
      </c>
      <c r="V121" s="201">
        <f t="shared" si="46"/>
        <v>-204.15468750000002</v>
      </c>
      <c r="W121" s="204">
        <f t="shared" si="33"/>
        <v>38301.147612167188</v>
      </c>
      <c r="X121" s="216">
        <f t="shared" si="44"/>
        <v>1626665.0725700222</v>
      </c>
      <c r="Z121" s="206">
        <f t="shared" si="45"/>
        <v>97994.25</v>
      </c>
      <c r="AA121" s="193">
        <f t="shared" si="34"/>
        <v>0</v>
      </c>
      <c r="AB121" s="206">
        <f t="shared" si="35"/>
        <v>97994.25</v>
      </c>
    </row>
    <row r="122" spans="9:28" s="177" customFormat="1" ht="14.65" thickBot="1" x14ac:dyDescent="0.5">
      <c r="I122" s="279">
        <f t="shared" si="37"/>
        <v>48</v>
      </c>
      <c r="J122" s="280"/>
      <c r="K122" s="280"/>
      <c r="L122" s="280"/>
      <c r="M122" s="281">
        <f t="shared" si="28"/>
        <v>0</v>
      </c>
      <c r="O122" s="279">
        <f t="shared" si="40"/>
        <v>48</v>
      </c>
      <c r="P122" s="215">
        <f t="shared" si="41"/>
        <v>24640.319444444445</v>
      </c>
      <c r="Q122" s="213">
        <f t="shared" si="51"/>
        <v>40336.554043953955</v>
      </c>
      <c r="R122" s="201">
        <f t="shared" si="31"/>
        <v>0</v>
      </c>
      <c r="S122" s="213">
        <f t="shared" si="42"/>
        <v>0</v>
      </c>
      <c r="T122" s="213">
        <f>-T124*0.5</f>
        <v>0</v>
      </c>
      <c r="U122" s="213">
        <f t="shared" si="43"/>
        <v>-1831.2517442867702</v>
      </c>
      <c r="V122" s="201">
        <f t="shared" si="46"/>
        <v>-189.15</v>
      </c>
      <c r="W122" s="204">
        <f t="shared" si="33"/>
        <v>38316.152299667185</v>
      </c>
      <c r="X122" s="285">
        <f t="shared" si="44"/>
        <v>1664981.2248696894</v>
      </c>
      <c r="Z122" s="206">
        <f t="shared" si="45"/>
        <v>90792</v>
      </c>
      <c r="AA122" s="193">
        <f t="shared" si="34"/>
        <v>0</v>
      </c>
      <c r="AB122" s="206">
        <f t="shared" si="35"/>
        <v>90792</v>
      </c>
    </row>
    <row r="123" spans="9:28" s="177" customFormat="1" ht="14.65" thickBot="1" x14ac:dyDescent="0.5">
      <c r="I123" s="286" t="s">
        <v>20</v>
      </c>
      <c r="J123" s="267">
        <f>C75*C79</f>
        <v>218.25</v>
      </c>
      <c r="K123" s="267">
        <f>SUM(K75:K122)</f>
        <v>1829.2748270054283</v>
      </c>
      <c r="L123" s="287">
        <f>+SUM(L75:L122)</f>
        <v>-23654.108318467781</v>
      </c>
      <c r="M123" s="288"/>
      <c r="O123" s="289"/>
      <c r="P123" s="290"/>
      <c r="Q123" s="287"/>
      <c r="R123" s="267">
        <f>SUM(R75:R122)</f>
        <v>-23654.108318467781</v>
      </c>
      <c r="S123" s="291">
        <f>SUM(S75:S122)</f>
        <v>0</v>
      </c>
      <c r="T123" s="291">
        <f>SUM(T75:T122)</f>
        <v>0</v>
      </c>
      <c r="U123" s="267">
        <f>SUM(U75:U122)</f>
        <v>-87900.083725764896</v>
      </c>
      <c r="V123" s="267">
        <f>SUM(V75:V122)</f>
        <v>-26004.487499999999</v>
      </c>
      <c r="W123" s="292"/>
      <c r="X123" s="288"/>
    </row>
    <row r="124" spans="9:28" s="177" customFormat="1" x14ac:dyDescent="0.45">
      <c r="Q124" s="293"/>
      <c r="R124" s="293"/>
      <c r="S124" s="294">
        <f>D99</f>
        <v>0</v>
      </c>
      <c r="T124" s="246">
        <f>D100</f>
        <v>0</v>
      </c>
      <c r="U124" s="293"/>
      <c r="V124" s="293"/>
      <c r="W124" s="293"/>
      <c r="X124" s="293"/>
    </row>
    <row r="125" spans="9:28" s="177" customFormat="1" ht="14.65" thickBot="1" x14ac:dyDescent="0.5">
      <c r="L125" s="295">
        <f>+PMT(C76/12,C80,(C75),,)</f>
        <v>-657.05856440188245</v>
      </c>
      <c r="Q125" s="293"/>
      <c r="R125" s="293"/>
      <c r="S125" s="296">
        <f>S123+S124</f>
        <v>0</v>
      </c>
      <c r="T125" s="254">
        <f>T123+T124</f>
        <v>0</v>
      </c>
      <c r="U125" s="293"/>
      <c r="V125" s="293"/>
      <c r="W125" s="293"/>
      <c r="X125" s="293"/>
    </row>
    <row r="126" spans="9:28" s="177" customFormat="1" x14ac:dyDescent="0.45"/>
    <row r="127" spans="9:28" s="177" customFormat="1" x14ac:dyDescent="0.45"/>
    <row r="128" spans="9:28" s="177" customFormat="1" x14ac:dyDescent="0.45"/>
    <row r="129" s="177" customFormat="1" x14ac:dyDescent="0.45"/>
    <row r="130" s="177" customFormat="1" x14ac:dyDescent="0.45"/>
  </sheetData>
  <mergeCells count="21">
    <mergeCell ref="B110:E110"/>
    <mergeCell ref="B111:E111"/>
    <mergeCell ref="A73:C73"/>
    <mergeCell ref="I73:M73"/>
    <mergeCell ref="O73:X73"/>
    <mergeCell ref="A84:E84"/>
    <mergeCell ref="A93:G93"/>
    <mergeCell ref="A109:G109"/>
    <mergeCell ref="A71:C71"/>
    <mergeCell ref="D71:X71"/>
    <mergeCell ref="A1:X1"/>
    <mergeCell ref="A3:C3"/>
    <mergeCell ref="D3:X3"/>
    <mergeCell ref="A5:C5"/>
    <mergeCell ref="I5:M5"/>
    <mergeCell ref="O5:X5"/>
    <mergeCell ref="A16:E16"/>
    <mergeCell ref="A25:G25"/>
    <mergeCell ref="A41:G41"/>
    <mergeCell ref="B42:E42"/>
    <mergeCell ref="B43:E43"/>
  </mergeCells>
  <printOptions horizontalCentered="1"/>
  <pageMargins left="0.70866141732283505" right="0.70866141732283505" top="0.74803149606299202" bottom="0.74803149606299202" header="0.31496062992126" footer="0.31496062992126"/>
  <headerFooter>
    <oddHeader>&amp;R&amp;A</oddHeader>
    <oddFooter>&amp;L&amp;D&amp;C&amp;P&amp;R&amp;A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B7F59-9409-7740-A0DB-159EA1B37F9C}">
  <sheetPr>
    <tabColor theme="9" tint="-0.249977111117893"/>
    <pageSetUpPr fitToPage="1"/>
  </sheetPr>
  <dimension ref="A1:AE130"/>
  <sheetViews>
    <sheetView zoomScale="99" workbookViewId="0">
      <selection activeCell="A2" sqref="A2"/>
    </sheetView>
  </sheetViews>
  <sheetFormatPr defaultColWidth="9.1328125" defaultRowHeight="14.25" x14ac:dyDescent="0.45"/>
  <cols>
    <col min="1" max="1" width="6.265625" style="3" customWidth="1"/>
    <col min="2" max="2" width="18.265625" style="3" bestFit="1" customWidth="1"/>
    <col min="3" max="4" width="15" style="3" bestFit="1" customWidth="1"/>
    <col min="5" max="5" width="14" style="3" bestFit="1" customWidth="1"/>
    <col min="6" max="6" width="17.3984375" style="3" bestFit="1" customWidth="1"/>
    <col min="7" max="7" width="15.1328125" style="3" bestFit="1" customWidth="1"/>
    <col min="8" max="8" width="9.1328125" style="3"/>
    <col min="9" max="9" width="7.3984375" style="3" bestFit="1" customWidth="1"/>
    <col min="10" max="10" width="15" style="3" bestFit="1" customWidth="1"/>
    <col min="11" max="12" width="14" style="3" bestFit="1" customWidth="1"/>
    <col min="13" max="13" width="15" style="3" bestFit="1" customWidth="1"/>
    <col min="14" max="16" width="9.1328125" style="3"/>
    <col min="17" max="19" width="15.86328125" style="3" bestFit="1" customWidth="1"/>
    <col min="20" max="21" width="14.73046875" style="3" customWidth="1"/>
    <col min="22" max="22" width="13.265625" style="3" bestFit="1" customWidth="1"/>
    <col min="23" max="23" width="14.86328125" style="3" bestFit="1" customWidth="1"/>
    <col min="24" max="24" width="15.1328125" style="3" bestFit="1" customWidth="1"/>
    <col min="25" max="25" width="9.1328125" style="3"/>
    <col min="26" max="26" width="22" style="3" customWidth="1"/>
    <col min="27" max="27" width="9.1328125" style="3"/>
    <col min="28" max="29" width="16.265625" style="3" customWidth="1"/>
    <col min="30" max="30" width="16.3984375" style="3" customWidth="1"/>
    <col min="31" max="16384" width="9.1328125" style="3"/>
  </cols>
  <sheetData>
    <row r="1" spans="1:31" ht="62.25" customHeight="1" thickBot="1" x14ac:dyDescent="0.5">
      <c r="A1" s="676">
        <f>+ASSUMPTIONS!B1</f>
        <v>0</v>
      </c>
      <c r="B1" s="677"/>
      <c r="C1" s="677"/>
      <c r="D1" s="677"/>
      <c r="E1" s="677"/>
      <c r="F1" s="677"/>
      <c r="G1" s="677"/>
      <c r="H1" s="677"/>
      <c r="I1" s="677"/>
      <c r="J1" s="677"/>
      <c r="K1" s="677"/>
      <c r="L1" s="677"/>
      <c r="M1" s="677"/>
      <c r="N1" s="677"/>
      <c r="O1" s="677"/>
      <c r="P1" s="677"/>
      <c r="Q1" s="677"/>
      <c r="R1" s="677"/>
      <c r="S1" s="677"/>
      <c r="T1" s="677"/>
      <c r="U1" s="677"/>
      <c r="V1" s="677"/>
      <c r="W1" s="677"/>
      <c r="X1" s="678"/>
    </row>
    <row r="2" spans="1:31" ht="16.149999999999999" thickBot="1" x14ac:dyDescent="0.5">
      <c r="A2" s="2"/>
      <c r="B2" s="2"/>
      <c r="C2" s="10"/>
      <c r="D2" s="10"/>
      <c r="E2" s="10"/>
      <c r="F2" s="10"/>
      <c r="G2" s="10"/>
      <c r="H2" s="10"/>
      <c r="I2" s="13"/>
      <c r="J2" s="10"/>
      <c r="K2" s="10"/>
      <c r="L2" s="10"/>
      <c r="M2" s="10"/>
      <c r="S2" s="145"/>
    </row>
    <row r="3" spans="1:31" ht="32.25" customHeight="1" thickBot="1" x14ac:dyDescent="0.5">
      <c r="A3" s="679" t="s">
        <v>230</v>
      </c>
      <c r="B3" s="680"/>
      <c r="C3" s="681"/>
      <c r="D3" s="682" t="s">
        <v>2</v>
      </c>
      <c r="E3" s="683"/>
      <c r="F3" s="683"/>
      <c r="G3" s="683"/>
      <c r="H3" s="683"/>
      <c r="I3" s="683"/>
      <c r="J3" s="683"/>
      <c r="K3" s="683"/>
      <c r="L3" s="683"/>
      <c r="M3" s="683"/>
      <c r="N3" s="683"/>
      <c r="O3" s="683"/>
      <c r="P3" s="683"/>
      <c r="Q3" s="683"/>
      <c r="R3" s="683"/>
      <c r="S3" s="683"/>
      <c r="T3" s="683"/>
      <c r="U3" s="683"/>
      <c r="V3" s="683"/>
      <c r="W3" s="683"/>
      <c r="X3" s="684"/>
    </row>
    <row r="4" spans="1:31" ht="14.65" thickBot="1" x14ac:dyDescent="0.5">
      <c r="C4" s="11"/>
      <c r="D4" s="11"/>
      <c r="E4" s="11"/>
      <c r="F4" s="11"/>
      <c r="G4" s="11"/>
      <c r="H4" s="11"/>
      <c r="I4" s="12"/>
      <c r="J4" s="11"/>
      <c r="K4" s="11"/>
      <c r="L4" s="11"/>
      <c r="M4" s="11"/>
      <c r="Q4" s="368">
        <f>+'Summary Equip'!AC19</f>
        <v>520.125</v>
      </c>
      <c r="U4" s="57">
        <v>0.05</v>
      </c>
    </row>
    <row r="5" spans="1:31" ht="23.25" customHeight="1" thickBot="1" x14ac:dyDescent="0.5">
      <c r="A5" s="685" t="s">
        <v>9</v>
      </c>
      <c r="B5" s="686"/>
      <c r="C5" s="687"/>
      <c r="D5" s="11"/>
      <c r="E5" s="11"/>
      <c r="F5" s="11"/>
      <c r="G5" s="11"/>
      <c r="H5" s="11"/>
      <c r="I5" s="688" t="s">
        <v>34</v>
      </c>
      <c r="J5" s="689"/>
      <c r="K5" s="689"/>
      <c r="L5" s="689"/>
      <c r="M5" s="690"/>
      <c r="O5" s="688" t="s">
        <v>35</v>
      </c>
      <c r="P5" s="691"/>
      <c r="Q5" s="689"/>
      <c r="R5" s="689"/>
      <c r="S5" s="689"/>
      <c r="T5" s="689"/>
      <c r="U5" s="689"/>
      <c r="V5" s="689"/>
      <c r="W5" s="692"/>
      <c r="X5" s="693"/>
      <c r="AA5" s="145">
        <v>0</v>
      </c>
    </row>
    <row r="6" spans="1:31" ht="28.9" thickBot="1" x14ac:dyDescent="0.5">
      <c r="A6" s="29" t="s">
        <v>0</v>
      </c>
      <c r="B6" s="28" t="s">
        <v>1</v>
      </c>
      <c r="C6" s="50" t="s">
        <v>10</v>
      </c>
      <c r="D6" s="11"/>
      <c r="E6" s="11"/>
      <c r="F6" s="11"/>
      <c r="G6" s="11"/>
      <c r="H6" s="11"/>
      <c r="I6" s="16" t="s">
        <v>15</v>
      </c>
      <c r="J6" s="17" t="s">
        <v>70</v>
      </c>
      <c r="K6" s="17" t="s">
        <v>17</v>
      </c>
      <c r="L6" s="17" t="s">
        <v>18</v>
      </c>
      <c r="M6" s="18" t="s">
        <v>19</v>
      </c>
      <c r="O6" s="16" t="s">
        <v>15</v>
      </c>
      <c r="P6" s="52" t="s">
        <v>39</v>
      </c>
      <c r="Q6" s="17" t="s">
        <v>36</v>
      </c>
      <c r="R6" s="17" t="s">
        <v>37</v>
      </c>
      <c r="S6" s="17" t="s">
        <v>27</v>
      </c>
      <c r="T6" s="17" t="s">
        <v>38</v>
      </c>
      <c r="U6" s="17" t="s">
        <v>7</v>
      </c>
      <c r="V6" s="17" t="s">
        <v>41</v>
      </c>
      <c r="W6" s="18" t="s">
        <v>40</v>
      </c>
      <c r="X6" s="55" t="s">
        <v>42</v>
      </c>
      <c r="Z6" s="5" t="s">
        <v>71</v>
      </c>
      <c r="AA6" s="5" t="s">
        <v>46</v>
      </c>
      <c r="AB6" s="5" t="s">
        <v>47</v>
      </c>
    </row>
    <row r="7" spans="1:31" x14ac:dyDescent="0.45">
      <c r="A7" s="8">
        <v>1</v>
      </c>
      <c r="B7" s="9" t="s">
        <v>11</v>
      </c>
      <c r="C7" s="152">
        <f>+F11*(1+'Summary Equip'!$N$3)</f>
        <v>142800</v>
      </c>
      <c r="D7" s="11"/>
      <c r="E7" s="8" t="s">
        <v>61</v>
      </c>
      <c r="F7" s="150">
        <f>+'Summary Equip'!J19</f>
        <v>136000</v>
      </c>
      <c r="G7" s="106"/>
      <c r="H7" s="383">
        <v>1</v>
      </c>
      <c r="I7" s="15">
        <v>1</v>
      </c>
      <c r="J7" s="77">
        <f>C7</f>
        <v>142800</v>
      </c>
      <c r="K7" s="77">
        <f>J7*$C$8*30.44/365.25</f>
        <v>630.75180287474325</v>
      </c>
      <c r="L7" s="77">
        <f>+L69</f>
        <v>-2714.483096839509</v>
      </c>
      <c r="M7" s="78">
        <f t="shared" ref="M7:M66" si="0">J7+K7+L7</f>
        <v>140716.26870603522</v>
      </c>
      <c r="O7" s="15">
        <v>1</v>
      </c>
      <c r="P7" s="53">
        <f>Q4</f>
        <v>520.125</v>
      </c>
      <c r="Q7" s="77">
        <f>$F$42+($Q$4*$G$42)</f>
        <v>6818.955392720809</v>
      </c>
      <c r="R7" s="77">
        <f>+L7</f>
        <v>-2714.483096839509</v>
      </c>
      <c r="S7" s="77">
        <f>+IF(R7=0,,-S68/C12)</f>
        <v>-1133.3333333333333</v>
      </c>
      <c r="T7" s="77"/>
      <c r="U7" s="77">
        <f>-Q7*U4</f>
        <v>-340.94776963604045</v>
      </c>
      <c r="V7" s="77">
        <f>-(AB7*$C$9/12)</f>
        <v>-278.65833333333336</v>
      </c>
      <c r="W7" s="83">
        <f>SUM(Q7:V7)</f>
        <v>2351.5328595785932</v>
      </c>
      <c r="X7" s="84">
        <f>W7</f>
        <v>2351.5328595785932</v>
      </c>
      <c r="Z7" s="92">
        <f>+$D$27-(($D$27+$D$28)*O7/$B$22)</f>
        <v>133756</v>
      </c>
      <c r="AA7" s="5">
        <f>+Z7*$AA$5</f>
        <v>0</v>
      </c>
      <c r="AB7" s="92">
        <f>+Z7+AA7</f>
        <v>133756</v>
      </c>
      <c r="AC7" s="132"/>
      <c r="AD7" s="132">
        <f>+S7</f>
        <v>-1133.3333333333333</v>
      </c>
      <c r="AE7" s="3">
        <f>+IF(AD7=0,0,1)</f>
        <v>1</v>
      </c>
    </row>
    <row r="8" spans="1:31" ht="28.5" x14ac:dyDescent="0.45">
      <c r="A8" s="4">
        <f>A7+1</f>
        <v>2</v>
      </c>
      <c r="B8" s="5" t="s">
        <v>3</v>
      </c>
      <c r="C8" s="156">
        <f>+'Summary Equip'!R19</f>
        <v>5.2999999999999999E-2</v>
      </c>
      <c r="D8" s="11"/>
      <c r="E8" s="107" t="s">
        <v>64</v>
      </c>
      <c r="F8" s="311">
        <f>+'Summary Equip'!D19</f>
        <v>0</v>
      </c>
      <c r="G8" s="108"/>
      <c r="H8" s="383">
        <f>+'Summary Equip'!C19</f>
        <v>1</v>
      </c>
      <c r="I8" s="14">
        <f>I7+1</f>
        <v>2</v>
      </c>
      <c r="J8" s="63">
        <f>+IF(M7&lt;0,,M7)</f>
        <v>140716.26870603522</v>
      </c>
      <c r="K8" s="63">
        <f t="shared" ref="K8:K54" si="1">J8*$C$8*30.44/365.25</f>
        <v>621.54790042113825</v>
      </c>
      <c r="L8" s="63">
        <f>IF(M7&lt;0,,L7)</f>
        <v>-2714.483096839509</v>
      </c>
      <c r="M8" s="65">
        <f t="shared" si="0"/>
        <v>138623.33350961684</v>
      </c>
      <c r="O8" s="14">
        <f>O7+1</f>
        <v>2</v>
      </c>
      <c r="P8" s="54">
        <f>P7+$Q$4</f>
        <v>1040.25</v>
      </c>
      <c r="Q8" s="63">
        <f>$F$42+($Q$4*$G$42)</f>
        <v>6818.955392720809</v>
      </c>
      <c r="R8" s="77">
        <f t="shared" ref="R8:R66" si="2">+L8</f>
        <v>-2714.483096839509</v>
      </c>
      <c r="S8" s="63">
        <f>+IF(R8=0,,S7)</f>
        <v>-1133.3333333333333</v>
      </c>
      <c r="T8" s="63"/>
      <c r="U8" s="63">
        <f>U7</f>
        <v>-340.94776963604045</v>
      </c>
      <c r="V8" s="77">
        <f t="shared" ref="V8:V14" si="3">-(AB8*$C$9/12)</f>
        <v>-273.98333333333335</v>
      </c>
      <c r="W8" s="83">
        <f t="shared" ref="W8:W66" si="4">SUM(Q8:V8)</f>
        <v>2356.2078595785933</v>
      </c>
      <c r="X8" s="85">
        <f>X7+W8</f>
        <v>4707.7407191571865</v>
      </c>
      <c r="Z8" s="92">
        <f>+$D$27-(($D$27+$D$28)*O8/$B$22)</f>
        <v>131512</v>
      </c>
      <c r="AA8" s="5">
        <f t="shared" ref="AA8:AA66" si="5">+Z8*$AA$5</f>
        <v>0</v>
      </c>
      <c r="AB8" s="92">
        <f t="shared" ref="AB8:AB66" si="6">+Z8+AA8</f>
        <v>131512</v>
      </c>
      <c r="AD8" s="133">
        <f t="shared" ref="AD8:AD39" si="7">IF(AD7=0,0,IF(+S8+AD7&lt;-$S$68,0,+S8+AD7))</f>
        <v>-2266.6666666666665</v>
      </c>
      <c r="AE8" s="3">
        <f t="shared" ref="AE8:AE66" si="8">+IF(AD8=0,0,1)</f>
        <v>1</v>
      </c>
    </row>
    <row r="9" spans="1:31" x14ac:dyDescent="0.45">
      <c r="A9" s="4">
        <f t="shared" ref="A9:A14" si="9">A8+1</f>
        <v>3</v>
      </c>
      <c r="B9" s="5" t="s">
        <v>4</v>
      </c>
      <c r="C9" s="157">
        <f>+'Summary Equip'!S19</f>
        <v>2.5000000000000001E-2</v>
      </c>
      <c r="D9" s="11"/>
      <c r="E9" s="109" t="s">
        <v>69</v>
      </c>
      <c r="F9" s="339">
        <f>+'Summary Equip'!F19</f>
        <v>6800</v>
      </c>
      <c r="G9" s="110"/>
      <c r="H9" s="383">
        <f>+'Summary Equip'!E19</f>
        <v>1</v>
      </c>
      <c r="I9" s="14">
        <f t="shared" ref="I9:I66" si="10">I8+1</f>
        <v>3</v>
      </c>
      <c r="J9" s="63">
        <f t="shared" ref="J9:J66" si="11">+IF(M8&lt;0,,M8)</f>
        <v>138623.33350961684</v>
      </c>
      <c r="K9" s="63">
        <f t="shared" si="1"/>
        <v>612.30334405950737</v>
      </c>
      <c r="L9" s="63">
        <f t="shared" ref="L9:L66" si="12">IF(M8&lt;0,,L8)</f>
        <v>-2714.483096839509</v>
      </c>
      <c r="M9" s="65">
        <f t="shared" si="0"/>
        <v>136521.15375683684</v>
      </c>
      <c r="O9" s="14">
        <f t="shared" ref="O9:O66" si="13">O8+1</f>
        <v>3</v>
      </c>
      <c r="P9" s="54">
        <f t="shared" ref="P9:P66" si="14">P8+$Q$4</f>
        <v>1560.375</v>
      </c>
      <c r="Q9" s="63">
        <f t="shared" ref="Q9:Q66" si="15">$F$42+($Q$4*$G$42)</f>
        <v>6818.955392720809</v>
      </c>
      <c r="R9" s="77">
        <f t="shared" si="2"/>
        <v>-2714.483096839509</v>
      </c>
      <c r="S9" s="63">
        <f t="shared" ref="S9:S62" si="16">+S8</f>
        <v>-1133.3333333333333</v>
      </c>
      <c r="T9" s="63"/>
      <c r="U9" s="63">
        <f t="shared" ref="U9:U62" si="17">U8</f>
        <v>-340.94776963604045</v>
      </c>
      <c r="V9" s="77">
        <f t="shared" si="3"/>
        <v>-269.30833333333334</v>
      </c>
      <c r="W9" s="83">
        <f t="shared" si="4"/>
        <v>2360.8828595785931</v>
      </c>
      <c r="X9" s="85">
        <f t="shared" ref="X9:X62" si="18">X8+W9</f>
        <v>7068.62357873578</v>
      </c>
      <c r="Z9" s="92">
        <f t="shared" ref="Z9:Z66" si="19">+$D$27-(($D$27+$D$28)*O9/$B$22)</f>
        <v>129268</v>
      </c>
      <c r="AA9" s="5">
        <f t="shared" si="5"/>
        <v>0</v>
      </c>
      <c r="AB9" s="92">
        <f t="shared" si="6"/>
        <v>129268</v>
      </c>
      <c r="AD9" s="133">
        <f t="shared" si="7"/>
        <v>-3400</v>
      </c>
      <c r="AE9" s="3">
        <f t="shared" si="8"/>
        <v>1</v>
      </c>
    </row>
    <row r="10" spans="1:31" ht="14.65" thickBot="1" x14ac:dyDescent="0.5">
      <c r="A10" s="4">
        <f t="shared" si="9"/>
        <v>4</v>
      </c>
      <c r="B10" s="5" t="s">
        <v>5</v>
      </c>
      <c r="C10" s="158">
        <f>+'Summary Equip'!T19</f>
        <v>0.05</v>
      </c>
      <c r="D10" s="11"/>
      <c r="E10" s="111" t="s">
        <v>52</v>
      </c>
      <c r="F10" s="312">
        <f>SUM(F7:F8)*G10</f>
        <v>0</v>
      </c>
      <c r="G10" s="151">
        <f>+'Summary Equip'!H19</f>
        <v>0</v>
      </c>
      <c r="H10" s="383">
        <f>+'Summary Equip'!G19</f>
        <v>0</v>
      </c>
      <c r="I10" s="14">
        <f t="shared" si="10"/>
        <v>4</v>
      </c>
      <c r="J10" s="63">
        <f t="shared" si="11"/>
        <v>136521.15375683684</v>
      </c>
      <c r="K10" s="63">
        <f t="shared" si="1"/>
        <v>603.01795422034229</v>
      </c>
      <c r="L10" s="63">
        <f t="shared" si="12"/>
        <v>-2714.483096839509</v>
      </c>
      <c r="M10" s="65">
        <f t="shared" si="0"/>
        <v>134409.68861421768</v>
      </c>
      <c r="O10" s="14">
        <f t="shared" si="13"/>
        <v>4</v>
      </c>
      <c r="P10" s="54">
        <f t="shared" si="14"/>
        <v>2080.5</v>
      </c>
      <c r="Q10" s="63">
        <f t="shared" si="15"/>
        <v>6818.955392720809</v>
      </c>
      <c r="R10" s="77">
        <f t="shared" si="2"/>
        <v>-2714.483096839509</v>
      </c>
      <c r="S10" s="63">
        <f t="shared" si="16"/>
        <v>-1133.3333333333333</v>
      </c>
      <c r="T10" s="63"/>
      <c r="U10" s="63">
        <f t="shared" si="17"/>
        <v>-340.94776963604045</v>
      </c>
      <c r="V10" s="77">
        <f t="shared" si="3"/>
        <v>-264.63333333333338</v>
      </c>
      <c r="W10" s="83">
        <f t="shared" si="4"/>
        <v>2365.5578595785933</v>
      </c>
      <c r="X10" s="85">
        <f t="shared" si="18"/>
        <v>9434.1814383143737</v>
      </c>
      <c r="Z10" s="92">
        <f t="shared" si="19"/>
        <v>127024</v>
      </c>
      <c r="AA10" s="5">
        <f t="shared" si="5"/>
        <v>0</v>
      </c>
      <c r="AB10" s="92">
        <f t="shared" si="6"/>
        <v>127024</v>
      </c>
      <c r="AD10" s="133">
        <f t="shared" si="7"/>
        <v>-4533.333333333333</v>
      </c>
      <c r="AE10" s="3">
        <f t="shared" si="8"/>
        <v>1</v>
      </c>
    </row>
    <row r="11" spans="1:31" ht="14.65" thickBot="1" x14ac:dyDescent="0.5">
      <c r="A11" s="4">
        <f t="shared" si="9"/>
        <v>5</v>
      </c>
      <c r="B11" s="5" t="s">
        <v>12</v>
      </c>
      <c r="C11" s="159">
        <f>+'Summary Equip'!U19</f>
        <v>0.01</v>
      </c>
      <c r="D11" s="11"/>
      <c r="E11" s="112" t="s">
        <v>28</v>
      </c>
      <c r="F11" s="313">
        <f>SUMPRODUCT(F7:F10,H7:H10)</f>
        <v>142800</v>
      </c>
      <c r="G11" s="113"/>
      <c r="H11" s="11"/>
      <c r="I11" s="14">
        <f t="shared" si="10"/>
        <v>5</v>
      </c>
      <c r="J11" s="63">
        <f t="shared" si="11"/>
        <v>134409.68861421768</v>
      </c>
      <c r="K11" s="63">
        <f t="shared" si="1"/>
        <v>593.69155054097109</v>
      </c>
      <c r="L11" s="63">
        <f t="shared" si="12"/>
        <v>-2714.483096839509</v>
      </c>
      <c r="M11" s="65">
        <f t="shared" si="0"/>
        <v>132288.89706791914</v>
      </c>
      <c r="O11" s="14">
        <f t="shared" si="13"/>
        <v>5</v>
      </c>
      <c r="P11" s="54">
        <f t="shared" si="14"/>
        <v>2600.625</v>
      </c>
      <c r="Q11" s="63">
        <f t="shared" si="15"/>
        <v>6818.955392720809</v>
      </c>
      <c r="R11" s="77">
        <f t="shared" si="2"/>
        <v>-2714.483096839509</v>
      </c>
      <c r="S11" s="63">
        <f t="shared" si="16"/>
        <v>-1133.3333333333333</v>
      </c>
      <c r="T11" s="63"/>
      <c r="U11" s="63">
        <f t="shared" si="17"/>
        <v>-340.94776963604045</v>
      </c>
      <c r="V11" s="77">
        <f t="shared" si="3"/>
        <v>-259.95833333333331</v>
      </c>
      <c r="W11" s="83">
        <f t="shared" si="4"/>
        <v>2370.232859578593</v>
      </c>
      <c r="X11" s="85">
        <f t="shared" si="18"/>
        <v>11804.414297892967</v>
      </c>
      <c r="Z11" s="92">
        <f t="shared" si="19"/>
        <v>124780</v>
      </c>
      <c r="AA11" s="5">
        <f t="shared" si="5"/>
        <v>0</v>
      </c>
      <c r="AB11" s="92">
        <f t="shared" si="6"/>
        <v>124780</v>
      </c>
      <c r="AD11" s="133">
        <f t="shared" si="7"/>
        <v>-5666.6666666666661</v>
      </c>
      <c r="AE11" s="3">
        <f t="shared" si="8"/>
        <v>1</v>
      </c>
    </row>
    <row r="12" spans="1:31" x14ac:dyDescent="0.45">
      <c r="A12" s="4">
        <f t="shared" si="9"/>
        <v>6</v>
      </c>
      <c r="B12" s="5" t="s">
        <v>13</v>
      </c>
      <c r="C12" s="160">
        <f>+'Summary Equip'!V19</f>
        <v>60</v>
      </c>
      <c r="D12" s="11"/>
      <c r="E12" s="11"/>
      <c r="F12" s="11"/>
      <c r="G12" s="11"/>
      <c r="H12" s="11"/>
      <c r="I12" s="14">
        <f t="shared" si="10"/>
        <v>6</v>
      </c>
      <c r="J12" s="63">
        <f t="shared" si="11"/>
        <v>132288.89706791914</v>
      </c>
      <c r="K12" s="63">
        <f t="shared" si="1"/>
        <v>584.32395186205429</v>
      </c>
      <c r="L12" s="63">
        <f t="shared" si="12"/>
        <v>-2714.483096839509</v>
      </c>
      <c r="M12" s="65">
        <f t="shared" si="0"/>
        <v>130158.73792294168</v>
      </c>
      <c r="O12" s="14">
        <f t="shared" si="13"/>
        <v>6</v>
      </c>
      <c r="P12" s="54">
        <f t="shared" si="14"/>
        <v>3120.75</v>
      </c>
      <c r="Q12" s="63">
        <f t="shared" si="15"/>
        <v>6818.955392720809</v>
      </c>
      <c r="R12" s="77">
        <f t="shared" si="2"/>
        <v>-2714.483096839509</v>
      </c>
      <c r="S12" s="63">
        <f t="shared" si="16"/>
        <v>-1133.3333333333333</v>
      </c>
      <c r="T12" s="63"/>
      <c r="U12" s="63">
        <f t="shared" si="17"/>
        <v>-340.94776963604045</v>
      </c>
      <c r="V12" s="77">
        <f t="shared" si="3"/>
        <v>-255.28333333333333</v>
      </c>
      <c r="W12" s="83">
        <f t="shared" si="4"/>
        <v>2374.9078595785932</v>
      </c>
      <c r="X12" s="85">
        <f t="shared" si="18"/>
        <v>14179.322157471561</v>
      </c>
      <c r="Z12" s="92">
        <f t="shared" si="19"/>
        <v>122536</v>
      </c>
      <c r="AA12" s="5">
        <f t="shared" si="5"/>
        <v>0</v>
      </c>
      <c r="AB12" s="92">
        <f t="shared" si="6"/>
        <v>122536</v>
      </c>
      <c r="AD12" s="133">
        <f t="shared" si="7"/>
        <v>-6799.9999999999991</v>
      </c>
      <c r="AE12" s="3">
        <f t="shared" si="8"/>
        <v>1</v>
      </c>
    </row>
    <row r="13" spans="1:31" x14ac:dyDescent="0.45">
      <c r="A13" s="4">
        <f t="shared" si="9"/>
        <v>7</v>
      </c>
      <c r="B13" s="5" t="s">
        <v>14</v>
      </c>
      <c r="C13" s="161">
        <f>+'Summary Equip'!W19</f>
        <v>18000</v>
      </c>
      <c r="D13" s="176">
        <f>+C13*C14</f>
        <v>16200</v>
      </c>
      <c r="E13" s="11"/>
      <c r="F13" s="11"/>
      <c r="G13" s="11"/>
      <c r="H13" s="11"/>
      <c r="I13" s="14">
        <f t="shared" si="10"/>
        <v>7</v>
      </c>
      <c r="J13" s="63">
        <f t="shared" si="11"/>
        <v>130158.73792294168</v>
      </c>
      <c r="K13" s="63">
        <f t="shared" si="1"/>
        <v>574.91497622406655</v>
      </c>
      <c r="L13" s="63">
        <f t="shared" si="12"/>
        <v>-2714.483096839509</v>
      </c>
      <c r="M13" s="65">
        <f t="shared" si="0"/>
        <v>128019.16980232624</v>
      </c>
      <c r="O13" s="14">
        <f t="shared" si="13"/>
        <v>7</v>
      </c>
      <c r="P13" s="54">
        <f t="shared" si="14"/>
        <v>3640.875</v>
      </c>
      <c r="Q13" s="63">
        <f t="shared" si="15"/>
        <v>6818.955392720809</v>
      </c>
      <c r="R13" s="77">
        <f t="shared" si="2"/>
        <v>-2714.483096839509</v>
      </c>
      <c r="S13" s="63">
        <f t="shared" si="16"/>
        <v>-1133.3333333333333</v>
      </c>
      <c r="T13" s="63"/>
      <c r="U13" s="63">
        <f t="shared" si="17"/>
        <v>-340.94776963604045</v>
      </c>
      <c r="V13" s="77">
        <f t="shared" si="3"/>
        <v>-250.60833333333335</v>
      </c>
      <c r="W13" s="83">
        <f t="shared" si="4"/>
        <v>2379.5828595785933</v>
      </c>
      <c r="X13" s="85">
        <f t="shared" si="18"/>
        <v>16558.905017050154</v>
      </c>
      <c r="Z13" s="92">
        <f t="shared" si="19"/>
        <v>120292</v>
      </c>
      <c r="AA13" s="5">
        <f t="shared" si="5"/>
        <v>0</v>
      </c>
      <c r="AB13" s="92">
        <f t="shared" si="6"/>
        <v>120292</v>
      </c>
      <c r="AD13" s="133">
        <f t="shared" si="7"/>
        <v>-7933.3333333333321</v>
      </c>
      <c r="AE13" s="3">
        <f t="shared" si="8"/>
        <v>1</v>
      </c>
    </row>
    <row r="14" spans="1:31" ht="14.65" thickBot="1" x14ac:dyDescent="0.5">
      <c r="A14" s="6">
        <f t="shared" si="9"/>
        <v>8</v>
      </c>
      <c r="B14" s="7"/>
      <c r="C14" s="162">
        <f>+'Summary Equip'!X19</f>
        <v>0.9</v>
      </c>
      <c r="D14" s="337">
        <f>+D13/C12</f>
        <v>270</v>
      </c>
      <c r="E14" s="11"/>
      <c r="F14" s="11"/>
      <c r="G14" s="11"/>
      <c r="H14" s="11"/>
      <c r="I14" s="14">
        <f t="shared" si="10"/>
        <v>8</v>
      </c>
      <c r="J14" s="63">
        <f t="shared" si="11"/>
        <v>128019.16980232624</v>
      </c>
      <c r="K14" s="63">
        <f t="shared" si="1"/>
        <v>565.46444086376175</v>
      </c>
      <c r="L14" s="63">
        <f t="shared" si="12"/>
        <v>-2714.483096839509</v>
      </c>
      <c r="M14" s="65">
        <f t="shared" si="0"/>
        <v>125870.1511463505</v>
      </c>
      <c r="O14" s="14">
        <f t="shared" si="13"/>
        <v>8</v>
      </c>
      <c r="P14" s="54">
        <f t="shared" si="14"/>
        <v>4161</v>
      </c>
      <c r="Q14" s="63">
        <f t="shared" si="15"/>
        <v>6818.955392720809</v>
      </c>
      <c r="R14" s="77">
        <f t="shared" si="2"/>
        <v>-2714.483096839509</v>
      </c>
      <c r="S14" s="63">
        <f t="shared" si="16"/>
        <v>-1133.3333333333333</v>
      </c>
      <c r="T14" s="63"/>
      <c r="U14" s="63">
        <f t="shared" si="17"/>
        <v>-340.94776963604045</v>
      </c>
      <c r="V14" s="77">
        <f t="shared" si="3"/>
        <v>-245.93333333333337</v>
      </c>
      <c r="W14" s="83">
        <f t="shared" si="4"/>
        <v>2384.2578595785931</v>
      </c>
      <c r="X14" s="85">
        <f t="shared" si="18"/>
        <v>18943.162876628747</v>
      </c>
      <c r="Z14" s="92">
        <f t="shared" si="19"/>
        <v>118048</v>
      </c>
      <c r="AA14" s="5">
        <f t="shared" si="5"/>
        <v>0</v>
      </c>
      <c r="AB14" s="92">
        <f t="shared" si="6"/>
        <v>118048</v>
      </c>
      <c r="AD14" s="133">
        <f t="shared" si="7"/>
        <v>-9066.6666666666661</v>
      </c>
      <c r="AE14" s="3">
        <f t="shared" si="8"/>
        <v>1</v>
      </c>
    </row>
    <row r="15" spans="1:31" ht="14.65" thickBot="1" x14ac:dyDescent="0.5">
      <c r="C15" s="11"/>
      <c r="D15" s="11"/>
      <c r="E15" s="11"/>
      <c r="F15" s="11"/>
      <c r="G15" s="11"/>
      <c r="H15" s="11"/>
      <c r="I15" s="14">
        <f t="shared" si="10"/>
        <v>9</v>
      </c>
      <c r="J15" s="63">
        <f t="shared" si="11"/>
        <v>125870.1511463505</v>
      </c>
      <c r="K15" s="63">
        <f t="shared" si="1"/>
        <v>555.97216221062342</v>
      </c>
      <c r="L15" s="63">
        <f t="shared" si="12"/>
        <v>-2714.483096839509</v>
      </c>
      <c r="M15" s="65">
        <f t="shared" si="0"/>
        <v>123711.64021172162</v>
      </c>
      <c r="O15" s="14">
        <f t="shared" si="13"/>
        <v>9</v>
      </c>
      <c r="P15" s="54">
        <f t="shared" si="14"/>
        <v>4681.125</v>
      </c>
      <c r="Q15" s="63">
        <f t="shared" si="15"/>
        <v>6818.955392720809</v>
      </c>
      <c r="R15" s="77">
        <f t="shared" si="2"/>
        <v>-2714.483096839509</v>
      </c>
      <c r="S15" s="63">
        <f t="shared" si="16"/>
        <v>-1133.3333333333333</v>
      </c>
      <c r="T15" s="63"/>
      <c r="U15" s="63">
        <f t="shared" si="17"/>
        <v>-340.94776963604045</v>
      </c>
      <c r="V15" s="77">
        <f>-(AB15*$C$9/12)</f>
        <v>-241.25833333333335</v>
      </c>
      <c r="W15" s="83">
        <f t="shared" si="4"/>
        <v>2388.9328595785933</v>
      </c>
      <c r="X15" s="85">
        <f t="shared" si="18"/>
        <v>21332.095736207339</v>
      </c>
      <c r="Z15" s="92">
        <f t="shared" si="19"/>
        <v>115804</v>
      </c>
      <c r="AA15" s="5">
        <f t="shared" si="5"/>
        <v>0</v>
      </c>
      <c r="AB15" s="92">
        <f t="shared" si="6"/>
        <v>115804</v>
      </c>
      <c r="AD15" s="133">
        <f t="shared" si="7"/>
        <v>-10200</v>
      </c>
      <c r="AE15" s="3">
        <f t="shared" si="8"/>
        <v>1</v>
      </c>
    </row>
    <row r="16" spans="1:31" ht="16.149999999999999" thickBot="1" x14ac:dyDescent="0.5">
      <c r="A16" s="661" t="s">
        <v>43</v>
      </c>
      <c r="B16" s="662"/>
      <c r="C16" s="662"/>
      <c r="D16" s="662"/>
      <c r="E16" s="663"/>
      <c r="F16" s="1"/>
      <c r="G16" s="1"/>
      <c r="H16" s="117"/>
      <c r="I16" s="14">
        <f t="shared" si="10"/>
        <v>10</v>
      </c>
      <c r="J16" s="63">
        <f t="shared" si="11"/>
        <v>123711.64021172162</v>
      </c>
      <c r="K16" s="63">
        <f t="shared" si="1"/>
        <v>546.4379558832984</v>
      </c>
      <c r="L16" s="63">
        <f t="shared" si="12"/>
        <v>-2714.483096839509</v>
      </c>
      <c r="M16" s="65">
        <f t="shared" si="0"/>
        <v>121543.59507076541</v>
      </c>
      <c r="O16" s="14">
        <f t="shared" si="13"/>
        <v>10</v>
      </c>
      <c r="P16" s="54">
        <f t="shared" si="14"/>
        <v>5201.25</v>
      </c>
      <c r="Q16" s="63">
        <f t="shared" si="15"/>
        <v>6818.955392720809</v>
      </c>
      <c r="R16" s="77">
        <f t="shared" si="2"/>
        <v>-2714.483096839509</v>
      </c>
      <c r="S16" s="63">
        <f t="shared" si="16"/>
        <v>-1133.3333333333333</v>
      </c>
      <c r="T16" s="63"/>
      <c r="U16" s="63">
        <f t="shared" si="17"/>
        <v>-340.94776963604045</v>
      </c>
      <c r="V16" s="77">
        <f t="shared" ref="V16:V66" si="20">-(AB16*$C$9/12)</f>
        <v>-236.58333333333334</v>
      </c>
      <c r="W16" s="83">
        <f t="shared" si="4"/>
        <v>2393.607859578593</v>
      </c>
      <c r="X16" s="85">
        <f t="shared" si="18"/>
        <v>23725.703595785933</v>
      </c>
      <c r="Z16" s="92">
        <f t="shared" si="19"/>
        <v>113560</v>
      </c>
      <c r="AA16" s="5">
        <f t="shared" si="5"/>
        <v>0</v>
      </c>
      <c r="AB16" s="92">
        <f t="shared" si="6"/>
        <v>113560</v>
      </c>
      <c r="AD16" s="133">
        <f t="shared" si="7"/>
        <v>-11333.333333333334</v>
      </c>
      <c r="AE16" s="3">
        <f t="shared" si="8"/>
        <v>1</v>
      </c>
    </row>
    <row r="17" spans="1:31" ht="14.65" thickBot="1" x14ac:dyDescent="0.5">
      <c r="A17" s="97" t="s">
        <v>44</v>
      </c>
      <c r="B17" s="98" t="s">
        <v>48</v>
      </c>
      <c r="C17" s="98" t="s">
        <v>45</v>
      </c>
      <c r="D17" s="99" t="s">
        <v>46</v>
      </c>
      <c r="E17" s="55" t="s">
        <v>47</v>
      </c>
      <c r="F17" s="1"/>
      <c r="G17" s="1"/>
      <c r="H17" s="117"/>
      <c r="I17" s="14">
        <f t="shared" si="10"/>
        <v>11</v>
      </c>
      <c r="J17" s="63">
        <f t="shared" si="11"/>
        <v>121543.59507076541</v>
      </c>
      <c r="K17" s="63">
        <f t="shared" si="1"/>
        <v>536.8616366860158</v>
      </c>
      <c r="L17" s="63">
        <f t="shared" si="12"/>
        <v>-2714.483096839509</v>
      </c>
      <c r="M17" s="65">
        <f t="shared" si="0"/>
        <v>119365.97361061192</v>
      </c>
      <c r="O17" s="14">
        <f t="shared" si="13"/>
        <v>11</v>
      </c>
      <c r="P17" s="54">
        <f t="shared" si="14"/>
        <v>5721.375</v>
      </c>
      <c r="Q17" s="63">
        <f t="shared" si="15"/>
        <v>6818.955392720809</v>
      </c>
      <c r="R17" s="77">
        <f t="shared" si="2"/>
        <v>-2714.483096839509</v>
      </c>
      <c r="S17" s="63">
        <f t="shared" si="16"/>
        <v>-1133.3333333333333</v>
      </c>
      <c r="T17" s="63"/>
      <c r="U17" s="63">
        <f t="shared" si="17"/>
        <v>-340.94776963604045</v>
      </c>
      <c r="V17" s="77">
        <f t="shared" si="20"/>
        <v>-231.90833333333333</v>
      </c>
      <c r="W17" s="83">
        <f t="shared" si="4"/>
        <v>2398.2828595785932</v>
      </c>
      <c r="X17" s="85">
        <f t="shared" si="18"/>
        <v>26123.986455364528</v>
      </c>
      <c r="Z17" s="92">
        <f t="shared" si="19"/>
        <v>111316</v>
      </c>
      <c r="AA17" s="5">
        <f t="shared" si="5"/>
        <v>0</v>
      </c>
      <c r="AB17" s="92">
        <f t="shared" si="6"/>
        <v>111316</v>
      </c>
      <c r="AD17" s="133">
        <f t="shared" si="7"/>
        <v>-12466.666666666668</v>
      </c>
      <c r="AE17" s="3">
        <f t="shared" si="8"/>
        <v>1</v>
      </c>
    </row>
    <row r="18" spans="1:31" x14ac:dyDescent="0.45">
      <c r="A18" s="94">
        <v>1</v>
      </c>
      <c r="B18" s="95">
        <v>12</v>
      </c>
      <c r="C18" s="96">
        <f>D$27-(D$27+D$28)*B18/60</f>
        <v>109072</v>
      </c>
      <c r="D18" s="100">
        <v>0.1</v>
      </c>
      <c r="E18" s="103">
        <f t="shared" ref="E18:E23" si="21">C18/(100%-D18)</f>
        <v>121191.11111111111</v>
      </c>
      <c r="F18" s="11"/>
      <c r="G18" s="11"/>
      <c r="H18" s="11"/>
      <c r="I18" s="14">
        <f t="shared" si="10"/>
        <v>12</v>
      </c>
      <c r="J18" s="63">
        <f t="shared" si="11"/>
        <v>119365.97361061192</v>
      </c>
      <c r="K18" s="63">
        <f t="shared" si="1"/>
        <v>527.24301860498963</v>
      </c>
      <c r="L18" s="63">
        <f t="shared" si="12"/>
        <v>-2714.483096839509</v>
      </c>
      <c r="M18" s="65">
        <f t="shared" si="0"/>
        <v>117178.7335323774</v>
      </c>
      <c r="O18" s="14">
        <f t="shared" si="13"/>
        <v>12</v>
      </c>
      <c r="P18" s="54">
        <f t="shared" si="14"/>
        <v>6241.5</v>
      </c>
      <c r="Q18" s="63">
        <f t="shared" si="15"/>
        <v>6818.955392720809</v>
      </c>
      <c r="R18" s="77">
        <f t="shared" si="2"/>
        <v>-2714.483096839509</v>
      </c>
      <c r="S18" s="63">
        <f t="shared" si="16"/>
        <v>-1133.3333333333333</v>
      </c>
      <c r="T18" s="63"/>
      <c r="U18" s="63">
        <f t="shared" si="17"/>
        <v>-340.94776963604045</v>
      </c>
      <c r="V18" s="77">
        <f t="shared" si="20"/>
        <v>-227.23333333333335</v>
      </c>
      <c r="W18" s="83">
        <f t="shared" si="4"/>
        <v>2402.9578595785933</v>
      </c>
      <c r="X18" s="85">
        <f t="shared" si="18"/>
        <v>28526.944314943121</v>
      </c>
      <c r="Z18" s="92">
        <f t="shared" si="19"/>
        <v>109072</v>
      </c>
      <c r="AA18" s="5">
        <f t="shared" si="5"/>
        <v>0</v>
      </c>
      <c r="AB18" s="92">
        <f t="shared" si="6"/>
        <v>109072</v>
      </c>
      <c r="AD18" s="133">
        <f t="shared" si="7"/>
        <v>-13600.000000000002</v>
      </c>
      <c r="AE18" s="3">
        <f t="shared" si="8"/>
        <v>1</v>
      </c>
    </row>
    <row r="19" spans="1:31" x14ac:dyDescent="0.45">
      <c r="A19" s="4">
        <f>A18+1</f>
        <v>2</v>
      </c>
      <c r="B19" s="5">
        <f>B18+12</f>
        <v>24</v>
      </c>
      <c r="C19" s="92">
        <f>D$27-(D$27+D$28)*B19/60</f>
        <v>82144</v>
      </c>
      <c r="D19" s="101">
        <f>D18</f>
        <v>0.1</v>
      </c>
      <c r="E19" s="104">
        <f t="shared" si="21"/>
        <v>91271.111111111109</v>
      </c>
      <c r="F19" s="11"/>
      <c r="G19" s="11"/>
      <c r="H19" s="11"/>
      <c r="I19" s="14">
        <f t="shared" si="10"/>
        <v>13</v>
      </c>
      <c r="J19" s="63">
        <f t="shared" si="11"/>
        <v>117178.7335323774</v>
      </c>
      <c r="K19" s="63">
        <f t="shared" si="1"/>
        <v>517.58191480480525</v>
      </c>
      <c r="L19" s="63">
        <f t="shared" si="12"/>
        <v>-2714.483096839509</v>
      </c>
      <c r="M19" s="65">
        <f t="shared" si="0"/>
        <v>114981.83235034269</v>
      </c>
      <c r="O19" s="14">
        <f t="shared" si="13"/>
        <v>13</v>
      </c>
      <c r="P19" s="54">
        <f t="shared" si="14"/>
        <v>6761.625</v>
      </c>
      <c r="Q19" s="63">
        <f t="shared" si="15"/>
        <v>6818.955392720809</v>
      </c>
      <c r="R19" s="77">
        <f t="shared" si="2"/>
        <v>-2714.483096839509</v>
      </c>
      <c r="S19" s="63">
        <f t="shared" si="16"/>
        <v>-1133.3333333333333</v>
      </c>
      <c r="T19" s="63"/>
      <c r="U19" s="63">
        <f t="shared" si="17"/>
        <v>-340.94776963604045</v>
      </c>
      <c r="V19" s="77">
        <f t="shared" si="20"/>
        <v>-222.55833333333337</v>
      </c>
      <c r="W19" s="83">
        <f t="shared" si="4"/>
        <v>2407.6328595785931</v>
      </c>
      <c r="X19" s="85">
        <f t="shared" si="18"/>
        <v>30934.577174521713</v>
      </c>
      <c r="Z19" s="92">
        <f t="shared" si="19"/>
        <v>106828</v>
      </c>
      <c r="AA19" s="5">
        <f t="shared" si="5"/>
        <v>0</v>
      </c>
      <c r="AB19" s="92">
        <f t="shared" si="6"/>
        <v>106828</v>
      </c>
      <c r="AD19" s="133">
        <f t="shared" si="7"/>
        <v>-14733.333333333336</v>
      </c>
      <c r="AE19" s="3">
        <f t="shared" si="8"/>
        <v>1</v>
      </c>
    </row>
    <row r="20" spans="1:31" x14ac:dyDescent="0.45">
      <c r="A20" s="4">
        <f>A19+1</f>
        <v>3</v>
      </c>
      <c r="B20" s="5">
        <f>B19+12</f>
        <v>36</v>
      </c>
      <c r="C20" s="92">
        <f>D$27-(D$27+D$28)*B20/60</f>
        <v>55216</v>
      </c>
      <c r="D20" s="101">
        <f>D19</f>
        <v>0.1</v>
      </c>
      <c r="E20" s="104">
        <f t="shared" si="21"/>
        <v>61351.111111111109</v>
      </c>
      <c r="F20" s="11"/>
      <c r="G20" s="11"/>
      <c r="H20" s="11"/>
      <c r="I20" s="14">
        <f t="shared" si="10"/>
        <v>14</v>
      </c>
      <c r="J20" s="63">
        <f t="shared" si="11"/>
        <v>114981.83235034269</v>
      </c>
      <c r="K20" s="63">
        <f t="shared" si="1"/>
        <v>507.8781376247909</v>
      </c>
      <c r="L20" s="63">
        <f t="shared" si="12"/>
        <v>-2714.483096839509</v>
      </c>
      <c r="M20" s="65">
        <f t="shared" si="0"/>
        <v>112775.22739112798</v>
      </c>
      <c r="O20" s="14">
        <f t="shared" si="13"/>
        <v>14</v>
      </c>
      <c r="P20" s="54">
        <f t="shared" si="14"/>
        <v>7281.75</v>
      </c>
      <c r="Q20" s="63">
        <f t="shared" si="15"/>
        <v>6818.955392720809</v>
      </c>
      <c r="R20" s="77">
        <f t="shared" si="2"/>
        <v>-2714.483096839509</v>
      </c>
      <c r="S20" s="63">
        <f t="shared" si="16"/>
        <v>-1133.3333333333333</v>
      </c>
      <c r="T20" s="63"/>
      <c r="U20" s="63">
        <f t="shared" si="17"/>
        <v>-340.94776963604045</v>
      </c>
      <c r="V20" s="77">
        <f t="shared" si="20"/>
        <v>-217.88333333333335</v>
      </c>
      <c r="W20" s="83">
        <f t="shared" si="4"/>
        <v>2412.3078595785933</v>
      </c>
      <c r="X20" s="85">
        <f t="shared" si="18"/>
        <v>33346.885034100305</v>
      </c>
      <c r="Z20" s="92">
        <f t="shared" si="19"/>
        <v>104584</v>
      </c>
      <c r="AA20" s="5">
        <f t="shared" si="5"/>
        <v>0</v>
      </c>
      <c r="AB20" s="92">
        <f t="shared" si="6"/>
        <v>104584</v>
      </c>
      <c r="AD20" s="133">
        <f t="shared" si="7"/>
        <v>-15866.66666666667</v>
      </c>
      <c r="AE20" s="3">
        <f t="shared" si="8"/>
        <v>1</v>
      </c>
    </row>
    <row r="21" spans="1:31" x14ac:dyDescent="0.45">
      <c r="A21" s="4">
        <f>A20+1</f>
        <v>4</v>
      </c>
      <c r="B21" s="5">
        <f>B20+12</f>
        <v>48</v>
      </c>
      <c r="C21" s="92">
        <f>D$27-(D$27+D$28)*B21/60</f>
        <v>28288</v>
      </c>
      <c r="D21" s="101">
        <f>D20</f>
        <v>0.1</v>
      </c>
      <c r="E21" s="104">
        <f t="shared" si="21"/>
        <v>31431.111111111109</v>
      </c>
      <c r="F21" s="11"/>
      <c r="G21" s="11"/>
      <c r="H21" s="11"/>
      <c r="I21" s="14">
        <f t="shared" si="10"/>
        <v>15</v>
      </c>
      <c r="J21" s="63">
        <f t="shared" si="11"/>
        <v>112775.22739112798</v>
      </c>
      <c r="K21" s="63">
        <f t="shared" si="1"/>
        <v>498.13149857537195</v>
      </c>
      <c r="L21" s="63">
        <f t="shared" si="12"/>
        <v>-2714.483096839509</v>
      </c>
      <c r="M21" s="65">
        <f t="shared" si="0"/>
        <v>110558.87579286384</v>
      </c>
      <c r="O21" s="14">
        <f t="shared" si="13"/>
        <v>15</v>
      </c>
      <c r="P21" s="54">
        <f t="shared" si="14"/>
        <v>7801.875</v>
      </c>
      <c r="Q21" s="63">
        <f t="shared" si="15"/>
        <v>6818.955392720809</v>
      </c>
      <c r="R21" s="77">
        <f t="shared" si="2"/>
        <v>-2714.483096839509</v>
      </c>
      <c r="S21" s="63">
        <f t="shared" si="16"/>
        <v>-1133.3333333333333</v>
      </c>
      <c r="T21" s="63"/>
      <c r="U21" s="63">
        <f t="shared" si="17"/>
        <v>-340.94776963604045</v>
      </c>
      <c r="V21" s="77">
        <f t="shared" si="20"/>
        <v>-213.20833333333334</v>
      </c>
      <c r="W21" s="83">
        <f t="shared" si="4"/>
        <v>2416.982859578593</v>
      </c>
      <c r="X21" s="85">
        <f t="shared" si="18"/>
        <v>35763.8678936789</v>
      </c>
      <c r="Z21" s="92">
        <f t="shared" si="19"/>
        <v>102340</v>
      </c>
      <c r="AA21" s="5">
        <f t="shared" si="5"/>
        <v>0</v>
      </c>
      <c r="AB21" s="92">
        <f t="shared" si="6"/>
        <v>102340</v>
      </c>
      <c r="AD21" s="133">
        <f t="shared" si="7"/>
        <v>-17000.000000000004</v>
      </c>
      <c r="AE21" s="3">
        <f t="shared" si="8"/>
        <v>1</v>
      </c>
    </row>
    <row r="22" spans="1:31" x14ac:dyDescent="0.45">
      <c r="A22" s="4">
        <f>A21+1</f>
        <v>5</v>
      </c>
      <c r="B22" s="5">
        <f>B21+12</f>
        <v>60</v>
      </c>
      <c r="C22" s="92">
        <f>D$27-(D$27+D$28)*B22/60</f>
        <v>1360</v>
      </c>
      <c r="D22" s="101">
        <f>D21</f>
        <v>0.1</v>
      </c>
      <c r="E22" s="104">
        <f t="shared" si="21"/>
        <v>1511.1111111111111</v>
      </c>
      <c r="F22" s="11"/>
      <c r="G22" s="11"/>
      <c r="H22" s="11"/>
      <c r="I22" s="14">
        <f t="shared" si="10"/>
        <v>16</v>
      </c>
      <c r="J22" s="63">
        <f t="shared" si="11"/>
        <v>110558.87579286384</v>
      </c>
      <c r="K22" s="63">
        <f t="shared" si="1"/>
        <v>488.34180833440956</v>
      </c>
      <c r="L22" s="63">
        <f t="shared" si="12"/>
        <v>-2714.483096839509</v>
      </c>
      <c r="M22" s="65">
        <f t="shared" si="0"/>
        <v>108332.73450435874</v>
      </c>
      <c r="O22" s="14">
        <f t="shared" si="13"/>
        <v>16</v>
      </c>
      <c r="P22" s="54">
        <f t="shared" si="14"/>
        <v>8322</v>
      </c>
      <c r="Q22" s="63">
        <f t="shared" si="15"/>
        <v>6818.955392720809</v>
      </c>
      <c r="R22" s="77">
        <f t="shared" si="2"/>
        <v>-2714.483096839509</v>
      </c>
      <c r="S22" s="63">
        <f t="shared" si="16"/>
        <v>-1133.3333333333333</v>
      </c>
      <c r="T22" s="63"/>
      <c r="U22" s="63">
        <f t="shared" si="17"/>
        <v>-340.94776963604045</v>
      </c>
      <c r="V22" s="77">
        <f t="shared" si="20"/>
        <v>-208.53333333333333</v>
      </c>
      <c r="W22" s="83">
        <f t="shared" si="4"/>
        <v>2421.6578595785932</v>
      </c>
      <c r="X22" s="85">
        <f t="shared" si="18"/>
        <v>38185.525753257491</v>
      </c>
      <c r="Z22" s="92">
        <f t="shared" si="19"/>
        <v>100096</v>
      </c>
      <c r="AA22" s="5">
        <f t="shared" si="5"/>
        <v>0</v>
      </c>
      <c r="AB22" s="92">
        <f t="shared" si="6"/>
        <v>100096</v>
      </c>
      <c r="AD22" s="133">
        <f t="shared" si="7"/>
        <v>-18133.333333333336</v>
      </c>
      <c r="AE22" s="3">
        <f t="shared" si="8"/>
        <v>1</v>
      </c>
    </row>
    <row r="23" spans="1:31" ht="14.65" thickBot="1" x14ac:dyDescent="0.5">
      <c r="A23" s="6">
        <f>A22+1</f>
        <v>6</v>
      </c>
      <c r="B23" s="7">
        <f>B22+12</f>
        <v>72</v>
      </c>
      <c r="C23" s="93">
        <v>1</v>
      </c>
      <c r="D23" s="102">
        <f>D22</f>
        <v>0.1</v>
      </c>
      <c r="E23" s="105">
        <f t="shared" si="21"/>
        <v>1.1111111111111112</v>
      </c>
      <c r="H23" s="11"/>
      <c r="I23" s="14">
        <f t="shared" si="10"/>
        <v>17</v>
      </c>
      <c r="J23" s="63">
        <f t="shared" si="11"/>
        <v>108332.73450435874</v>
      </c>
      <c r="K23" s="63">
        <f t="shared" si="1"/>
        <v>478.50887674352373</v>
      </c>
      <c r="L23" s="63">
        <f t="shared" si="12"/>
        <v>-2714.483096839509</v>
      </c>
      <c r="M23" s="65">
        <f t="shared" si="0"/>
        <v>106096.76028426275</v>
      </c>
      <c r="O23" s="14">
        <f t="shared" si="13"/>
        <v>17</v>
      </c>
      <c r="P23" s="54">
        <f t="shared" si="14"/>
        <v>8842.125</v>
      </c>
      <c r="Q23" s="63">
        <f t="shared" si="15"/>
        <v>6818.955392720809</v>
      </c>
      <c r="R23" s="77">
        <f t="shared" si="2"/>
        <v>-2714.483096839509</v>
      </c>
      <c r="S23" s="63">
        <f t="shared" si="16"/>
        <v>-1133.3333333333333</v>
      </c>
      <c r="T23" s="63"/>
      <c r="U23" s="63">
        <f t="shared" si="17"/>
        <v>-340.94776963604045</v>
      </c>
      <c r="V23" s="77">
        <f t="shared" si="20"/>
        <v>-203.85833333333335</v>
      </c>
      <c r="W23" s="83">
        <f t="shared" si="4"/>
        <v>2426.3328595785933</v>
      </c>
      <c r="X23" s="85">
        <f t="shared" si="18"/>
        <v>40611.858612836084</v>
      </c>
      <c r="Z23" s="92">
        <f t="shared" si="19"/>
        <v>97852</v>
      </c>
      <c r="AA23" s="5">
        <f t="shared" si="5"/>
        <v>0</v>
      </c>
      <c r="AB23" s="92">
        <f t="shared" si="6"/>
        <v>97852</v>
      </c>
      <c r="AD23" s="133">
        <f t="shared" si="7"/>
        <v>-19266.666666666668</v>
      </c>
      <c r="AE23" s="3">
        <f t="shared" si="8"/>
        <v>1</v>
      </c>
    </row>
    <row r="24" spans="1:31" ht="14.65" thickBot="1" x14ac:dyDescent="0.5">
      <c r="H24" s="11"/>
      <c r="I24" s="14">
        <f>I23+1</f>
        <v>18</v>
      </c>
      <c r="J24" s="63">
        <f t="shared" si="11"/>
        <v>106096.76028426275</v>
      </c>
      <c r="K24" s="63">
        <f t="shared" si="1"/>
        <v>468.6325128043992</v>
      </c>
      <c r="L24" s="63">
        <f t="shared" si="12"/>
        <v>-2714.483096839509</v>
      </c>
      <c r="M24" s="65">
        <f t="shared" si="0"/>
        <v>103850.90970022764</v>
      </c>
      <c r="O24" s="14">
        <f>O23+1</f>
        <v>18</v>
      </c>
      <c r="P24" s="54">
        <f t="shared" si="14"/>
        <v>9362.25</v>
      </c>
      <c r="Q24" s="63">
        <f t="shared" si="15"/>
        <v>6818.955392720809</v>
      </c>
      <c r="R24" s="77">
        <f t="shared" si="2"/>
        <v>-2714.483096839509</v>
      </c>
      <c r="S24" s="63">
        <f t="shared" si="16"/>
        <v>-1133.3333333333333</v>
      </c>
      <c r="T24" s="63"/>
      <c r="U24" s="63">
        <f t="shared" si="17"/>
        <v>-340.94776963604045</v>
      </c>
      <c r="V24" s="77">
        <f t="shared" si="20"/>
        <v>-199.18333333333337</v>
      </c>
      <c r="W24" s="83">
        <f t="shared" si="4"/>
        <v>2431.0078595785931</v>
      </c>
      <c r="X24" s="85">
        <f t="shared" si="18"/>
        <v>43042.86647241468</v>
      </c>
      <c r="Z24" s="92">
        <f t="shared" si="19"/>
        <v>95608</v>
      </c>
      <c r="AA24" s="5">
        <f t="shared" si="5"/>
        <v>0</v>
      </c>
      <c r="AB24" s="92">
        <f t="shared" si="6"/>
        <v>95608</v>
      </c>
      <c r="AD24" s="133">
        <f t="shared" si="7"/>
        <v>-20400</v>
      </c>
      <c r="AE24" s="3">
        <f t="shared" si="8"/>
        <v>1</v>
      </c>
    </row>
    <row r="25" spans="1:31" ht="32.25" customHeight="1" thickBot="1" x14ac:dyDescent="0.5">
      <c r="A25" s="664" t="s">
        <v>21</v>
      </c>
      <c r="B25" s="665"/>
      <c r="C25" s="665"/>
      <c r="D25" s="665"/>
      <c r="E25" s="665"/>
      <c r="F25" s="665"/>
      <c r="G25" s="666"/>
      <c r="H25" s="11"/>
      <c r="I25" s="14">
        <f t="shared" si="10"/>
        <v>19</v>
      </c>
      <c r="J25" s="63">
        <f t="shared" si="11"/>
        <v>103850.90970022764</v>
      </c>
      <c r="K25" s="63">
        <f t="shared" si="1"/>
        <v>458.71252467507531</v>
      </c>
      <c r="L25" s="63">
        <f t="shared" si="12"/>
        <v>-2714.483096839509</v>
      </c>
      <c r="M25" s="65">
        <f t="shared" si="0"/>
        <v>101595.13912806321</v>
      </c>
      <c r="O25" s="14">
        <f t="shared" si="13"/>
        <v>19</v>
      </c>
      <c r="P25" s="54">
        <f t="shared" si="14"/>
        <v>9882.375</v>
      </c>
      <c r="Q25" s="63">
        <f t="shared" si="15"/>
        <v>6818.955392720809</v>
      </c>
      <c r="R25" s="77">
        <f t="shared" si="2"/>
        <v>-2714.483096839509</v>
      </c>
      <c r="S25" s="63">
        <f t="shared" si="16"/>
        <v>-1133.3333333333333</v>
      </c>
      <c r="T25" s="63"/>
      <c r="U25" s="63">
        <f t="shared" si="17"/>
        <v>-340.94776963604045</v>
      </c>
      <c r="V25" s="77">
        <f t="shared" si="20"/>
        <v>-194.50833333333333</v>
      </c>
      <c r="W25" s="83">
        <f t="shared" si="4"/>
        <v>2435.6828595785933</v>
      </c>
      <c r="X25" s="85">
        <f t="shared" si="18"/>
        <v>45478.549331993272</v>
      </c>
      <c r="Z25" s="92">
        <f t="shared" si="19"/>
        <v>93364</v>
      </c>
      <c r="AA25" s="5">
        <f t="shared" si="5"/>
        <v>0</v>
      </c>
      <c r="AB25" s="92">
        <f t="shared" si="6"/>
        <v>93364</v>
      </c>
      <c r="AD25" s="133">
        <f t="shared" si="7"/>
        <v>-21533.333333333332</v>
      </c>
      <c r="AE25" s="3">
        <f t="shared" si="8"/>
        <v>1</v>
      </c>
    </row>
    <row r="26" spans="1:31" ht="28.9" thickBot="1" x14ac:dyDescent="0.5">
      <c r="A26" s="26" t="s">
        <v>0</v>
      </c>
      <c r="B26" s="27" t="s">
        <v>1</v>
      </c>
      <c r="C26" s="43" t="s">
        <v>22</v>
      </c>
      <c r="D26" s="43" t="s">
        <v>10</v>
      </c>
      <c r="E26" s="43" t="s">
        <v>23</v>
      </c>
      <c r="F26" s="43" t="s">
        <v>24</v>
      </c>
      <c r="G26" s="44" t="s">
        <v>25</v>
      </c>
      <c r="H26" s="11"/>
      <c r="I26" s="14">
        <f t="shared" si="10"/>
        <v>20</v>
      </c>
      <c r="J26" s="63">
        <f t="shared" si="11"/>
        <v>101595.13912806321</v>
      </c>
      <c r="K26" s="63">
        <f t="shared" si="1"/>
        <v>448.74871966622021</v>
      </c>
      <c r="L26" s="63">
        <f t="shared" si="12"/>
        <v>-2714.483096839509</v>
      </c>
      <c r="M26" s="65">
        <f t="shared" si="0"/>
        <v>99329.404750889924</v>
      </c>
      <c r="O26" s="14">
        <f t="shared" si="13"/>
        <v>20</v>
      </c>
      <c r="P26" s="54">
        <f t="shared" si="14"/>
        <v>10402.5</v>
      </c>
      <c r="Q26" s="63">
        <f t="shared" si="15"/>
        <v>6818.955392720809</v>
      </c>
      <c r="R26" s="77">
        <f t="shared" si="2"/>
        <v>-2714.483096839509</v>
      </c>
      <c r="S26" s="63">
        <f t="shared" si="16"/>
        <v>-1133.3333333333333</v>
      </c>
      <c r="T26" s="63"/>
      <c r="U26" s="63">
        <f t="shared" si="17"/>
        <v>-340.94776963604045</v>
      </c>
      <c r="V26" s="77">
        <f t="shared" si="20"/>
        <v>-189.83333333333334</v>
      </c>
      <c r="W26" s="83">
        <f t="shared" si="4"/>
        <v>2440.357859578593</v>
      </c>
      <c r="X26" s="85">
        <f t="shared" si="18"/>
        <v>47918.907191571867</v>
      </c>
      <c r="Z26" s="92">
        <f t="shared" si="19"/>
        <v>91120</v>
      </c>
      <c r="AA26" s="5">
        <f t="shared" si="5"/>
        <v>0</v>
      </c>
      <c r="AB26" s="92">
        <f t="shared" si="6"/>
        <v>91120</v>
      </c>
      <c r="AD26" s="133">
        <f t="shared" si="7"/>
        <v>-22666.666666666664</v>
      </c>
      <c r="AE26" s="3">
        <f t="shared" si="8"/>
        <v>1</v>
      </c>
    </row>
    <row r="27" spans="1:31" x14ac:dyDescent="0.45">
      <c r="A27" s="8">
        <v>1</v>
      </c>
      <c r="B27" s="9" t="s">
        <v>16</v>
      </c>
      <c r="C27" s="48">
        <v>1</v>
      </c>
      <c r="D27" s="153">
        <f>+F7</f>
        <v>136000</v>
      </c>
      <c r="E27" s="342">
        <f>+'Summary Equip'!AE19</f>
        <v>0.8</v>
      </c>
      <c r="F27" s="62">
        <f>E27*D27</f>
        <v>108800</v>
      </c>
      <c r="G27" s="60">
        <f>D27-F27</f>
        <v>27200</v>
      </c>
      <c r="H27" s="11"/>
      <c r="I27" s="14">
        <f t="shared" si="10"/>
        <v>21</v>
      </c>
      <c r="J27" s="63">
        <f t="shared" si="11"/>
        <v>99329.404750889924</v>
      </c>
      <c r="K27" s="63">
        <f t="shared" si="1"/>
        <v>438.74090423738738</v>
      </c>
      <c r="L27" s="63">
        <f t="shared" si="12"/>
        <v>-2714.483096839509</v>
      </c>
      <c r="M27" s="65">
        <f t="shared" si="0"/>
        <v>97053.662558287804</v>
      </c>
      <c r="O27" s="14">
        <f t="shared" si="13"/>
        <v>21</v>
      </c>
      <c r="P27" s="54">
        <f t="shared" si="14"/>
        <v>10922.625</v>
      </c>
      <c r="Q27" s="63">
        <f t="shared" si="15"/>
        <v>6818.955392720809</v>
      </c>
      <c r="R27" s="77">
        <f t="shared" si="2"/>
        <v>-2714.483096839509</v>
      </c>
      <c r="S27" s="63">
        <f t="shared" si="16"/>
        <v>-1133.3333333333333</v>
      </c>
      <c r="T27" s="63"/>
      <c r="U27" s="63">
        <f t="shared" si="17"/>
        <v>-340.94776963604045</v>
      </c>
      <c r="V27" s="77">
        <f t="shared" si="20"/>
        <v>-185.15833333333333</v>
      </c>
      <c r="W27" s="83">
        <f t="shared" si="4"/>
        <v>2445.0328595785932</v>
      </c>
      <c r="X27" s="85">
        <f t="shared" si="18"/>
        <v>50363.940051150457</v>
      </c>
      <c r="Z27" s="92">
        <f t="shared" si="19"/>
        <v>88876</v>
      </c>
      <c r="AA27" s="5">
        <f t="shared" si="5"/>
        <v>0</v>
      </c>
      <c r="AB27" s="92">
        <f t="shared" si="6"/>
        <v>88876</v>
      </c>
      <c r="AD27" s="133">
        <f t="shared" si="7"/>
        <v>-23799.999999999996</v>
      </c>
      <c r="AE27" s="3">
        <f t="shared" si="8"/>
        <v>1</v>
      </c>
    </row>
    <row r="28" spans="1:31" x14ac:dyDescent="0.45">
      <c r="A28" s="4">
        <f>A27+1</f>
        <v>2</v>
      </c>
      <c r="B28" s="5" t="s">
        <v>12</v>
      </c>
      <c r="C28" s="19">
        <f>C11</f>
        <v>0.01</v>
      </c>
      <c r="D28" s="300">
        <f>-C28*D27</f>
        <v>-1360</v>
      </c>
      <c r="E28" s="23">
        <f>E27</f>
        <v>0.8</v>
      </c>
      <c r="F28" s="63">
        <f t="shared" ref="F28:F33" si="22">E28*D28</f>
        <v>-1088</v>
      </c>
      <c r="G28" s="65">
        <f>D28-F28</f>
        <v>-272</v>
      </c>
      <c r="H28" s="11"/>
      <c r="I28" s="14">
        <f t="shared" si="10"/>
        <v>22</v>
      </c>
      <c r="J28" s="63">
        <f t="shared" si="11"/>
        <v>97053.662558287804</v>
      </c>
      <c r="K28" s="63">
        <f t="shared" si="1"/>
        <v>428.6888839932563</v>
      </c>
      <c r="L28" s="63">
        <f t="shared" si="12"/>
        <v>-2714.483096839509</v>
      </c>
      <c r="M28" s="65">
        <f t="shared" si="0"/>
        <v>94767.868345441544</v>
      </c>
      <c r="O28" s="14">
        <f t="shared" si="13"/>
        <v>22</v>
      </c>
      <c r="P28" s="54">
        <f t="shared" si="14"/>
        <v>11442.75</v>
      </c>
      <c r="Q28" s="63">
        <f t="shared" si="15"/>
        <v>6818.955392720809</v>
      </c>
      <c r="R28" s="77">
        <f t="shared" si="2"/>
        <v>-2714.483096839509</v>
      </c>
      <c r="S28" s="63">
        <f t="shared" si="16"/>
        <v>-1133.3333333333333</v>
      </c>
      <c r="T28" s="63"/>
      <c r="U28" s="63">
        <f t="shared" si="17"/>
        <v>-340.94776963604045</v>
      </c>
      <c r="V28" s="77">
        <f t="shared" si="20"/>
        <v>-180.48333333333335</v>
      </c>
      <c r="W28" s="83">
        <f t="shared" si="4"/>
        <v>2449.7078595785933</v>
      </c>
      <c r="X28" s="85">
        <f t="shared" si="18"/>
        <v>52813.647910729051</v>
      </c>
      <c r="Z28" s="92">
        <f t="shared" si="19"/>
        <v>86632</v>
      </c>
      <c r="AA28" s="5">
        <f t="shared" si="5"/>
        <v>0</v>
      </c>
      <c r="AB28" s="92">
        <f t="shared" si="6"/>
        <v>86632</v>
      </c>
      <c r="AD28" s="133">
        <f t="shared" si="7"/>
        <v>-24933.333333333328</v>
      </c>
      <c r="AE28" s="3">
        <f t="shared" si="8"/>
        <v>1</v>
      </c>
    </row>
    <row r="29" spans="1:31" x14ac:dyDescent="0.45">
      <c r="A29" s="4">
        <f t="shared" ref="A29:A34" si="23">A28+1</f>
        <v>3</v>
      </c>
      <c r="B29" s="5" t="s">
        <v>17</v>
      </c>
      <c r="C29" s="24">
        <f>C8</f>
        <v>5.2999999999999999E-2</v>
      </c>
      <c r="D29" s="63">
        <f>K67</f>
        <v>19154.591646577446</v>
      </c>
      <c r="E29" s="23">
        <v>1</v>
      </c>
      <c r="F29" s="63">
        <f t="shared" si="22"/>
        <v>19154.591646577446</v>
      </c>
      <c r="G29" s="65">
        <f>D29-F29</f>
        <v>0</v>
      </c>
      <c r="H29" s="11"/>
      <c r="I29" s="14">
        <f t="shared" si="10"/>
        <v>23</v>
      </c>
      <c r="J29" s="63">
        <f t="shared" si="11"/>
        <v>94767.868345441544</v>
      </c>
      <c r="K29" s="63">
        <f t="shared" si="1"/>
        <v>418.59246367985696</v>
      </c>
      <c r="L29" s="63">
        <f t="shared" si="12"/>
        <v>-2714.483096839509</v>
      </c>
      <c r="M29" s="65">
        <f t="shared" si="0"/>
        <v>92471.977712281892</v>
      </c>
      <c r="O29" s="14">
        <f t="shared" si="13"/>
        <v>23</v>
      </c>
      <c r="P29" s="54">
        <f t="shared" si="14"/>
        <v>11962.875</v>
      </c>
      <c r="Q29" s="63">
        <f t="shared" si="15"/>
        <v>6818.955392720809</v>
      </c>
      <c r="R29" s="77">
        <f t="shared" si="2"/>
        <v>-2714.483096839509</v>
      </c>
      <c r="S29" s="63">
        <f t="shared" si="16"/>
        <v>-1133.3333333333333</v>
      </c>
      <c r="T29" s="63"/>
      <c r="U29" s="63">
        <f t="shared" si="17"/>
        <v>-340.94776963604045</v>
      </c>
      <c r="V29" s="77">
        <f t="shared" si="20"/>
        <v>-175.80833333333337</v>
      </c>
      <c r="W29" s="83">
        <f t="shared" si="4"/>
        <v>2454.3828595785931</v>
      </c>
      <c r="X29" s="85">
        <f t="shared" si="18"/>
        <v>55268.030770307647</v>
      </c>
      <c r="Z29" s="92">
        <f t="shared" si="19"/>
        <v>84388</v>
      </c>
      <c r="AA29" s="5">
        <f t="shared" si="5"/>
        <v>0</v>
      </c>
      <c r="AB29" s="92">
        <f t="shared" si="6"/>
        <v>84388</v>
      </c>
      <c r="AD29" s="133">
        <f t="shared" si="7"/>
        <v>-26066.666666666661</v>
      </c>
      <c r="AE29" s="3">
        <f t="shared" si="8"/>
        <v>1</v>
      </c>
    </row>
    <row r="30" spans="1:31" x14ac:dyDescent="0.45">
      <c r="A30" s="4">
        <f t="shared" si="23"/>
        <v>4</v>
      </c>
      <c r="B30" s="5" t="s">
        <v>6</v>
      </c>
      <c r="C30" s="23">
        <f>C9</f>
        <v>2.5000000000000001E-2</v>
      </c>
      <c r="D30" s="63">
        <f>-V67</f>
        <v>8102.2000000000025</v>
      </c>
      <c r="E30" s="23">
        <v>1</v>
      </c>
      <c r="F30" s="63">
        <f t="shared" si="22"/>
        <v>8102.2000000000025</v>
      </c>
      <c r="G30" s="65">
        <f>D30-F30</f>
        <v>0</v>
      </c>
      <c r="H30" s="11"/>
      <c r="I30" s="14">
        <f t="shared" si="10"/>
        <v>24</v>
      </c>
      <c r="J30" s="63">
        <f t="shared" si="11"/>
        <v>92471.977712281892</v>
      </c>
      <c r="K30" s="63">
        <f t="shared" si="1"/>
        <v>408.45144718077654</v>
      </c>
      <c r="L30" s="63">
        <f t="shared" si="12"/>
        <v>-2714.483096839509</v>
      </c>
      <c r="M30" s="65">
        <f t="shared" si="0"/>
        <v>90165.946062623159</v>
      </c>
      <c r="O30" s="14">
        <f t="shared" si="13"/>
        <v>24</v>
      </c>
      <c r="P30" s="54">
        <f t="shared" si="14"/>
        <v>12483</v>
      </c>
      <c r="Q30" s="63">
        <f t="shared" si="15"/>
        <v>6818.955392720809</v>
      </c>
      <c r="R30" s="77">
        <f t="shared" si="2"/>
        <v>-2714.483096839509</v>
      </c>
      <c r="S30" s="63">
        <f t="shared" si="16"/>
        <v>-1133.3333333333333</v>
      </c>
      <c r="T30" s="63"/>
      <c r="U30" s="63">
        <f t="shared" si="17"/>
        <v>-340.94776963604045</v>
      </c>
      <c r="V30" s="77">
        <f t="shared" si="20"/>
        <v>-171.13333333333333</v>
      </c>
      <c r="W30" s="83">
        <f t="shared" si="4"/>
        <v>2459.0578595785933</v>
      </c>
      <c r="X30" s="85">
        <f t="shared" si="18"/>
        <v>57727.088629886239</v>
      </c>
      <c r="Z30" s="92">
        <f t="shared" si="19"/>
        <v>82144</v>
      </c>
      <c r="AA30" s="5">
        <f t="shared" si="5"/>
        <v>0</v>
      </c>
      <c r="AB30" s="92">
        <f t="shared" si="6"/>
        <v>82144</v>
      </c>
      <c r="AD30" s="133">
        <f t="shared" si="7"/>
        <v>-27199.999999999993</v>
      </c>
      <c r="AE30" s="3">
        <f t="shared" si="8"/>
        <v>1</v>
      </c>
    </row>
    <row r="31" spans="1:31" x14ac:dyDescent="0.45">
      <c r="A31" s="4">
        <f t="shared" si="23"/>
        <v>5</v>
      </c>
      <c r="B31" s="5" t="s">
        <v>27</v>
      </c>
      <c r="C31" s="334">
        <f>+'Summary Equip'!AH19</f>
        <v>0.5</v>
      </c>
      <c r="D31" s="63">
        <f>D27*C31</f>
        <v>68000</v>
      </c>
      <c r="E31" s="334">
        <f>+ASSUMPTIONS!B43</f>
        <v>0.1</v>
      </c>
      <c r="F31" s="63">
        <f t="shared" si="22"/>
        <v>6800</v>
      </c>
      <c r="G31" s="65">
        <f>D31</f>
        <v>68000</v>
      </c>
      <c r="H31" s="11"/>
      <c r="I31" s="14">
        <f t="shared" si="10"/>
        <v>25</v>
      </c>
      <c r="J31" s="63">
        <f t="shared" si="11"/>
        <v>90165.946062623159</v>
      </c>
      <c r="K31" s="63">
        <f t="shared" si="1"/>
        <v>398.26563751335033</v>
      </c>
      <c r="L31" s="63">
        <f t="shared" si="12"/>
        <v>-2714.483096839509</v>
      </c>
      <c r="M31" s="65">
        <f t="shared" si="0"/>
        <v>87849.728603297001</v>
      </c>
      <c r="O31" s="14">
        <f t="shared" si="13"/>
        <v>25</v>
      </c>
      <c r="P31" s="54">
        <f t="shared" si="14"/>
        <v>13003.125</v>
      </c>
      <c r="Q31" s="63">
        <f t="shared" si="15"/>
        <v>6818.955392720809</v>
      </c>
      <c r="R31" s="77">
        <f t="shared" si="2"/>
        <v>-2714.483096839509</v>
      </c>
      <c r="S31" s="63">
        <f t="shared" si="16"/>
        <v>-1133.3333333333333</v>
      </c>
      <c r="T31" s="63"/>
      <c r="U31" s="63">
        <f t="shared" si="17"/>
        <v>-340.94776963604045</v>
      </c>
      <c r="V31" s="77">
        <f t="shared" si="20"/>
        <v>-166.45833333333334</v>
      </c>
      <c r="W31" s="83">
        <f t="shared" si="4"/>
        <v>2463.732859578593</v>
      </c>
      <c r="X31" s="85">
        <f t="shared" si="18"/>
        <v>60190.821489464834</v>
      </c>
      <c r="Z31" s="92">
        <f t="shared" si="19"/>
        <v>79900</v>
      </c>
      <c r="AA31" s="5">
        <f t="shared" si="5"/>
        <v>0</v>
      </c>
      <c r="AB31" s="92">
        <f t="shared" si="6"/>
        <v>79900</v>
      </c>
      <c r="AD31" s="133">
        <f t="shared" si="7"/>
        <v>-28333.333333333325</v>
      </c>
      <c r="AE31" s="3">
        <f t="shared" si="8"/>
        <v>1</v>
      </c>
    </row>
    <row r="32" spans="1:31" x14ac:dyDescent="0.45">
      <c r="A32" s="4">
        <f t="shared" si="23"/>
        <v>6</v>
      </c>
      <c r="B32" s="5" t="s">
        <v>26</v>
      </c>
      <c r="C32" s="335">
        <f>+'Summary Equip'!AI19</f>
        <v>0.15</v>
      </c>
      <c r="D32" s="63">
        <f>D27*C32</f>
        <v>20400</v>
      </c>
      <c r="E32" s="334">
        <f>+ASSUMPTIONS!B44</f>
        <v>0.05</v>
      </c>
      <c r="F32" s="63">
        <f t="shared" si="22"/>
        <v>1020</v>
      </c>
      <c r="G32" s="65">
        <f>D32</f>
        <v>20400</v>
      </c>
      <c r="H32" s="11"/>
      <c r="I32" s="14">
        <f t="shared" si="10"/>
        <v>26</v>
      </c>
      <c r="J32" s="63">
        <f t="shared" si="11"/>
        <v>87849.728603297001</v>
      </c>
      <c r="K32" s="63">
        <f t="shared" si="1"/>
        <v>388.03483682483539</v>
      </c>
      <c r="L32" s="63">
        <f t="shared" si="12"/>
        <v>-2714.483096839509</v>
      </c>
      <c r="M32" s="65">
        <f t="shared" si="0"/>
        <v>85523.280343282328</v>
      </c>
      <c r="O32" s="14">
        <f t="shared" si="13"/>
        <v>26</v>
      </c>
      <c r="P32" s="54">
        <f t="shared" si="14"/>
        <v>13523.25</v>
      </c>
      <c r="Q32" s="63">
        <f t="shared" si="15"/>
        <v>6818.955392720809</v>
      </c>
      <c r="R32" s="77">
        <f t="shared" si="2"/>
        <v>-2714.483096839509</v>
      </c>
      <c r="S32" s="63">
        <f t="shared" si="16"/>
        <v>-1133.3333333333333</v>
      </c>
      <c r="T32" s="63"/>
      <c r="U32" s="63">
        <f t="shared" si="17"/>
        <v>-340.94776963604045</v>
      </c>
      <c r="V32" s="77">
        <f t="shared" si="20"/>
        <v>-161.78333333333333</v>
      </c>
      <c r="W32" s="83">
        <f t="shared" si="4"/>
        <v>2468.4078595785932</v>
      </c>
      <c r="X32" s="85">
        <f t="shared" si="18"/>
        <v>62659.229349043424</v>
      </c>
      <c r="Z32" s="92">
        <f t="shared" si="19"/>
        <v>77656</v>
      </c>
      <c r="AA32" s="5">
        <f t="shared" si="5"/>
        <v>0</v>
      </c>
      <c r="AB32" s="92">
        <f t="shared" si="6"/>
        <v>77656</v>
      </c>
      <c r="AD32" s="133">
        <f t="shared" si="7"/>
        <v>-29466.666666666657</v>
      </c>
      <c r="AE32" s="3">
        <f t="shared" si="8"/>
        <v>1</v>
      </c>
    </row>
    <row r="33" spans="1:31" ht="14.65" thickBot="1" x14ac:dyDescent="0.5">
      <c r="A33" s="6">
        <f t="shared" si="23"/>
        <v>7</v>
      </c>
      <c r="B33" s="7" t="s">
        <v>32</v>
      </c>
      <c r="C33" s="336">
        <f>+'Summary Equip'!AJ19</f>
        <v>0.03</v>
      </c>
      <c r="D33" s="64">
        <f>D27*C33</f>
        <v>4080</v>
      </c>
      <c r="E33" s="334">
        <f>+ASSUMPTIONS!B45</f>
        <v>0</v>
      </c>
      <c r="F33" s="64">
        <f t="shared" si="22"/>
        <v>0</v>
      </c>
      <c r="G33" s="66">
        <f>D33</f>
        <v>4080</v>
      </c>
      <c r="H33" s="11"/>
      <c r="I33" s="14">
        <f t="shared" si="10"/>
        <v>27</v>
      </c>
      <c r="J33" s="63">
        <f t="shared" si="11"/>
        <v>85523.280343282328</v>
      </c>
      <c r="K33" s="63">
        <f t="shared" si="1"/>
        <v>377.75884638856735</v>
      </c>
      <c r="L33" s="63">
        <f t="shared" si="12"/>
        <v>-2714.483096839509</v>
      </c>
      <c r="M33" s="65">
        <f t="shared" si="0"/>
        <v>83186.556092831379</v>
      </c>
      <c r="O33" s="14">
        <f t="shared" si="13"/>
        <v>27</v>
      </c>
      <c r="P33" s="54">
        <f t="shared" si="14"/>
        <v>14043.375</v>
      </c>
      <c r="Q33" s="63">
        <f t="shared" si="15"/>
        <v>6818.955392720809</v>
      </c>
      <c r="R33" s="77">
        <f t="shared" si="2"/>
        <v>-2714.483096839509</v>
      </c>
      <c r="S33" s="63">
        <f t="shared" si="16"/>
        <v>-1133.3333333333333</v>
      </c>
      <c r="T33" s="63"/>
      <c r="U33" s="63">
        <f t="shared" si="17"/>
        <v>-340.94776963604045</v>
      </c>
      <c r="V33" s="77">
        <f t="shared" si="20"/>
        <v>-157.10833333333335</v>
      </c>
      <c r="W33" s="83">
        <f t="shared" si="4"/>
        <v>2473.0828595785933</v>
      </c>
      <c r="X33" s="85">
        <f t="shared" si="18"/>
        <v>65132.312208622017</v>
      </c>
      <c r="Z33" s="92">
        <f t="shared" si="19"/>
        <v>75412</v>
      </c>
      <c r="AA33" s="5">
        <f t="shared" si="5"/>
        <v>0</v>
      </c>
      <c r="AB33" s="92">
        <f t="shared" si="6"/>
        <v>75412</v>
      </c>
      <c r="AD33" s="133">
        <f t="shared" si="7"/>
        <v>-30599.999999999989</v>
      </c>
      <c r="AE33" s="3">
        <f t="shared" si="8"/>
        <v>1</v>
      </c>
    </row>
    <row r="34" spans="1:31" ht="14.65" thickBot="1" x14ac:dyDescent="0.5">
      <c r="A34" s="33">
        <f t="shared" si="23"/>
        <v>8</v>
      </c>
      <c r="B34" s="30" t="s">
        <v>8</v>
      </c>
      <c r="C34" s="45"/>
      <c r="D34" s="46"/>
      <c r="E34" s="47"/>
      <c r="F34" s="67">
        <f>SUM(F27:F33)</f>
        <v>142788.79164657745</v>
      </c>
      <c r="G34" s="68">
        <f>SUM(G27:G33)</f>
        <v>119408</v>
      </c>
      <c r="H34" s="11"/>
      <c r="I34" s="14">
        <f t="shared" si="10"/>
        <v>28</v>
      </c>
      <c r="J34" s="63">
        <f t="shared" si="11"/>
        <v>83186.556092831379</v>
      </c>
      <c r="K34" s="63">
        <f t="shared" si="1"/>
        <v>367.43746660010061</v>
      </c>
      <c r="L34" s="63">
        <f t="shared" si="12"/>
        <v>-2714.483096839509</v>
      </c>
      <c r="M34" s="65">
        <f t="shared" si="0"/>
        <v>80839.510462591963</v>
      </c>
      <c r="O34" s="14">
        <f t="shared" si="13"/>
        <v>28</v>
      </c>
      <c r="P34" s="54">
        <f t="shared" si="14"/>
        <v>14563.5</v>
      </c>
      <c r="Q34" s="63">
        <f t="shared" si="15"/>
        <v>6818.955392720809</v>
      </c>
      <c r="R34" s="77">
        <f t="shared" si="2"/>
        <v>-2714.483096839509</v>
      </c>
      <c r="S34" s="63">
        <f t="shared" si="16"/>
        <v>-1133.3333333333333</v>
      </c>
      <c r="T34" s="63"/>
      <c r="U34" s="63">
        <f t="shared" si="17"/>
        <v>-340.94776963604045</v>
      </c>
      <c r="V34" s="77">
        <f t="shared" si="20"/>
        <v>-152.43333333333334</v>
      </c>
      <c r="W34" s="83">
        <f t="shared" si="4"/>
        <v>2477.7578595785931</v>
      </c>
      <c r="X34" s="85">
        <f t="shared" si="18"/>
        <v>67610.070068200614</v>
      </c>
      <c r="Z34" s="92">
        <f t="shared" si="19"/>
        <v>73168</v>
      </c>
      <c r="AA34" s="5">
        <f t="shared" si="5"/>
        <v>0</v>
      </c>
      <c r="AB34" s="92">
        <f t="shared" si="6"/>
        <v>73168</v>
      </c>
      <c r="AD34" s="133">
        <f t="shared" si="7"/>
        <v>-31733.333333333321</v>
      </c>
      <c r="AE34" s="3">
        <f t="shared" si="8"/>
        <v>1</v>
      </c>
    </row>
    <row r="35" spans="1:31" ht="14.65" thickBot="1" x14ac:dyDescent="0.5">
      <c r="A35" s="31">
        <f>A34+1</f>
        <v>9</v>
      </c>
      <c r="B35" s="32" t="s">
        <v>7</v>
      </c>
      <c r="C35" s="42">
        <f>+C10</f>
        <v>0.05</v>
      </c>
      <c r="D35" s="22"/>
      <c r="E35" s="34"/>
      <c r="F35" s="69">
        <f>F36-F34</f>
        <v>7515.1995603461983</v>
      </c>
      <c r="G35" s="70">
        <f>G36-G34</f>
        <v>6284.6315789473738</v>
      </c>
      <c r="H35" s="11"/>
      <c r="I35" s="14">
        <f t="shared" si="10"/>
        <v>29</v>
      </c>
      <c r="J35" s="63">
        <f t="shared" si="11"/>
        <v>80839.510462591963</v>
      </c>
      <c r="K35" s="63">
        <f t="shared" si="1"/>
        <v>357.07049697333025</v>
      </c>
      <c r="L35" s="63">
        <f t="shared" si="12"/>
        <v>-2714.483096839509</v>
      </c>
      <c r="M35" s="65">
        <f t="shared" si="0"/>
        <v>78482.097862725786</v>
      </c>
      <c r="O35" s="14">
        <f t="shared" si="13"/>
        <v>29</v>
      </c>
      <c r="P35" s="54">
        <f t="shared" si="14"/>
        <v>15083.625</v>
      </c>
      <c r="Q35" s="63">
        <f t="shared" si="15"/>
        <v>6818.955392720809</v>
      </c>
      <c r="R35" s="77">
        <f t="shared" si="2"/>
        <v>-2714.483096839509</v>
      </c>
      <c r="S35" s="63">
        <f t="shared" si="16"/>
        <v>-1133.3333333333333</v>
      </c>
      <c r="T35" s="63"/>
      <c r="U35" s="63">
        <f t="shared" si="17"/>
        <v>-340.94776963604045</v>
      </c>
      <c r="V35" s="77">
        <f t="shared" si="20"/>
        <v>-147.75833333333335</v>
      </c>
      <c r="W35" s="83">
        <f t="shared" si="4"/>
        <v>2482.4328595785933</v>
      </c>
      <c r="X35" s="85">
        <f t="shared" si="18"/>
        <v>70092.502927779205</v>
      </c>
      <c r="Z35" s="92">
        <f t="shared" si="19"/>
        <v>70924</v>
      </c>
      <c r="AA35" s="5">
        <f t="shared" si="5"/>
        <v>0</v>
      </c>
      <c r="AB35" s="92">
        <f t="shared" si="6"/>
        <v>70924</v>
      </c>
      <c r="AD35" s="133">
        <f t="shared" si="7"/>
        <v>-32866.666666666657</v>
      </c>
      <c r="AE35" s="3">
        <f t="shared" si="8"/>
        <v>1</v>
      </c>
    </row>
    <row r="36" spans="1:31" ht="14.65" thickBot="1" x14ac:dyDescent="0.5">
      <c r="A36" s="37">
        <f>A35+1</f>
        <v>10</v>
      </c>
      <c r="B36" s="38" t="s">
        <v>28</v>
      </c>
      <c r="C36" s="39"/>
      <c r="D36" s="40"/>
      <c r="E36" s="41"/>
      <c r="F36" s="71">
        <f>F34/(100%-C35)</f>
        <v>150303.99120692365</v>
      </c>
      <c r="G36" s="72">
        <f>G34/(100%-C35)</f>
        <v>125692.63157894737</v>
      </c>
      <c r="H36" s="11"/>
      <c r="I36" s="14">
        <f t="shared" si="10"/>
        <v>30</v>
      </c>
      <c r="J36" s="63">
        <f t="shared" si="11"/>
        <v>78482.097862725786</v>
      </c>
      <c r="K36" s="63">
        <f t="shared" si="1"/>
        <v>346.657736136599</v>
      </c>
      <c r="L36" s="63">
        <f t="shared" si="12"/>
        <v>-2714.483096839509</v>
      </c>
      <c r="M36" s="65">
        <f t="shared" si="0"/>
        <v>76114.272502022868</v>
      </c>
      <c r="O36" s="14">
        <f t="shared" si="13"/>
        <v>30</v>
      </c>
      <c r="P36" s="54">
        <f t="shared" si="14"/>
        <v>15603.75</v>
      </c>
      <c r="Q36" s="63">
        <f t="shared" si="15"/>
        <v>6818.955392720809</v>
      </c>
      <c r="R36" s="77">
        <f t="shared" si="2"/>
        <v>-2714.483096839509</v>
      </c>
      <c r="S36" s="63">
        <f t="shared" si="16"/>
        <v>-1133.3333333333333</v>
      </c>
      <c r="T36" s="63">
        <f>-T68*0.5</f>
        <v>-10200</v>
      </c>
      <c r="U36" s="63">
        <f t="shared" si="17"/>
        <v>-340.94776963604045</v>
      </c>
      <c r="V36" s="77">
        <f t="shared" si="20"/>
        <v>-143.08333333333334</v>
      </c>
      <c r="W36" s="83">
        <f t="shared" si="4"/>
        <v>-7712.8921404214061</v>
      </c>
      <c r="X36" s="85">
        <f t="shared" si="18"/>
        <v>62379.6107873578</v>
      </c>
      <c r="Z36" s="92">
        <f t="shared" si="19"/>
        <v>68680</v>
      </c>
      <c r="AA36" s="5">
        <f t="shared" si="5"/>
        <v>0</v>
      </c>
      <c r="AB36" s="92">
        <f t="shared" si="6"/>
        <v>68680</v>
      </c>
      <c r="AD36" s="133">
        <f t="shared" si="7"/>
        <v>-33999.999999999993</v>
      </c>
      <c r="AE36" s="3">
        <f t="shared" si="8"/>
        <v>1</v>
      </c>
    </row>
    <row r="37" spans="1:31" x14ac:dyDescent="0.45">
      <c r="C37" s="11"/>
      <c r="D37" s="11"/>
      <c r="E37" s="11"/>
      <c r="F37" s="11"/>
      <c r="G37" s="11"/>
      <c r="H37" s="11"/>
      <c r="I37" s="14">
        <f t="shared" si="10"/>
        <v>31</v>
      </c>
      <c r="J37" s="63">
        <f t="shared" si="11"/>
        <v>76114.272502022868</v>
      </c>
      <c r="K37" s="63">
        <f t="shared" si="1"/>
        <v>336.1989818287845</v>
      </c>
      <c r="L37" s="63">
        <f t="shared" si="12"/>
        <v>-2714.483096839509</v>
      </c>
      <c r="M37" s="65">
        <f t="shared" si="0"/>
        <v>73735.988387012141</v>
      </c>
      <c r="O37" s="14">
        <f t="shared" si="13"/>
        <v>31</v>
      </c>
      <c r="P37" s="54">
        <f t="shared" si="14"/>
        <v>16123.875</v>
      </c>
      <c r="Q37" s="63">
        <f t="shared" si="15"/>
        <v>6818.955392720809</v>
      </c>
      <c r="R37" s="77">
        <f t="shared" si="2"/>
        <v>-2714.483096839509</v>
      </c>
      <c r="S37" s="63">
        <f t="shared" si="16"/>
        <v>-1133.3333333333333</v>
      </c>
      <c r="T37" s="63"/>
      <c r="U37" s="63">
        <f t="shared" si="17"/>
        <v>-340.94776963604045</v>
      </c>
      <c r="V37" s="77">
        <f t="shared" si="20"/>
        <v>-138.40833333333333</v>
      </c>
      <c r="W37" s="83">
        <f t="shared" si="4"/>
        <v>2491.7828595785932</v>
      </c>
      <c r="X37" s="85">
        <f t="shared" si="18"/>
        <v>64871.393646936391</v>
      </c>
      <c r="Z37" s="92">
        <f t="shared" si="19"/>
        <v>66436</v>
      </c>
      <c r="AA37" s="5">
        <f t="shared" si="5"/>
        <v>0</v>
      </c>
      <c r="AB37" s="92">
        <f t="shared" si="6"/>
        <v>66436</v>
      </c>
      <c r="AD37" s="133">
        <f t="shared" si="7"/>
        <v>-35133.333333333328</v>
      </c>
      <c r="AE37" s="3">
        <f t="shared" si="8"/>
        <v>1</v>
      </c>
    </row>
    <row r="38" spans="1:31" x14ac:dyDescent="0.45">
      <c r="C38" s="11"/>
      <c r="D38" s="11"/>
      <c r="E38" s="11"/>
      <c r="F38" s="11"/>
      <c r="G38" s="11"/>
      <c r="H38" s="11"/>
      <c r="I38" s="14">
        <f t="shared" si="10"/>
        <v>32</v>
      </c>
      <c r="J38" s="63">
        <f t="shared" si="11"/>
        <v>73735.988387012141</v>
      </c>
      <c r="K38" s="63">
        <f t="shared" si="1"/>
        <v>325.69403089537144</v>
      </c>
      <c r="L38" s="63">
        <f t="shared" si="12"/>
        <v>-2714.483096839509</v>
      </c>
      <c r="M38" s="65">
        <f t="shared" si="0"/>
        <v>71347.199321068008</v>
      </c>
      <c r="O38" s="14">
        <f t="shared" si="13"/>
        <v>32</v>
      </c>
      <c r="P38" s="54">
        <f t="shared" si="14"/>
        <v>16644</v>
      </c>
      <c r="Q38" s="63">
        <f t="shared" si="15"/>
        <v>6818.955392720809</v>
      </c>
      <c r="R38" s="77">
        <f t="shared" si="2"/>
        <v>-2714.483096839509</v>
      </c>
      <c r="S38" s="63">
        <f t="shared" si="16"/>
        <v>-1133.3333333333333</v>
      </c>
      <c r="T38" s="63"/>
      <c r="U38" s="63">
        <f t="shared" si="17"/>
        <v>-340.94776963604045</v>
      </c>
      <c r="V38" s="77">
        <f t="shared" si="20"/>
        <v>-133.73333333333335</v>
      </c>
      <c r="W38" s="83">
        <f t="shared" si="4"/>
        <v>2496.4578595785933</v>
      </c>
      <c r="X38" s="85">
        <f t="shared" si="18"/>
        <v>67367.851506514984</v>
      </c>
      <c r="Z38" s="92">
        <f t="shared" si="19"/>
        <v>64192</v>
      </c>
      <c r="AA38" s="5">
        <f t="shared" si="5"/>
        <v>0</v>
      </c>
      <c r="AB38" s="92">
        <f t="shared" si="6"/>
        <v>64192</v>
      </c>
      <c r="AD38" s="133">
        <f t="shared" si="7"/>
        <v>-36266.666666666664</v>
      </c>
      <c r="AE38" s="3">
        <f t="shared" si="8"/>
        <v>1</v>
      </c>
    </row>
    <row r="39" spans="1:31" x14ac:dyDescent="0.45">
      <c r="C39" s="11"/>
      <c r="D39" s="11"/>
      <c r="E39" s="11"/>
      <c r="F39" s="11"/>
      <c r="G39" s="11"/>
      <c r="H39" s="11"/>
      <c r="I39" s="14">
        <f t="shared" si="10"/>
        <v>33</v>
      </c>
      <c r="J39" s="63">
        <f t="shared" si="11"/>
        <v>71347.199321068008</v>
      </c>
      <c r="K39" s="63">
        <f t="shared" si="1"/>
        <v>315.14267928450499</v>
      </c>
      <c r="L39" s="63">
        <f t="shared" si="12"/>
        <v>-2714.483096839509</v>
      </c>
      <c r="M39" s="65">
        <f t="shared" si="0"/>
        <v>68947.858903512999</v>
      </c>
      <c r="O39" s="14">
        <f t="shared" si="13"/>
        <v>33</v>
      </c>
      <c r="P39" s="54">
        <f t="shared" si="14"/>
        <v>17164.125</v>
      </c>
      <c r="Q39" s="63">
        <f t="shared" si="15"/>
        <v>6818.955392720809</v>
      </c>
      <c r="R39" s="77">
        <f t="shared" si="2"/>
        <v>-2714.483096839509</v>
      </c>
      <c r="S39" s="63">
        <f t="shared" si="16"/>
        <v>-1133.3333333333333</v>
      </c>
      <c r="T39" s="63"/>
      <c r="U39" s="63">
        <f t="shared" si="17"/>
        <v>-340.94776963604045</v>
      </c>
      <c r="V39" s="77">
        <f t="shared" si="20"/>
        <v>-129.05833333333334</v>
      </c>
      <c r="W39" s="83">
        <f t="shared" si="4"/>
        <v>2501.1328595785931</v>
      </c>
      <c r="X39" s="85">
        <f t="shared" si="18"/>
        <v>69868.984366093573</v>
      </c>
      <c r="Z39" s="92">
        <f t="shared" si="19"/>
        <v>61948</v>
      </c>
      <c r="AA39" s="5">
        <f t="shared" si="5"/>
        <v>0</v>
      </c>
      <c r="AB39" s="92">
        <f t="shared" si="6"/>
        <v>61948</v>
      </c>
      <c r="AD39" s="133">
        <f t="shared" si="7"/>
        <v>-37400</v>
      </c>
      <c r="AE39" s="3">
        <f t="shared" si="8"/>
        <v>1</v>
      </c>
    </row>
    <row r="40" spans="1:31" ht="14.65" thickBot="1" x14ac:dyDescent="0.5">
      <c r="C40" s="11"/>
      <c r="D40" s="11"/>
      <c r="E40" s="11"/>
      <c r="F40" s="11"/>
      <c r="G40" s="11"/>
      <c r="H40" s="11"/>
      <c r="I40" s="14">
        <f t="shared" si="10"/>
        <v>34</v>
      </c>
      <c r="J40" s="63">
        <f t="shared" si="11"/>
        <v>68947.858903512999</v>
      </c>
      <c r="K40" s="63">
        <f t="shared" si="1"/>
        <v>304.54472204302692</v>
      </c>
      <c r="L40" s="63">
        <f t="shared" si="12"/>
        <v>-2714.483096839509</v>
      </c>
      <c r="M40" s="65">
        <f t="shared" si="0"/>
        <v>66537.92052871651</v>
      </c>
      <c r="O40" s="14">
        <f t="shared" si="13"/>
        <v>34</v>
      </c>
      <c r="P40" s="54">
        <f t="shared" si="14"/>
        <v>17684.25</v>
      </c>
      <c r="Q40" s="63">
        <f t="shared" si="15"/>
        <v>6818.955392720809</v>
      </c>
      <c r="R40" s="77">
        <f t="shared" si="2"/>
        <v>-2714.483096839509</v>
      </c>
      <c r="S40" s="63">
        <f t="shared" si="16"/>
        <v>-1133.3333333333333</v>
      </c>
      <c r="T40" s="63"/>
      <c r="U40" s="63">
        <f t="shared" si="17"/>
        <v>-340.94776963604045</v>
      </c>
      <c r="V40" s="77">
        <f t="shared" si="20"/>
        <v>-124.38333333333334</v>
      </c>
      <c r="W40" s="83">
        <f t="shared" si="4"/>
        <v>2505.8078595785933</v>
      </c>
      <c r="X40" s="85">
        <f t="shared" si="18"/>
        <v>72374.792225672165</v>
      </c>
      <c r="Z40" s="92">
        <f t="shared" si="19"/>
        <v>59704</v>
      </c>
      <c r="AA40" s="5">
        <f t="shared" si="5"/>
        <v>0</v>
      </c>
      <c r="AB40" s="92">
        <f t="shared" si="6"/>
        <v>59704</v>
      </c>
      <c r="AD40" s="133">
        <f t="shared" ref="AD40:AD62" si="24">IF(AD39=0,0,IF(+S40+AD39&lt;-$S$68,0,+S40+AD39))</f>
        <v>-38533.333333333336</v>
      </c>
      <c r="AE40" s="3">
        <f t="shared" si="8"/>
        <v>1</v>
      </c>
    </row>
    <row r="41" spans="1:31" ht="32.25" customHeight="1" thickBot="1" x14ac:dyDescent="0.5">
      <c r="A41" s="667" t="s">
        <v>29</v>
      </c>
      <c r="B41" s="668"/>
      <c r="C41" s="668"/>
      <c r="D41" s="668"/>
      <c r="E41" s="668"/>
      <c r="F41" s="668"/>
      <c r="G41" s="669"/>
      <c r="H41" s="11"/>
      <c r="I41" s="14">
        <f t="shared" si="10"/>
        <v>35</v>
      </c>
      <c r="J41" s="63">
        <f t="shared" si="11"/>
        <v>66537.92052871651</v>
      </c>
      <c r="K41" s="63">
        <f t="shared" si="1"/>
        <v>293.89995331249537</v>
      </c>
      <c r="L41" s="63">
        <f t="shared" si="12"/>
        <v>-2714.483096839509</v>
      </c>
      <c r="M41" s="65">
        <f t="shared" si="0"/>
        <v>64117.337385189501</v>
      </c>
      <c r="O41" s="14">
        <f t="shared" si="13"/>
        <v>35</v>
      </c>
      <c r="P41" s="54">
        <f t="shared" si="14"/>
        <v>18204.375</v>
      </c>
      <c r="Q41" s="63">
        <f t="shared" si="15"/>
        <v>6818.955392720809</v>
      </c>
      <c r="R41" s="77">
        <f t="shared" si="2"/>
        <v>-2714.483096839509</v>
      </c>
      <c r="S41" s="63">
        <f t="shared" si="16"/>
        <v>-1133.3333333333333</v>
      </c>
      <c r="T41" s="63"/>
      <c r="U41" s="63">
        <f t="shared" si="17"/>
        <v>-340.94776963604045</v>
      </c>
      <c r="V41" s="77">
        <f t="shared" si="20"/>
        <v>-119.70833333333333</v>
      </c>
      <c r="W41" s="83">
        <f t="shared" si="4"/>
        <v>2510.482859578593</v>
      </c>
      <c r="X41" s="85">
        <f t="shared" si="18"/>
        <v>74885.27508525076</v>
      </c>
      <c r="Z41" s="92">
        <f t="shared" si="19"/>
        <v>57460</v>
      </c>
      <c r="AA41" s="5">
        <f t="shared" si="5"/>
        <v>0</v>
      </c>
      <c r="AB41" s="92">
        <f t="shared" si="6"/>
        <v>57460</v>
      </c>
      <c r="AD41" s="133">
        <f t="shared" si="24"/>
        <v>-39666.666666666672</v>
      </c>
      <c r="AE41" s="3">
        <f t="shared" si="8"/>
        <v>1</v>
      </c>
    </row>
    <row r="42" spans="1:31" ht="19.5" customHeight="1" x14ac:dyDescent="0.45">
      <c r="A42" s="35">
        <v>1</v>
      </c>
      <c r="B42" s="670" t="s">
        <v>30</v>
      </c>
      <c r="C42" s="671"/>
      <c r="D42" s="671"/>
      <c r="E42" s="672"/>
      <c r="F42" s="73">
        <f>F36/C12/C14</f>
        <v>2783.4072445726601</v>
      </c>
      <c r="G42" s="74">
        <f>G36/C13/C14</f>
        <v>7.7588044184535416</v>
      </c>
      <c r="H42" s="11"/>
      <c r="I42" s="20">
        <f t="shared" si="10"/>
        <v>36</v>
      </c>
      <c r="J42" s="63">
        <f t="shared" si="11"/>
        <v>64117.337385189501</v>
      </c>
      <c r="K42" s="79">
        <f t="shared" si="1"/>
        <v>283.20816632518535</v>
      </c>
      <c r="L42" s="63">
        <f t="shared" si="12"/>
        <v>-2714.483096839509</v>
      </c>
      <c r="M42" s="80">
        <f t="shared" si="0"/>
        <v>61686.062454675179</v>
      </c>
      <c r="O42" s="20">
        <f t="shared" si="13"/>
        <v>36</v>
      </c>
      <c r="P42" s="54">
        <f t="shared" si="14"/>
        <v>18724.5</v>
      </c>
      <c r="Q42" s="63">
        <f t="shared" si="15"/>
        <v>6818.955392720809</v>
      </c>
      <c r="R42" s="77">
        <f t="shared" si="2"/>
        <v>-2714.483096839509</v>
      </c>
      <c r="S42" s="63">
        <f t="shared" si="16"/>
        <v>-1133.3333333333333</v>
      </c>
      <c r="T42" s="63"/>
      <c r="U42" s="63">
        <f t="shared" si="17"/>
        <v>-340.94776963604045</v>
      </c>
      <c r="V42" s="77">
        <f t="shared" si="20"/>
        <v>-115.03333333333335</v>
      </c>
      <c r="W42" s="83">
        <f t="shared" si="4"/>
        <v>2515.1578595785932</v>
      </c>
      <c r="X42" s="85">
        <f t="shared" si="18"/>
        <v>77400.432944829357</v>
      </c>
      <c r="Z42" s="92">
        <f t="shared" si="19"/>
        <v>55216</v>
      </c>
      <c r="AA42" s="5">
        <f t="shared" si="5"/>
        <v>0</v>
      </c>
      <c r="AB42" s="92">
        <f t="shared" si="6"/>
        <v>55216</v>
      </c>
      <c r="AD42" s="133">
        <f t="shared" si="24"/>
        <v>-40800.000000000007</v>
      </c>
      <c r="AE42" s="3">
        <f t="shared" si="8"/>
        <v>1</v>
      </c>
    </row>
    <row r="43" spans="1:31" ht="19.5" customHeight="1" thickBot="1" x14ac:dyDescent="0.5">
      <c r="A43" s="36">
        <f>A42+1</f>
        <v>2</v>
      </c>
      <c r="B43" s="673" t="s">
        <v>31</v>
      </c>
      <c r="C43" s="674"/>
      <c r="D43" s="674"/>
      <c r="E43" s="675"/>
      <c r="F43" s="75"/>
      <c r="G43" s="76">
        <f>+(F42*C12+D13*G42)/D13</f>
        <v>18.067720139093023</v>
      </c>
      <c r="H43" s="11"/>
      <c r="I43" s="20">
        <f t="shared" si="10"/>
        <v>37</v>
      </c>
      <c r="J43" s="63">
        <f t="shared" si="11"/>
        <v>61686.062454675179</v>
      </c>
      <c r="K43" s="79">
        <f t="shared" si="1"/>
        <v>272.46915340007274</v>
      </c>
      <c r="L43" s="63">
        <f t="shared" si="12"/>
        <v>-2714.483096839509</v>
      </c>
      <c r="M43" s="80">
        <f t="shared" si="0"/>
        <v>59244.048511235742</v>
      </c>
      <c r="O43" s="20">
        <f t="shared" si="13"/>
        <v>37</v>
      </c>
      <c r="P43" s="54">
        <f t="shared" si="14"/>
        <v>19244.625</v>
      </c>
      <c r="Q43" s="63">
        <f t="shared" si="15"/>
        <v>6818.955392720809</v>
      </c>
      <c r="R43" s="77">
        <f t="shared" si="2"/>
        <v>-2714.483096839509</v>
      </c>
      <c r="S43" s="63">
        <f t="shared" si="16"/>
        <v>-1133.3333333333333</v>
      </c>
      <c r="T43" s="63"/>
      <c r="U43" s="63">
        <f t="shared" si="17"/>
        <v>-340.94776963604045</v>
      </c>
      <c r="V43" s="77">
        <f t="shared" si="20"/>
        <v>-110.35833333333335</v>
      </c>
      <c r="W43" s="83">
        <f t="shared" si="4"/>
        <v>2519.8328595785933</v>
      </c>
      <c r="X43" s="85">
        <f t="shared" si="18"/>
        <v>79920.265804407944</v>
      </c>
      <c r="Z43" s="92">
        <f t="shared" si="19"/>
        <v>52972</v>
      </c>
      <c r="AA43" s="5">
        <f t="shared" si="5"/>
        <v>0</v>
      </c>
      <c r="AB43" s="92">
        <f t="shared" si="6"/>
        <v>52972</v>
      </c>
      <c r="AD43" s="133">
        <f t="shared" si="24"/>
        <v>-41933.333333333343</v>
      </c>
      <c r="AE43" s="3">
        <f t="shared" si="8"/>
        <v>1</v>
      </c>
    </row>
    <row r="44" spans="1:31" x14ac:dyDescent="0.45">
      <c r="I44" s="20">
        <f t="shared" si="10"/>
        <v>38</v>
      </c>
      <c r="J44" s="63">
        <f t="shared" si="11"/>
        <v>59244.048511235742</v>
      </c>
      <c r="K44" s="79">
        <f t="shared" si="1"/>
        <v>261.68270593880044</v>
      </c>
      <c r="L44" s="63">
        <f t="shared" si="12"/>
        <v>-2714.483096839509</v>
      </c>
      <c r="M44" s="80">
        <f t="shared" si="0"/>
        <v>56791.248120335033</v>
      </c>
      <c r="O44" s="20">
        <f t="shared" si="13"/>
        <v>38</v>
      </c>
      <c r="P44" s="54">
        <f t="shared" si="14"/>
        <v>19764.75</v>
      </c>
      <c r="Q44" s="63">
        <f t="shared" si="15"/>
        <v>6818.955392720809</v>
      </c>
      <c r="R44" s="77">
        <f t="shared" si="2"/>
        <v>-2714.483096839509</v>
      </c>
      <c r="S44" s="63">
        <f t="shared" si="16"/>
        <v>-1133.3333333333333</v>
      </c>
      <c r="T44" s="63"/>
      <c r="U44" s="63">
        <f t="shared" si="17"/>
        <v>-340.94776963604045</v>
      </c>
      <c r="V44" s="77">
        <f t="shared" si="20"/>
        <v>-105.68333333333334</v>
      </c>
      <c r="W44" s="83">
        <f t="shared" si="4"/>
        <v>2524.5078595785931</v>
      </c>
      <c r="X44" s="85">
        <f t="shared" si="18"/>
        <v>82444.773663986532</v>
      </c>
      <c r="Z44" s="92">
        <f t="shared" si="19"/>
        <v>50728</v>
      </c>
      <c r="AA44" s="5">
        <f t="shared" si="5"/>
        <v>0</v>
      </c>
      <c r="AB44" s="92">
        <f t="shared" si="6"/>
        <v>50728</v>
      </c>
      <c r="AD44" s="133">
        <f t="shared" si="24"/>
        <v>-43066.666666666679</v>
      </c>
      <c r="AE44" s="3">
        <f t="shared" si="8"/>
        <v>1</v>
      </c>
    </row>
    <row r="45" spans="1:31" x14ac:dyDescent="0.45">
      <c r="I45" s="20">
        <f t="shared" si="10"/>
        <v>39</v>
      </c>
      <c r="J45" s="63">
        <f t="shared" si="11"/>
        <v>56791.248120335033</v>
      </c>
      <c r="K45" s="79">
        <f t="shared" si="1"/>
        <v>250.84861442162605</v>
      </c>
      <c r="L45" s="63">
        <f t="shared" si="12"/>
        <v>-2714.483096839509</v>
      </c>
      <c r="M45" s="80">
        <f t="shared" si="0"/>
        <v>54327.613637917151</v>
      </c>
      <c r="O45" s="20">
        <f t="shared" si="13"/>
        <v>39</v>
      </c>
      <c r="P45" s="54">
        <f t="shared" si="14"/>
        <v>20284.875</v>
      </c>
      <c r="Q45" s="63">
        <f t="shared" si="15"/>
        <v>6818.955392720809</v>
      </c>
      <c r="R45" s="77">
        <f t="shared" si="2"/>
        <v>-2714.483096839509</v>
      </c>
      <c r="S45" s="63">
        <f t="shared" si="16"/>
        <v>-1133.3333333333333</v>
      </c>
      <c r="T45" s="63"/>
      <c r="U45" s="63">
        <f t="shared" si="17"/>
        <v>-340.94776963604045</v>
      </c>
      <c r="V45" s="77">
        <f t="shared" si="20"/>
        <v>-101.00833333333334</v>
      </c>
      <c r="W45" s="83">
        <f t="shared" si="4"/>
        <v>2529.1828595785933</v>
      </c>
      <c r="X45" s="85">
        <f t="shared" si="18"/>
        <v>84973.956523565124</v>
      </c>
      <c r="Z45" s="92">
        <f t="shared" si="19"/>
        <v>48484</v>
      </c>
      <c r="AA45" s="5">
        <f t="shared" si="5"/>
        <v>0</v>
      </c>
      <c r="AB45" s="92">
        <f t="shared" si="6"/>
        <v>48484</v>
      </c>
      <c r="AD45" s="133">
        <f t="shared" si="24"/>
        <v>-44200.000000000015</v>
      </c>
      <c r="AE45" s="3">
        <f t="shared" si="8"/>
        <v>1</v>
      </c>
    </row>
    <row r="46" spans="1:31" x14ac:dyDescent="0.45">
      <c r="I46" s="20">
        <f t="shared" si="10"/>
        <v>40</v>
      </c>
      <c r="J46" s="63">
        <f t="shared" si="11"/>
        <v>54327.613637917151</v>
      </c>
      <c r="K46" s="79">
        <f t="shared" si="1"/>
        <v>239.96666840335251</v>
      </c>
      <c r="L46" s="63">
        <f t="shared" si="12"/>
        <v>-2714.483096839509</v>
      </c>
      <c r="M46" s="80">
        <f t="shared" si="0"/>
        <v>51853.097209480991</v>
      </c>
      <c r="O46" s="20">
        <f t="shared" si="13"/>
        <v>40</v>
      </c>
      <c r="P46" s="54">
        <f t="shared" si="14"/>
        <v>20805</v>
      </c>
      <c r="Q46" s="63">
        <f t="shared" si="15"/>
        <v>6818.955392720809</v>
      </c>
      <c r="R46" s="77">
        <f t="shared" si="2"/>
        <v>-2714.483096839509</v>
      </c>
      <c r="S46" s="63">
        <f t="shared" si="16"/>
        <v>-1133.3333333333333</v>
      </c>
      <c r="T46" s="63"/>
      <c r="U46" s="63">
        <f t="shared" si="17"/>
        <v>-340.94776963604045</v>
      </c>
      <c r="V46" s="77">
        <f t="shared" si="20"/>
        <v>-96.333333333333329</v>
      </c>
      <c r="W46" s="83">
        <f t="shared" si="4"/>
        <v>2533.857859578593</v>
      </c>
      <c r="X46" s="85">
        <f t="shared" si="18"/>
        <v>87507.814383143719</v>
      </c>
      <c r="Z46" s="92">
        <f t="shared" si="19"/>
        <v>46240</v>
      </c>
      <c r="AA46" s="5">
        <f t="shared" si="5"/>
        <v>0</v>
      </c>
      <c r="AB46" s="92">
        <f t="shared" si="6"/>
        <v>46240</v>
      </c>
      <c r="AD46" s="133">
        <f t="shared" si="24"/>
        <v>-45333.33333333335</v>
      </c>
      <c r="AE46" s="3">
        <f t="shared" si="8"/>
        <v>1</v>
      </c>
    </row>
    <row r="47" spans="1:31" x14ac:dyDescent="0.45">
      <c r="I47" s="20">
        <f t="shared" si="10"/>
        <v>41</v>
      </c>
      <c r="J47" s="63">
        <f t="shared" si="11"/>
        <v>51853.097209480991</v>
      </c>
      <c r="K47" s="79">
        <f t="shared" si="1"/>
        <v>229.03665650923989</v>
      </c>
      <c r="L47" s="63">
        <f t="shared" si="12"/>
        <v>-2714.483096839509</v>
      </c>
      <c r="M47" s="80">
        <f t="shared" si="0"/>
        <v>49367.650769150721</v>
      </c>
      <c r="O47" s="20">
        <f t="shared" si="13"/>
        <v>41</v>
      </c>
      <c r="P47" s="54">
        <f t="shared" si="14"/>
        <v>21325.125</v>
      </c>
      <c r="Q47" s="63">
        <f t="shared" si="15"/>
        <v>6818.955392720809</v>
      </c>
      <c r="R47" s="77">
        <f t="shared" si="2"/>
        <v>-2714.483096839509</v>
      </c>
      <c r="S47" s="63">
        <f t="shared" si="16"/>
        <v>-1133.3333333333333</v>
      </c>
      <c r="T47" s="63"/>
      <c r="U47" s="63">
        <f t="shared" si="17"/>
        <v>-340.94776963604045</v>
      </c>
      <c r="V47" s="77">
        <f t="shared" si="20"/>
        <v>-91.658333333333346</v>
      </c>
      <c r="W47" s="83">
        <f t="shared" si="4"/>
        <v>2538.5328595785932</v>
      </c>
      <c r="X47" s="85">
        <f t="shared" si="18"/>
        <v>90046.347242722317</v>
      </c>
      <c r="Z47" s="92">
        <f t="shared" si="19"/>
        <v>43996</v>
      </c>
      <c r="AA47" s="5">
        <f t="shared" si="5"/>
        <v>0</v>
      </c>
      <c r="AB47" s="92">
        <f t="shared" si="6"/>
        <v>43996</v>
      </c>
      <c r="AD47" s="133">
        <f t="shared" si="24"/>
        <v>-46466.666666666686</v>
      </c>
      <c r="AE47" s="3">
        <f t="shared" si="8"/>
        <v>1</v>
      </c>
    </row>
    <row r="48" spans="1:31" x14ac:dyDescent="0.45">
      <c r="I48" s="20">
        <f t="shared" si="10"/>
        <v>42</v>
      </c>
      <c r="J48" s="63">
        <f t="shared" si="11"/>
        <v>49367.650769150721</v>
      </c>
      <c r="K48" s="79">
        <f t="shared" si="1"/>
        <v>218.05836643090007</v>
      </c>
      <c r="L48" s="63">
        <f t="shared" si="12"/>
        <v>-2714.483096839509</v>
      </c>
      <c r="M48" s="80">
        <f t="shared" si="0"/>
        <v>46871.226038742112</v>
      </c>
      <c r="O48" s="20">
        <f t="shared" si="13"/>
        <v>42</v>
      </c>
      <c r="P48" s="54">
        <f t="shared" si="14"/>
        <v>21845.25</v>
      </c>
      <c r="Q48" s="63">
        <f t="shared" si="15"/>
        <v>6818.955392720809</v>
      </c>
      <c r="R48" s="77">
        <f t="shared" si="2"/>
        <v>-2714.483096839509</v>
      </c>
      <c r="S48" s="63">
        <f t="shared" si="16"/>
        <v>-1133.3333333333333</v>
      </c>
      <c r="T48" s="63"/>
      <c r="U48" s="63">
        <f t="shared" si="17"/>
        <v>-340.94776963604045</v>
      </c>
      <c r="V48" s="77">
        <f t="shared" si="20"/>
        <v>-86.983333333333334</v>
      </c>
      <c r="W48" s="83">
        <f t="shared" si="4"/>
        <v>2543.2078595785933</v>
      </c>
      <c r="X48" s="85">
        <f t="shared" si="18"/>
        <v>92589.555102300917</v>
      </c>
      <c r="Z48" s="92">
        <f t="shared" si="19"/>
        <v>41752</v>
      </c>
      <c r="AA48" s="5">
        <f t="shared" si="5"/>
        <v>0</v>
      </c>
      <c r="AB48" s="92">
        <f t="shared" si="6"/>
        <v>41752</v>
      </c>
      <c r="AD48" s="133">
        <f t="shared" si="24"/>
        <v>-47600.000000000022</v>
      </c>
      <c r="AE48" s="3">
        <f t="shared" si="8"/>
        <v>1</v>
      </c>
    </row>
    <row r="49" spans="9:31" x14ac:dyDescent="0.45">
      <c r="I49" s="20">
        <f t="shared" si="10"/>
        <v>43</v>
      </c>
      <c r="J49" s="63">
        <f t="shared" si="11"/>
        <v>46871.226038742112</v>
      </c>
      <c r="K49" s="79">
        <f t="shared" si="1"/>
        <v>207.0315849221723</v>
      </c>
      <c r="L49" s="63">
        <f t="shared" si="12"/>
        <v>-2714.483096839509</v>
      </c>
      <c r="M49" s="80">
        <f t="shared" si="0"/>
        <v>44363.774526824775</v>
      </c>
      <c r="O49" s="20">
        <f t="shared" si="13"/>
        <v>43</v>
      </c>
      <c r="P49" s="54">
        <f t="shared" si="14"/>
        <v>22365.375</v>
      </c>
      <c r="Q49" s="63">
        <f t="shared" si="15"/>
        <v>6818.955392720809</v>
      </c>
      <c r="R49" s="77">
        <f t="shared" si="2"/>
        <v>-2714.483096839509</v>
      </c>
      <c r="S49" s="63">
        <f t="shared" si="16"/>
        <v>-1133.3333333333333</v>
      </c>
      <c r="T49" s="63"/>
      <c r="U49" s="63">
        <f t="shared" si="17"/>
        <v>-340.94776963604045</v>
      </c>
      <c r="V49" s="77">
        <f t="shared" si="20"/>
        <v>-82.308333333333337</v>
      </c>
      <c r="W49" s="83">
        <f t="shared" si="4"/>
        <v>2547.8828595785931</v>
      </c>
      <c r="X49" s="85">
        <f t="shared" si="18"/>
        <v>95137.437961879506</v>
      </c>
      <c r="Z49" s="92">
        <f t="shared" si="19"/>
        <v>39508</v>
      </c>
      <c r="AA49" s="5">
        <f t="shared" si="5"/>
        <v>0</v>
      </c>
      <c r="AB49" s="92">
        <f t="shared" si="6"/>
        <v>39508</v>
      </c>
      <c r="AD49" s="133">
        <f t="shared" si="24"/>
        <v>-48733.333333333358</v>
      </c>
      <c r="AE49" s="3">
        <f t="shared" si="8"/>
        <v>1</v>
      </c>
    </row>
    <row r="50" spans="9:31" x14ac:dyDescent="0.45">
      <c r="I50" s="20">
        <f t="shared" si="10"/>
        <v>44</v>
      </c>
      <c r="J50" s="63">
        <f t="shared" si="11"/>
        <v>44363.774526824775</v>
      </c>
      <c r="K50" s="79">
        <f t="shared" si="1"/>
        <v>195.95609779498136</v>
      </c>
      <c r="L50" s="63">
        <f t="shared" si="12"/>
        <v>-2714.483096839509</v>
      </c>
      <c r="M50" s="80">
        <f t="shared" si="0"/>
        <v>41845.247527780244</v>
      </c>
      <c r="O50" s="20">
        <f t="shared" si="13"/>
        <v>44</v>
      </c>
      <c r="P50" s="54">
        <f t="shared" si="14"/>
        <v>22885.5</v>
      </c>
      <c r="Q50" s="63">
        <f t="shared" si="15"/>
        <v>6818.955392720809</v>
      </c>
      <c r="R50" s="77">
        <f t="shared" si="2"/>
        <v>-2714.483096839509</v>
      </c>
      <c r="S50" s="63">
        <f t="shared" si="16"/>
        <v>-1133.3333333333333</v>
      </c>
      <c r="T50" s="63"/>
      <c r="U50" s="63">
        <f t="shared" si="17"/>
        <v>-340.94776963604045</v>
      </c>
      <c r="V50" s="77">
        <f t="shared" si="20"/>
        <v>-77.63333333333334</v>
      </c>
      <c r="W50" s="83">
        <f t="shared" si="4"/>
        <v>2552.5578595785933</v>
      </c>
      <c r="X50" s="85">
        <f t="shared" si="18"/>
        <v>97689.995821458098</v>
      </c>
      <c r="Z50" s="92">
        <f t="shared" si="19"/>
        <v>37264</v>
      </c>
      <c r="AA50" s="5">
        <f t="shared" si="5"/>
        <v>0</v>
      </c>
      <c r="AB50" s="92">
        <f t="shared" si="6"/>
        <v>37264</v>
      </c>
      <c r="AD50" s="133">
        <f t="shared" si="24"/>
        <v>-49866.666666666693</v>
      </c>
      <c r="AE50" s="3">
        <f t="shared" si="8"/>
        <v>1</v>
      </c>
    </row>
    <row r="51" spans="9:31" x14ac:dyDescent="0.45">
      <c r="I51" s="20">
        <f t="shared" si="10"/>
        <v>45</v>
      </c>
      <c r="J51" s="63">
        <f t="shared" si="11"/>
        <v>41845.247527780244</v>
      </c>
      <c r="K51" s="79">
        <f t="shared" si="1"/>
        <v>184.83168991517707</v>
      </c>
      <c r="L51" s="63">
        <f t="shared" si="12"/>
        <v>-2714.483096839509</v>
      </c>
      <c r="M51" s="80">
        <f t="shared" si="0"/>
        <v>39315.596120855909</v>
      </c>
      <c r="O51" s="20">
        <f t="shared" si="13"/>
        <v>45</v>
      </c>
      <c r="P51" s="54">
        <f t="shared" si="14"/>
        <v>23405.625</v>
      </c>
      <c r="Q51" s="63">
        <f t="shared" si="15"/>
        <v>6818.955392720809</v>
      </c>
      <c r="R51" s="77">
        <f t="shared" si="2"/>
        <v>-2714.483096839509</v>
      </c>
      <c r="S51" s="63">
        <f t="shared" si="16"/>
        <v>-1133.3333333333333</v>
      </c>
      <c r="T51" s="63"/>
      <c r="U51" s="63">
        <f t="shared" si="17"/>
        <v>-340.94776963604045</v>
      </c>
      <c r="V51" s="77">
        <f t="shared" si="20"/>
        <v>-72.958333333333329</v>
      </c>
      <c r="W51" s="83">
        <f t="shared" si="4"/>
        <v>2557.232859578593</v>
      </c>
      <c r="X51" s="85">
        <f t="shared" si="18"/>
        <v>100247.22868103669</v>
      </c>
      <c r="Z51" s="92">
        <f t="shared" si="19"/>
        <v>35020</v>
      </c>
      <c r="AA51" s="5">
        <f t="shared" si="5"/>
        <v>0</v>
      </c>
      <c r="AB51" s="92">
        <f t="shared" si="6"/>
        <v>35020</v>
      </c>
      <c r="AD51" s="133">
        <f t="shared" si="24"/>
        <v>-51000.000000000029</v>
      </c>
      <c r="AE51" s="3">
        <f t="shared" si="8"/>
        <v>1</v>
      </c>
    </row>
    <row r="52" spans="9:31" x14ac:dyDescent="0.45">
      <c r="I52" s="20">
        <f t="shared" si="10"/>
        <v>46</v>
      </c>
      <c r="J52" s="63">
        <f t="shared" si="11"/>
        <v>39315.596120855909</v>
      </c>
      <c r="K52" s="79">
        <f t="shared" si="1"/>
        <v>173.65814519835527</v>
      </c>
      <c r="L52" s="63">
        <f t="shared" si="12"/>
        <v>-2714.483096839509</v>
      </c>
      <c r="M52" s="80">
        <f t="shared" si="0"/>
        <v>36774.771169214757</v>
      </c>
      <c r="O52" s="20">
        <f t="shared" si="13"/>
        <v>46</v>
      </c>
      <c r="P52" s="54">
        <f t="shared" si="14"/>
        <v>23925.75</v>
      </c>
      <c r="Q52" s="63">
        <f t="shared" si="15"/>
        <v>6818.955392720809</v>
      </c>
      <c r="R52" s="77">
        <f t="shared" si="2"/>
        <v>-2714.483096839509</v>
      </c>
      <c r="S52" s="63">
        <f t="shared" si="16"/>
        <v>-1133.3333333333333</v>
      </c>
      <c r="T52" s="63"/>
      <c r="U52" s="63">
        <f t="shared" si="17"/>
        <v>-340.94776963604045</v>
      </c>
      <c r="V52" s="77">
        <f t="shared" si="20"/>
        <v>-68.283333333333346</v>
      </c>
      <c r="W52" s="83">
        <f t="shared" si="4"/>
        <v>2561.9078595785932</v>
      </c>
      <c r="X52" s="85">
        <f t="shared" si="18"/>
        <v>102809.13654061529</v>
      </c>
      <c r="Z52" s="92">
        <f t="shared" si="19"/>
        <v>32776</v>
      </c>
      <c r="AA52" s="5">
        <f t="shared" si="5"/>
        <v>0</v>
      </c>
      <c r="AB52" s="92">
        <f t="shared" si="6"/>
        <v>32776</v>
      </c>
      <c r="AD52" s="133">
        <f t="shared" si="24"/>
        <v>-52133.333333333365</v>
      </c>
      <c r="AE52" s="3">
        <f t="shared" si="8"/>
        <v>1</v>
      </c>
    </row>
    <row r="53" spans="9:31" x14ac:dyDescent="0.45">
      <c r="I53" s="20">
        <f t="shared" si="10"/>
        <v>47</v>
      </c>
      <c r="J53" s="63">
        <f t="shared" si="11"/>
        <v>36774.771169214757</v>
      </c>
      <c r="K53" s="79">
        <f t="shared" si="1"/>
        <v>162.43524660566067</v>
      </c>
      <c r="L53" s="63">
        <f t="shared" si="12"/>
        <v>-2714.483096839509</v>
      </c>
      <c r="M53" s="80">
        <f t="shared" si="0"/>
        <v>34222.723318980905</v>
      </c>
      <c r="O53" s="20">
        <f t="shared" si="13"/>
        <v>47</v>
      </c>
      <c r="P53" s="54">
        <f t="shared" si="14"/>
        <v>24445.875</v>
      </c>
      <c r="Q53" s="63">
        <f t="shared" si="15"/>
        <v>6818.955392720809</v>
      </c>
      <c r="R53" s="77">
        <f t="shared" si="2"/>
        <v>-2714.483096839509</v>
      </c>
      <c r="S53" s="63">
        <f t="shared" si="16"/>
        <v>-1133.3333333333333</v>
      </c>
      <c r="T53" s="63"/>
      <c r="U53" s="63">
        <f t="shared" si="17"/>
        <v>-340.94776963604045</v>
      </c>
      <c r="V53" s="77">
        <f t="shared" si="20"/>
        <v>-63.608333333333341</v>
      </c>
      <c r="W53" s="83">
        <f t="shared" si="4"/>
        <v>2566.5828595785933</v>
      </c>
      <c r="X53" s="85">
        <f t="shared" si="18"/>
        <v>105375.71940019389</v>
      </c>
      <c r="Z53" s="92">
        <f t="shared" si="19"/>
        <v>30532</v>
      </c>
      <c r="AA53" s="5">
        <f t="shared" si="5"/>
        <v>0</v>
      </c>
      <c r="AB53" s="92">
        <f t="shared" si="6"/>
        <v>30532</v>
      </c>
      <c r="AD53" s="133">
        <f t="shared" si="24"/>
        <v>-53266.666666666701</v>
      </c>
      <c r="AE53" s="3">
        <f t="shared" si="8"/>
        <v>1</v>
      </c>
    </row>
    <row r="54" spans="9:31" x14ac:dyDescent="0.45">
      <c r="I54" s="20">
        <f t="shared" si="10"/>
        <v>48</v>
      </c>
      <c r="J54" s="63">
        <f t="shared" si="11"/>
        <v>34222.723318980905</v>
      </c>
      <c r="K54" s="79">
        <f t="shared" si="1"/>
        <v>151.16277613957089</v>
      </c>
      <c r="L54" s="63">
        <f t="shared" si="12"/>
        <v>-2714.483096839509</v>
      </c>
      <c r="M54" s="80">
        <f t="shared" si="0"/>
        <v>31659.402998280966</v>
      </c>
      <c r="O54" s="20">
        <f t="shared" si="13"/>
        <v>48</v>
      </c>
      <c r="P54" s="54">
        <f t="shared" si="14"/>
        <v>24966</v>
      </c>
      <c r="Q54" s="63">
        <f t="shared" si="15"/>
        <v>6818.955392720809</v>
      </c>
      <c r="R54" s="77">
        <f t="shared" si="2"/>
        <v>-2714.483096839509</v>
      </c>
      <c r="S54" s="63">
        <f t="shared" si="16"/>
        <v>-1133.3333333333333</v>
      </c>
      <c r="T54" s="63">
        <f t="shared" ref="T54:T59" si="25">-T68*0.5</f>
        <v>-10200</v>
      </c>
      <c r="U54" s="63">
        <f t="shared" si="17"/>
        <v>-340.94776963604045</v>
      </c>
      <c r="V54" s="77">
        <f t="shared" si="20"/>
        <v>-58.933333333333337</v>
      </c>
      <c r="W54" s="83">
        <f t="shared" si="4"/>
        <v>-7628.7421404214065</v>
      </c>
      <c r="X54" s="85">
        <f t="shared" si="18"/>
        <v>97746.97725977248</v>
      </c>
      <c r="Z54" s="92">
        <f t="shared" si="19"/>
        <v>28288</v>
      </c>
      <c r="AA54" s="5">
        <f t="shared" si="5"/>
        <v>0</v>
      </c>
      <c r="AB54" s="92">
        <f t="shared" si="6"/>
        <v>28288</v>
      </c>
      <c r="AD54" s="133">
        <f t="shared" si="24"/>
        <v>-54400.000000000036</v>
      </c>
      <c r="AE54" s="3">
        <f t="shared" si="8"/>
        <v>1</v>
      </c>
    </row>
    <row r="55" spans="9:31" x14ac:dyDescent="0.45">
      <c r="I55" s="20">
        <f t="shared" si="10"/>
        <v>49</v>
      </c>
      <c r="J55" s="63">
        <f t="shared" si="11"/>
        <v>31659.402998280966</v>
      </c>
      <c r="K55" s="79">
        <f>J55*$C$8*30.44/365.25</f>
        <v>139.84051483966229</v>
      </c>
      <c r="L55" s="63">
        <f t="shared" si="12"/>
        <v>-2714.483096839509</v>
      </c>
      <c r="M55" s="80">
        <f t="shared" si="0"/>
        <v>29084.760416281119</v>
      </c>
      <c r="O55" s="20">
        <f t="shared" si="13"/>
        <v>49</v>
      </c>
      <c r="P55" s="54">
        <f t="shared" si="14"/>
        <v>25486.125</v>
      </c>
      <c r="Q55" s="63">
        <f t="shared" si="15"/>
        <v>6818.955392720809</v>
      </c>
      <c r="R55" s="77">
        <f t="shared" si="2"/>
        <v>-2714.483096839509</v>
      </c>
      <c r="S55" s="63">
        <f t="shared" si="16"/>
        <v>-1133.3333333333333</v>
      </c>
      <c r="T55" s="63">
        <f t="shared" si="25"/>
        <v>0</v>
      </c>
      <c r="U55" s="63">
        <f t="shared" si="17"/>
        <v>-340.94776963604045</v>
      </c>
      <c r="V55" s="77">
        <f t="shared" si="20"/>
        <v>-54.258333333333333</v>
      </c>
      <c r="W55" s="83">
        <f t="shared" si="4"/>
        <v>2575.9328595785933</v>
      </c>
      <c r="X55" s="85">
        <f t="shared" si="18"/>
        <v>100322.91011935107</v>
      </c>
      <c r="Z55" s="92">
        <f t="shared" si="19"/>
        <v>26044</v>
      </c>
      <c r="AA55" s="5">
        <f t="shared" si="5"/>
        <v>0</v>
      </c>
      <c r="AB55" s="92">
        <f t="shared" si="6"/>
        <v>26044</v>
      </c>
      <c r="AD55" s="133">
        <f t="shared" si="24"/>
        <v>-55533.333333333372</v>
      </c>
      <c r="AE55" s="3">
        <f t="shared" si="8"/>
        <v>1</v>
      </c>
    </row>
    <row r="56" spans="9:31" x14ac:dyDescent="0.45">
      <c r="I56" s="20">
        <f t="shared" si="10"/>
        <v>50</v>
      </c>
      <c r="J56" s="63">
        <f t="shared" si="11"/>
        <v>29084.760416281119</v>
      </c>
      <c r="K56" s="79">
        <f>J56*$C$8*30.44/365.25</f>
        <v>128.46824277835634</v>
      </c>
      <c r="L56" s="63">
        <f t="shared" si="12"/>
        <v>-2714.483096839509</v>
      </c>
      <c r="M56" s="80">
        <f t="shared" si="0"/>
        <v>26498.745562219963</v>
      </c>
      <c r="O56" s="20">
        <f t="shared" si="13"/>
        <v>50</v>
      </c>
      <c r="P56" s="54">
        <f t="shared" si="14"/>
        <v>26006.25</v>
      </c>
      <c r="Q56" s="63">
        <f t="shared" si="15"/>
        <v>6818.955392720809</v>
      </c>
      <c r="R56" s="77">
        <f t="shared" si="2"/>
        <v>-2714.483096839509</v>
      </c>
      <c r="S56" s="63">
        <f t="shared" si="16"/>
        <v>-1133.3333333333333</v>
      </c>
      <c r="T56" s="63">
        <f t="shared" si="25"/>
        <v>0</v>
      </c>
      <c r="U56" s="63">
        <f t="shared" si="17"/>
        <v>-340.94776963604045</v>
      </c>
      <c r="V56" s="77">
        <f t="shared" si="20"/>
        <v>-49.583333333333336</v>
      </c>
      <c r="W56" s="83">
        <f t="shared" si="4"/>
        <v>2580.607859578593</v>
      </c>
      <c r="X56" s="85">
        <f t="shared" si="18"/>
        <v>102903.51797892967</v>
      </c>
      <c r="Z56" s="92">
        <f t="shared" si="19"/>
        <v>23800</v>
      </c>
      <c r="AA56" s="5">
        <f t="shared" si="5"/>
        <v>0</v>
      </c>
      <c r="AB56" s="92">
        <f t="shared" si="6"/>
        <v>23800</v>
      </c>
      <c r="AD56" s="133">
        <f t="shared" si="24"/>
        <v>-56666.666666666708</v>
      </c>
      <c r="AE56" s="3">
        <f t="shared" si="8"/>
        <v>1</v>
      </c>
    </row>
    <row r="57" spans="9:31" x14ac:dyDescent="0.45">
      <c r="I57" s="20">
        <f t="shared" si="10"/>
        <v>51</v>
      </c>
      <c r="J57" s="63">
        <f t="shared" si="11"/>
        <v>26498.745562219963</v>
      </c>
      <c r="K57" s="79">
        <f t="shared" ref="K57:K66" si="26">J57*$C$8*30.44/365.25</f>
        <v>117.04573905664809</v>
      </c>
      <c r="L57" s="63">
        <f t="shared" si="12"/>
        <v>-2714.483096839509</v>
      </c>
      <c r="M57" s="80">
        <f t="shared" si="0"/>
        <v>23901.308204437104</v>
      </c>
      <c r="O57" s="20">
        <f t="shared" si="13"/>
        <v>51</v>
      </c>
      <c r="P57" s="54">
        <f t="shared" si="14"/>
        <v>26526.375</v>
      </c>
      <c r="Q57" s="63">
        <f t="shared" si="15"/>
        <v>6818.955392720809</v>
      </c>
      <c r="R57" s="77">
        <f t="shared" si="2"/>
        <v>-2714.483096839509</v>
      </c>
      <c r="S57" s="63">
        <f t="shared" si="16"/>
        <v>-1133.3333333333333</v>
      </c>
      <c r="T57" s="63">
        <f t="shared" si="25"/>
        <v>0</v>
      </c>
      <c r="U57" s="63">
        <f t="shared" si="17"/>
        <v>-340.94776963604045</v>
      </c>
      <c r="V57" s="77">
        <f t="shared" si="20"/>
        <v>-44.908333333333331</v>
      </c>
      <c r="W57" s="83">
        <f t="shared" si="4"/>
        <v>2585.2828595785932</v>
      </c>
      <c r="X57" s="85">
        <f t="shared" si="18"/>
        <v>105488.80083850826</v>
      </c>
      <c r="Z57" s="92">
        <f t="shared" si="19"/>
        <v>21556</v>
      </c>
      <c r="AA57" s="5">
        <f t="shared" si="5"/>
        <v>0</v>
      </c>
      <c r="AB57" s="92">
        <f t="shared" si="6"/>
        <v>21556</v>
      </c>
      <c r="AD57" s="133">
        <f t="shared" si="24"/>
        <v>-57800.000000000044</v>
      </c>
      <c r="AE57" s="3">
        <f t="shared" si="8"/>
        <v>1</v>
      </c>
    </row>
    <row r="58" spans="9:31" x14ac:dyDescent="0.45">
      <c r="I58" s="20">
        <f t="shared" si="10"/>
        <v>52</v>
      </c>
      <c r="J58" s="63">
        <f t="shared" si="11"/>
        <v>23901.308204437104</v>
      </c>
      <c r="K58" s="79">
        <f t="shared" si="26"/>
        <v>105.57278179981512</v>
      </c>
      <c r="L58" s="63">
        <f t="shared" si="12"/>
        <v>-2714.483096839509</v>
      </c>
      <c r="M58" s="80">
        <f t="shared" si="0"/>
        <v>21292.397889397413</v>
      </c>
      <c r="O58" s="20">
        <f t="shared" si="13"/>
        <v>52</v>
      </c>
      <c r="P58" s="54">
        <f t="shared" si="14"/>
        <v>27046.5</v>
      </c>
      <c r="Q58" s="63">
        <f t="shared" si="15"/>
        <v>6818.955392720809</v>
      </c>
      <c r="R58" s="77">
        <f t="shared" si="2"/>
        <v>-2714.483096839509</v>
      </c>
      <c r="S58" s="63">
        <f t="shared" si="16"/>
        <v>-1133.3333333333333</v>
      </c>
      <c r="T58" s="63">
        <f t="shared" si="25"/>
        <v>0</v>
      </c>
      <c r="U58" s="63">
        <f t="shared" si="17"/>
        <v>-340.94776963604045</v>
      </c>
      <c r="V58" s="77">
        <f t="shared" si="20"/>
        <v>-40.233333333333334</v>
      </c>
      <c r="W58" s="83">
        <f t="shared" si="4"/>
        <v>2589.9578595785933</v>
      </c>
      <c r="X58" s="85">
        <f t="shared" si="18"/>
        <v>108078.75869808687</v>
      </c>
      <c r="Z58" s="92">
        <f t="shared" si="19"/>
        <v>19312</v>
      </c>
      <c r="AA58" s="5">
        <f t="shared" si="5"/>
        <v>0</v>
      </c>
      <c r="AB58" s="92">
        <f t="shared" si="6"/>
        <v>19312</v>
      </c>
      <c r="AD58" s="133">
        <f t="shared" si="24"/>
        <v>-58933.333333333379</v>
      </c>
      <c r="AE58" s="3">
        <f t="shared" si="8"/>
        <v>1</v>
      </c>
    </row>
    <row r="59" spans="9:31" x14ac:dyDescent="0.45">
      <c r="I59" s="20">
        <f t="shared" si="10"/>
        <v>53</v>
      </c>
      <c r="J59" s="63">
        <f t="shared" si="11"/>
        <v>21292.397889397413</v>
      </c>
      <c r="K59" s="79">
        <f t="shared" si="26"/>
        <v>94.049148153107808</v>
      </c>
      <c r="L59" s="63">
        <f t="shared" si="12"/>
        <v>-2714.483096839509</v>
      </c>
      <c r="M59" s="80">
        <f t="shared" si="0"/>
        <v>18671.963940711008</v>
      </c>
      <c r="O59" s="20">
        <f t="shared" si="13"/>
        <v>53</v>
      </c>
      <c r="P59" s="54">
        <f t="shared" si="14"/>
        <v>27566.625</v>
      </c>
      <c r="Q59" s="63">
        <f t="shared" si="15"/>
        <v>6818.955392720809</v>
      </c>
      <c r="R59" s="77">
        <f t="shared" si="2"/>
        <v>-2714.483096839509</v>
      </c>
      <c r="S59" s="63">
        <f t="shared" si="16"/>
        <v>-1133.3333333333333</v>
      </c>
      <c r="T59" s="63">
        <f t="shared" si="25"/>
        <v>0</v>
      </c>
      <c r="U59" s="63">
        <f t="shared" si="17"/>
        <v>-340.94776963604045</v>
      </c>
      <c r="V59" s="77">
        <f t="shared" si="20"/>
        <v>-35.558333333333337</v>
      </c>
      <c r="W59" s="83">
        <f t="shared" si="4"/>
        <v>2594.6328595785931</v>
      </c>
      <c r="X59" s="85">
        <f t="shared" si="18"/>
        <v>110673.39155766545</v>
      </c>
      <c r="Z59" s="92">
        <f t="shared" si="19"/>
        <v>17068</v>
      </c>
      <c r="AA59" s="5">
        <f t="shared" si="5"/>
        <v>0</v>
      </c>
      <c r="AB59" s="92">
        <f t="shared" si="6"/>
        <v>17068</v>
      </c>
      <c r="AD59" s="133">
        <f t="shared" si="24"/>
        <v>-60066.666666666715</v>
      </c>
      <c r="AE59" s="3">
        <f t="shared" si="8"/>
        <v>1</v>
      </c>
    </row>
    <row r="60" spans="9:31" x14ac:dyDescent="0.45">
      <c r="I60" s="20">
        <f t="shared" si="10"/>
        <v>54</v>
      </c>
      <c r="J60" s="63">
        <f t="shared" si="11"/>
        <v>18671.963940711008</v>
      </c>
      <c r="K60" s="79">
        <f t="shared" si="26"/>
        <v>82.474614277420628</v>
      </c>
      <c r="L60" s="63">
        <f t="shared" si="12"/>
        <v>-2714.483096839509</v>
      </c>
      <c r="M60" s="80">
        <f t="shared" si="0"/>
        <v>16039.955458148919</v>
      </c>
      <c r="O60" s="20">
        <f t="shared" si="13"/>
        <v>54</v>
      </c>
      <c r="P60" s="54">
        <f t="shared" si="14"/>
        <v>28086.75</v>
      </c>
      <c r="Q60" s="63">
        <f t="shared" si="15"/>
        <v>6818.955392720809</v>
      </c>
      <c r="R60" s="77">
        <f t="shared" si="2"/>
        <v>-2714.483096839509</v>
      </c>
      <c r="S60" s="63">
        <f t="shared" si="16"/>
        <v>-1133.3333333333333</v>
      </c>
      <c r="T60" s="63"/>
      <c r="U60" s="63">
        <f t="shared" si="17"/>
        <v>-340.94776963604045</v>
      </c>
      <c r="V60" s="77">
        <f t="shared" si="20"/>
        <v>-30.883333333333336</v>
      </c>
      <c r="W60" s="83">
        <f t="shared" si="4"/>
        <v>2599.3078595785933</v>
      </c>
      <c r="X60" s="85">
        <f t="shared" si="18"/>
        <v>113272.69941724405</v>
      </c>
      <c r="Z60" s="92">
        <f t="shared" si="19"/>
        <v>14824</v>
      </c>
      <c r="AA60" s="5">
        <f t="shared" si="5"/>
        <v>0</v>
      </c>
      <c r="AB60" s="92">
        <f t="shared" si="6"/>
        <v>14824</v>
      </c>
      <c r="AD60" s="133">
        <f t="shared" si="24"/>
        <v>-61200.000000000051</v>
      </c>
      <c r="AE60" s="3">
        <f t="shared" si="8"/>
        <v>1</v>
      </c>
    </row>
    <row r="61" spans="9:31" x14ac:dyDescent="0.45">
      <c r="I61" s="20">
        <f t="shared" si="10"/>
        <v>55</v>
      </c>
      <c r="J61" s="63">
        <f t="shared" si="11"/>
        <v>16039.955458148919</v>
      </c>
      <c r="K61" s="79">
        <f t="shared" si="26"/>
        <v>70.848955344944059</v>
      </c>
      <c r="L61" s="63">
        <f t="shared" si="12"/>
        <v>-2714.483096839509</v>
      </c>
      <c r="M61" s="80">
        <f t="shared" si="0"/>
        <v>13396.321316654354</v>
      </c>
      <c r="O61" s="20">
        <f t="shared" si="13"/>
        <v>55</v>
      </c>
      <c r="P61" s="54">
        <f t="shared" si="14"/>
        <v>28606.875</v>
      </c>
      <c r="Q61" s="63">
        <f t="shared" si="15"/>
        <v>6818.955392720809</v>
      </c>
      <c r="R61" s="77">
        <f t="shared" si="2"/>
        <v>-2714.483096839509</v>
      </c>
      <c r="S61" s="63">
        <f t="shared" si="16"/>
        <v>-1133.3333333333333</v>
      </c>
      <c r="T61" s="63">
        <f>-T75*0.5</f>
        <v>0</v>
      </c>
      <c r="U61" s="63">
        <f t="shared" si="17"/>
        <v>-340.94776963604045</v>
      </c>
      <c r="V61" s="77">
        <f t="shared" si="20"/>
        <v>-26.208333333333332</v>
      </c>
      <c r="W61" s="83">
        <f t="shared" si="4"/>
        <v>2603.982859578593</v>
      </c>
      <c r="X61" s="85">
        <f t="shared" si="18"/>
        <v>115876.68227682264</v>
      </c>
      <c r="Z61" s="92">
        <f t="shared" si="19"/>
        <v>12580</v>
      </c>
      <c r="AA61" s="5">
        <f t="shared" si="5"/>
        <v>0</v>
      </c>
      <c r="AB61" s="92">
        <f t="shared" si="6"/>
        <v>12580</v>
      </c>
      <c r="AD61" s="133">
        <f t="shared" si="24"/>
        <v>-62333.333333333387</v>
      </c>
      <c r="AE61" s="3">
        <f t="shared" si="8"/>
        <v>1</v>
      </c>
    </row>
    <row r="62" spans="9:31" x14ac:dyDescent="0.45">
      <c r="I62" s="20">
        <f t="shared" si="10"/>
        <v>56</v>
      </c>
      <c r="J62" s="63">
        <f t="shared" si="11"/>
        <v>13396.321316654354</v>
      </c>
      <c r="K62" s="79">
        <f t="shared" si="26"/>
        <v>59.171945534797537</v>
      </c>
      <c r="L62" s="63">
        <f t="shared" si="12"/>
        <v>-2714.483096839509</v>
      </c>
      <c r="M62" s="80">
        <f t="shared" si="0"/>
        <v>10741.010165349642</v>
      </c>
      <c r="O62" s="20">
        <f t="shared" si="13"/>
        <v>56</v>
      </c>
      <c r="P62" s="54">
        <f t="shared" si="14"/>
        <v>29127</v>
      </c>
      <c r="Q62" s="63">
        <f t="shared" si="15"/>
        <v>6818.955392720809</v>
      </c>
      <c r="R62" s="77">
        <f t="shared" si="2"/>
        <v>-2714.483096839509</v>
      </c>
      <c r="S62" s="63">
        <f t="shared" si="16"/>
        <v>-1133.3333333333333</v>
      </c>
      <c r="T62" s="63">
        <f>-T76*0.5</f>
        <v>0</v>
      </c>
      <c r="U62" s="63">
        <f t="shared" si="17"/>
        <v>-340.94776963604045</v>
      </c>
      <c r="V62" s="77">
        <f t="shared" si="20"/>
        <v>-21.533333333333335</v>
      </c>
      <c r="W62" s="83">
        <f t="shared" si="4"/>
        <v>2608.6578595785932</v>
      </c>
      <c r="X62" s="85">
        <f t="shared" si="18"/>
        <v>118485.34013640124</v>
      </c>
      <c r="Z62" s="92">
        <f t="shared" si="19"/>
        <v>10336</v>
      </c>
      <c r="AA62" s="5">
        <f t="shared" si="5"/>
        <v>0</v>
      </c>
      <c r="AB62" s="92">
        <f t="shared" si="6"/>
        <v>10336</v>
      </c>
      <c r="AD62" s="133">
        <f t="shared" si="24"/>
        <v>-63466.666666666722</v>
      </c>
      <c r="AE62" s="3">
        <f t="shared" si="8"/>
        <v>1</v>
      </c>
    </row>
    <row r="63" spans="9:31" x14ac:dyDescent="0.45">
      <c r="I63" s="20">
        <f t="shared" si="10"/>
        <v>57</v>
      </c>
      <c r="J63" s="63">
        <f t="shared" si="11"/>
        <v>10741.010165349642</v>
      </c>
      <c r="K63" s="79">
        <f t="shared" si="26"/>
        <v>47.44335802864309</v>
      </c>
      <c r="L63" s="63">
        <f t="shared" si="12"/>
        <v>-2714.483096839509</v>
      </c>
      <c r="M63" s="80">
        <f t="shared" si="0"/>
        <v>8073.9704265387754</v>
      </c>
      <c r="O63" s="20">
        <f t="shared" si="13"/>
        <v>57</v>
      </c>
      <c r="P63" s="54">
        <f t="shared" si="14"/>
        <v>29647.125</v>
      </c>
      <c r="Q63" s="63">
        <f t="shared" si="15"/>
        <v>6818.955392720809</v>
      </c>
      <c r="R63" s="77">
        <f t="shared" si="2"/>
        <v>-2714.483096839509</v>
      </c>
      <c r="S63" s="63">
        <f>+S61</f>
        <v>-1133.3333333333333</v>
      </c>
      <c r="T63" s="63">
        <f>-T76*0.5</f>
        <v>0</v>
      </c>
      <c r="U63" s="63">
        <f>U61</f>
        <v>-340.94776963604045</v>
      </c>
      <c r="V63" s="77">
        <f t="shared" si="20"/>
        <v>-16.858333333333334</v>
      </c>
      <c r="W63" s="83">
        <f t="shared" si="4"/>
        <v>2613.3328595785933</v>
      </c>
      <c r="X63" s="85">
        <f>X61+W63</f>
        <v>118490.01513640123</v>
      </c>
      <c r="Z63" s="92">
        <f t="shared" si="19"/>
        <v>8092</v>
      </c>
      <c r="AA63" s="5">
        <f t="shared" si="5"/>
        <v>0</v>
      </c>
      <c r="AB63" s="92">
        <f t="shared" si="6"/>
        <v>8092</v>
      </c>
      <c r="AD63" s="133">
        <f>IF(AD61=0,0,IF(+S63+AD61&lt;-$S$68,0,+S63+AD61))</f>
        <v>-63466.666666666722</v>
      </c>
      <c r="AE63" s="3">
        <f t="shared" si="8"/>
        <v>1</v>
      </c>
    </row>
    <row r="64" spans="9:31" x14ac:dyDescent="0.45">
      <c r="I64" s="20">
        <f t="shared" si="10"/>
        <v>58</v>
      </c>
      <c r="J64" s="63">
        <f t="shared" si="11"/>
        <v>8073.9704265387754</v>
      </c>
      <c r="K64" s="79">
        <f t="shared" si="26"/>
        <v>35.662965006279364</v>
      </c>
      <c r="L64" s="63">
        <f t="shared" si="12"/>
        <v>-2714.483096839509</v>
      </c>
      <c r="M64" s="80">
        <f t="shared" si="0"/>
        <v>5395.150294705546</v>
      </c>
      <c r="O64" s="20">
        <f t="shared" si="13"/>
        <v>58</v>
      </c>
      <c r="P64" s="54">
        <f t="shared" si="14"/>
        <v>30167.25</v>
      </c>
      <c r="Q64" s="63">
        <f t="shared" si="15"/>
        <v>6818.955392720809</v>
      </c>
      <c r="R64" s="77">
        <f t="shared" si="2"/>
        <v>-2714.483096839509</v>
      </c>
      <c r="S64" s="63">
        <f>+S61</f>
        <v>-1133.3333333333333</v>
      </c>
      <c r="T64" s="63">
        <f>-T76*0.5</f>
        <v>0</v>
      </c>
      <c r="U64" s="63">
        <f>U61</f>
        <v>-340.94776963604045</v>
      </c>
      <c r="V64" s="77">
        <f t="shared" si="20"/>
        <v>-12.183333333333335</v>
      </c>
      <c r="W64" s="83">
        <f t="shared" si="4"/>
        <v>2618.0078595785931</v>
      </c>
      <c r="X64" s="85">
        <f>X61+W64</f>
        <v>118494.69013640123</v>
      </c>
      <c r="Z64" s="92">
        <f t="shared" si="19"/>
        <v>5848</v>
      </c>
      <c r="AA64" s="5">
        <f t="shared" si="5"/>
        <v>0</v>
      </c>
      <c r="AB64" s="92">
        <f t="shared" si="6"/>
        <v>5848</v>
      </c>
      <c r="AD64" s="133">
        <f>IF(AD61=0,0,IF(+S64+AD61&lt;-$S$68,0,+S64+AD61))</f>
        <v>-63466.666666666722</v>
      </c>
      <c r="AE64" s="3">
        <f t="shared" si="8"/>
        <v>1</v>
      </c>
    </row>
    <row r="65" spans="1:31" x14ac:dyDescent="0.45">
      <c r="I65" s="20">
        <f t="shared" si="10"/>
        <v>59</v>
      </c>
      <c r="J65" s="63">
        <f t="shared" si="11"/>
        <v>5395.150294705546</v>
      </c>
      <c r="K65" s="79">
        <f t="shared" si="26"/>
        <v>23.830537641216566</v>
      </c>
      <c r="L65" s="63">
        <f t="shared" si="12"/>
        <v>-2714.483096839509</v>
      </c>
      <c r="M65" s="80">
        <f t="shared" si="0"/>
        <v>2704.4977355072533</v>
      </c>
      <c r="O65" s="20">
        <f t="shared" si="13"/>
        <v>59</v>
      </c>
      <c r="P65" s="54">
        <f t="shared" si="14"/>
        <v>30687.375</v>
      </c>
      <c r="Q65" s="63">
        <f t="shared" si="15"/>
        <v>6818.955392720809</v>
      </c>
      <c r="R65" s="77">
        <f t="shared" si="2"/>
        <v>-2714.483096839509</v>
      </c>
      <c r="S65" s="63">
        <f>+S62</f>
        <v>-1133.3333333333333</v>
      </c>
      <c r="T65" s="63">
        <f>-T77*0.5</f>
        <v>0</v>
      </c>
      <c r="U65" s="63">
        <f>U62</f>
        <v>-340.94776963604045</v>
      </c>
      <c r="V65" s="77">
        <f t="shared" si="20"/>
        <v>-7.5083333333333337</v>
      </c>
      <c r="W65" s="83">
        <f t="shared" si="4"/>
        <v>2622.6828595785933</v>
      </c>
      <c r="X65" s="85">
        <f>X62+W65</f>
        <v>121108.02299597983</v>
      </c>
      <c r="Z65" s="92">
        <f t="shared" si="19"/>
        <v>3604</v>
      </c>
      <c r="AA65" s="5">
        <f t="shared" si="5"/>
        <v>0</v>
      </c>
      <c r="AB65" s="92">
        <f t="shared" si="6"/>
        <v>3604</v>
      </c>
      <c r="AD65" s="133">
        <f>IF(AD62=0,0,IF(+S65+AD62&lt;-$S$68,0,+S65+AD62))</f>
        <v>-64600.000000000058</v>
      </c>
      <c r="AE65" s="3">
        <f t="shared" si="8"/>
        <v>1</v>
      </c>
    </row>
    <row r="66" spans="1:31" ht="14.65" thickBot="1" x14ac:dyDescent="0.5">
      <c r="I66" s="20">
        <f t="shared" si="10"/>
        <v>60</v>
      </c>
      <c r="J66" s="63">
        <f t="shared" si="11"/>
        <v>2704.4977355072533</v>
      </c>
      <c r="K66" s="79">
        <f t="shared" si="26"/>
        <v>11.945846096231518</v>
      </c>
      <c r="L66" s="63">
        <f t="shared" si="12"/>
        <v>-2714.483096839509</v>
      </c>
      <c r="M66" s="80">
        <f t="shared" si="0"/>
        <v>1.9604847639757281</v>
      </c>
      <c r="O66" s="20">
        <f t="shared" si="13"/>
        <v>60</v>
      </c>
      <c r="P66" s="54">
        <f t="shared" si="14"/>
        <v>31207.5</v>
      </c>
      <c r="Q66" s="63">
        <f t="shared" si="15"/>
        <v>6818.955392720809</v>
      </c>
      <c r="R66" s="77">
        <f t="shared" si="2"/>
        <v>-2714.483096839509</v>
      </c>
      <c r="S66" s="63">
        <f>+S62</f>
        <v>-1133.3333333333333</v>
      </c>
      <c r="T66" s="63">
        <f>-T77*0.5</f>
        <v>0</v>
      </c>
      <c r="U66" s="63">
        <f>U62</f>
        <v>-340.94776963604045</v>
      </c>
      <c r="V66" s="77">
        <f t="shared" si="20"/>
        <v>-2.8333333333333335</v>
      </c>
      <c r="W66" s="83">
        <f t="shared" si="4"/>
        <v>2627.357859578593</v>
      </c>
      <c r="X66" s="85">
        <f>X62+W66</f>
        <v>121112.69799597983</v>
      </c>
      <c r="Z66" s="92">
        <f t="shared" si="19"/>
        <v>1360</v>
      </c>
      <c r="AA66" s="5">
        <f t="shared" si="5"/>
        <v>0</v>
      </c>
      <c r="AB66" s="92">
        <f t="shared" si="6"/>
        <v>1360</v>
      </c>
      <c r="AD66" s="133">
        <f>IF(AD62=0,0,IF(+S66+AD62&lt;-$S$68,0,+S66+AD62))</f>
        <v>-64600.000000000058</v>
      </c>
      <c r="AE66" s="3">
        <f t="shared" si="8"/>
        <v>1</v>
      </c>
    </row>
    <row r="67" spans="1:31" ht="14.65" thickBot="1" x14ac:dyDescent="0.5">
      <c r="I67" s="21" t="s">
        <v>20</v>
      </c>
      <c r="J67" s="69">
        <f>C7*C11</f>
        <v>1428</v>
      </c>
      <c r="K67" s="69">
        <f>SUM(K7:K54)</f>
        <v>19154.591646577446</v>
      </c>
      <c r="L67" s="81"/>
      <c r="M67" s="82"/>
      <c r="O67" s="58"/>
      <c r="P67" s="59"/>
      <c r="Q67" s="69">
        <f t="shared" ref="Q67:V67" si="27">SUM(Q7:Q54)</f>
        <v>327309.85885059903</v>
      </c>
      <c r="R67" s="69">
        <f t="shared" si="27"/>
        <v>-130295.18864829651</v>
      </c>
      <c r="S67" s="87">
        <f t="shared" si="27"/>
        <v>-54400.000000000036</v>
      </c>
      <c r="T67" s="87">
        <f t="shared" si="27"/>
        <v>-20400</v>
      </c>
      <c r="U67" s="69">
        <f t="shared" si="27"/>
        <v>-16365.492942529958</v>
      </c>
      <c r="V67" s="69">
        <f t="shared" si="27"/>
        <v>-8102.2000000000025</v>
      </c>
      <c r="W67" s="88"/>
      <c r="X67" s="82"/>
    </row>
    <row r="68" spans="1:31" x14ac:dyDescent="0.45">
      <c r="Q68" s="89">
        <f>+SUM(Q67:V67)</f>
        <v>97746.977259772524</v>
      </c>
      <c r="R68" s="89"/>
      <c r="S68" s="90">
        <f>D31</f>
        <v>68000</v>
      </c>
      <c r="T68" s="60">
        <f>D32</f>
        <v>20400</v>
      </c>
      <c r="U68" s="89"/>
      <c r="V68" s="89"/>
      <c r="W68" s="89"/>
      <c r="X68" s="89"/>
    </row>
    <row r="69" spans="1:31" ht="14.65" thickBot="1" x14ac:dyDescent="0.5">
      <c r="L69" s="129">
        <f>+PMT(C8/12,C12,(C7),,)</f>
        <v>-2714.483096839509</v>
      </c>
      <c r="Q69" s="89"/>
      <c r="R69" s="89"/>
      <c r="S69" s="91">
        <f>S67+S68</f>
        <v>13599.999999999964</v>
      </c>
      <c r="T69" s="66">
        <f>T67+T68</f>
        <v>0</v>
      </c>
      <c r="U69" s="89"/>
      <c r="V69" s="89"/>
      <c r="W69" s="89"/>
      <c r="X69" s="89"/>
    </row>
    <row r="70" spans="1:31" s="131" customFormat="1" ht="14.65" thickBot="1" x14ac:dyDescent="0.5"/>
    <row r="71" spans="1:31" s="177" customFormat="1" ht="31.15" thickBot="1" x14ac:dyDescent="0.5">
      <c r="A71" s="695" t="str">
        <f>+A3</f>
        <v>MERC Service Truck</v>
      </c>
      <c r="B71" s="696"/>
      <c r="C71" s="697"/>
      <c r="D71" s="698" t="s">
        <v>2</v>
      </c>
      <c r="E71" s="699"/>
      <c r="F71" s="699"/>
      <c r="G71" s="699"/>
      <c r="H71" s="700"/>
      <c r="I71" s="700"/>
      <c r="J71" s="700"/>
      <c r="K71" s="700"/>
      <c r="L71" s="700"/>
      <c r="M71" s="700"/>
      <c r="N71" s="700"/>
      <c r="O71" s="700"/>
      <c r="P71" s="700"/>
      <c r="Q71" s="700"/>
      <c r="R71" s="700"/>
      <c r="S71" s="700"/>
      <c r="T71" s="700"/>
      <c r="U71" s="700"/>
      <c r="V71" s="700"/>
      <c r="W71" s="700"/>
      <c r="X71" s="701"/>
    </row>
    <row r="72" spans="1:31" s="177" customFormat="1" ht="28.9" thickBot="1" x14ac:dyDescent="0.5">
      <c r="C72" s="178"/>
      <c r="D72" s="178"/>
      <c r="E72" s="179" t="s">
        <v>77</v>
      </c>
      <c r="F72" s="179" t="s">
        <v>78</v>
      </c>
      <c r="G72" s="179" t="s">
        <v>79</v>
      </c>
      <c r="H72" s="178"/>
      <c r="I72" s="180"/>
      <c r="J72" s="178"/>
      <c r="K72" s="178"/>
      <c r="L72" s="178"/>
      <c r="M72" s="178"/>
      <c r="Q72" s="181">
        <f>+C81/C80*C82</f>
        <v>350</v>
      </c>
      <c r="U72" s="182">
        <v>0.05</v>
      </c>
    </row>
    <row r="73" spans="1:31" s="177" customFormat="1" ht="23.65" thickBot="1" x14ac:dyDescent="0.5">
      <c r="A73" s="708" t="s">
        <v>9</v>
      </c>
      <c r="B73" s="709"/>
      <c r="C73" s="710"/>
      <c r="D73" s="178"/>
      <c r="E73" s="183">
        <f>+'Summary Equip'!AL27</f>
        <v>0</v>
      </c>
      <c r="F73" s="183">
        <f>+'Summary Equip'!AM27</f>
        <v>0</v>
      </c>
      <c r="G73" s="183">
        <f>+'Summary Equip'!AN27</f>
        <v>0</v>
      </c>
      <c r="H73" s="178"/>
      <c r="I73" s="711" t="s">
        <v>34</v>
      </c>
      <c r="J73" s="712"/>
      <c r="K73" s="712"/>
      <c r="L73" s="712"/>
      <c r="M73" s="713"/>
      <c r="O73" s="711" t="s">
        <v>35</v>
      </c>
      <c r="P73" s="714"/>
      <c r="Q73" s="712"/>
      <c r="R73" s="712"/>
      <c r="S73" s="712"/>
      <c r="T73" s="712"/>
      <c r="U73" s="712"/>
      <c r="V73" s="712"/>
      <c r="W73" s="715"/>
      <c r="X73" s="716"/>
      <c r="AA73" s="184">
        <v>0</v>
      </c>
    </row>
    <row r="74" spans="1:31" s="177" customFormat="1" ht="28.9" thickBot="1" x14ac:dyDescent="0.5">
      <c r="A74" s="185" t="s">
        <v>0</v>
      </c>
      <c r="B74" s="186" t="s">
        <v>1</v>
      </c>
      <c r="C74" s="187" t="s">
        <v>10</v>
      </c>
      <c r="D74" s="178"/>
      <c r="E74" s="178"/>
      <c r="F74" s="178"/>
      <c r="G74" s="178"/>
      <c r="H74" s="178"/>
      <c r="I74" s="188" t="s">
        <v>15</v>
      </c>
      <c r="J74" s="189" t="s">
        <v>16</v>
      </c>
      <c r="K74" s="189" t="s">
        <v>17</v>
      </c>
      <c r="L74" s="189" t="s">
        <v>18</v>
      </c>
      <c r="M74" s="190" t="s">
        <v>19</v>
      </c>
      <c r="O74" s="188" t="s">
        <v>15</v>
      </c>
      <c r="P74" s="191" t="s">
        <v>39</v>
      </c>
      <c r="Q74" s="189" t="s">
        <v>36</v>
      </c>
      <c r="R74" s="189" t="s">
        <v>37</v>
      </c>
      <c r="S74" s="189" t="s">
        <v>27</v>
      </c>
      <c r="T74" s="189" t="s">
        <v>38</v>
      </c>
      <c r="U74" s="189" t="s">
        <v>7</v>
      </c>
      <c r="V74" s="189" t="s">
        <v>41</v>
      </c>
      <c r="W74" s="190" t="s">
        <v>40</v>
      </c>
      <c r="X74" s="192" t="s">
        <v>42</v>
      </c>
      <c r="Z74" s="193" t="s">
        <v>71</v>
      </c>
      <c r="AA74" s="193" t="s">
        <v>46</v>
      </c>
      <c r="AB74" s="193" t="s">
        <v>47</v>
      </c>
    </row>
    <row r="75" spans="1:31" s="177" customFormat="1" x14ac:dyDescent="0.45">
      <c r="A75" s="194">
        <v>1</v>
      </c>
      <c r="B75" s="195" t="s">
        <v>11</v>
      </c>
      <c r="C75" s="196">
        <f>+F79*(1+'Summary Equip'!$N$3)</f>
        <v>6800</v>
      </c>
      <c r="D75" s="197"/>
      <c r="E75" s="194" t="s">
        <v>61</v>
      </c>
      <c r="F75" s="198">
        <f>+IF(G73=1,'Summary Equip'!Q29,'Summary Equip'!J27)</f>
        <v>0</v>
      </c>
      <c r="G75" s="199"/>
      <c r="H75" s="178"/>
      <c r="I75" s="200">
        <v>1</v>
      </c>
      <c r="J75" s="201">
        <f>C75</f>
        <v>6800</v>
      </c>
      <c r="K75" s="201">
        <f>J75*$C$8*30.44/365.25</f>
        <v>30.035800136892536</v>
      </c>
      <c r="L75" s="201">
        <f>L125</f>
        <v>-204.71927779760827</v>
      </c>
      <c r="M75" s="202">
        <f t="shared" ref="M75:M122" si="28">J75+K75+L75</f>
        <v>6625.3165223392843</v>
      </c>
      <c r="O75" s="200">
        <v>1</v>
      </c>
      <c r="P75" s="203">
        <f>Q72</f>
        <v>350</v>
      </c>
      <c r="Q75" s="201">
        <f t="shared" ref="Q75:Q110" si="29">$F$110+($Q$4*$G$42)</f>
        <v>4538.3946761206898</v>
      </c>
      <c r="R75" s="201">
        <f>+L75</f>
        <v>-204.71927779760827</v>
      </c>
      <c r="S75" s="201">
        <f>-S124/C80</f>
        <v>0</v>
      </c>
      <c r="T75" s="201"/>
      <c r="U75" s="201">
        <f>-Q75*U72</f>
        <v>-226.91973380603451</v>
      </c>
      <c r="V75" s="201">
        <f>-(AB75*$C$9/12)</f>
        <v>-278.65833333333336</v>
      </c>
      <c r="W75" s="204">
        <f>SUM(Q75:V75)</f>
        <v>3828.0973311837138</v>
      </c>
      <c r="X75" s="205">
        <f>W75</f>
        <v>3828.0973311837138</v>
      </c>
      <c r="Z75" s="206">
        <f>+$D$27-(($D$27+$D$28)*O75/$B$22)</f>
        <v>133756</v>
      </c>
      <c r="AA75" s="193">
        <f>+Z75*$AA$5</f>
        <v>0</v>
      </c>
      <c r="AB75" s="206">
        <f>+Z75+AA75</f>
        <v>133756</v>
      </c>
    </row>
    <row r="76" spans="1:31" s="177" customFormat="1" ht="28.5" x14ac:dyDescent="0.45">
      <c r="A76" s="207">
        <f>A75+1</f>
        <v>2</v>
      </c>
      <c r="B76" s="193" t="s">
        <v>3</v>
      </c>
      <c r="C76" s="208">
        <f>+C8</f>
        <v>5.2999999999999999E-2</v>
      </c>
      <c r="D76" s="178"/>
      <c r="E76" s="209" t="s">
        <v>64</v>
      </c>
      <c r="F76" s="210">
        <f>+'Summary Equip'!D27*(1-'MERC STRUCK'!E73)</f>
        <v>0</v>
      </c>
      <c r="G76" s="211"/>
      <c r="H76" s="178"/>
      <c r="I76" s="212">
        <f>I75+1</f>
        <v>2</v>
      </c>
      <c r="J76" s="213">
        <f>M75</f>
        <v>6625.3165223392843</v>
      </c>
      <c r="K76" s="213">
        <f t="shared" ref="K76:K110" si="30">J76*$C$8*30.44/365.25</f>
        <v>29.264218074799217</v>
      </c>
      <c r="L76" s="213">
        <f>L75</f>
        <v>-204.71927779760827</v>
      </c>
      <c r="M76" s="214">
        <f t="shared" si="28"/>
        <v>6449.8614626164754</v>
      </c>
      <c r="O76" s="212">
        <f>O75+1</f>
        <v>2</v>
      </c>
      <c r="P76" s="215">
        <f>P75+$Q$4</f>
        <v>870.125</v>
      </c>
      <c r="Q76" s="201">
        <f t="shared" si="29"/>
        <v>4538.3946761206898</v>
      </c>
      <c r="R76" s="201">
        <f t="shared" ref="R76:R122" si="31">+L76</f>
        <v>-204.71927779760827</v>
      </c>
      <c r="S76" s="213">
        <f>+S75</f>
        <v>0</v>
      </c>
      <c r="T76" s="213"/>
      <c r="U76" s="213">
        <f>U75</f>
        <v>-226.91973380603451</v>
      </c>
      <c r="V76" s="201">
        <f t="shared" ref="V76:V82" si="32">-(AB76*$C$9/12)</f>
        <v>-273.98333333333335</v>
      </c>
      <c r="W76" s="204">
        <f t="shared" ref="W76:W122" si="33">SUM(Q76:V76)</f>
        <v>3832.7723311837135</v>
      </c>
      <c r="X76" s="216">
        <f>X75+W76</f>
        <v>7660.8696623674277</v>
      </c>
      <c r="Z76" s="206">
        <f>+$D$27-(($D$27+$D$28)*O76/$B$22)</f>
        <v>131512</v>
      </c>
      <c r="AA76" s="193">
        <f t="shared" ref="AA76:AA122" si="34">+Z76*$AA$5</f>
        <v>0</v>
      </c>
      <c r="AB76" s="206">
        <f t="shared" ref="AB76:AB122" si="35">+Z76+AA76</f>
        <v>131512</v>
      </c>
    </row>
    <row r="77" spans="1:31" s="177" customFormat="1" x14ac:dyDescent="0.45">
      <c r="A77" s="207">
        <f t="shared" ref="A77:A82" si="36">A76+1</f>
        <v>3</v>
      </c>
      <c r="B77" s="193" t="s">
        <v>4</v>
      </c>
      <c r="C77" s="208">
        <f>+C9</f>
        <v>2.5000000000000001E-2</v>
      </c>
      <c r="D77" s="178"/>
      <c r="E77" s="109" t="s">
        <v>69</v>
      </c>
      <c r="F77" s="149">
        <f>+F9</f>
        <v>6800</v>
      </c>
      <c r="G77" s="110"/>
      <c r="H77" s="178"/>
      <c r="I77" s="212">
        <f t="shared" ref="I77:I122" si="37">I76+1</f>
        <v>3</v>
      </c>
      <c r="J77" s="213">
        <f t="shared" ref="J77:J91" si="38">M76</f>
        <v>6449.8614626164754</v>
      </c>
      <c r="K77" s="213">
        <f t="shared" si="30"/>
        <v>28.489227912028511</v>
      </c>
      <c r="L77" s="213">
        <f t="shared" ref="L77:L109" si="39">L76</f>
        <v>-204.71927779760827</v>
      </c>
      <c r="M77" s="214">
        <f t="shared" si="28"/>
        <v>6273.631412730896</v>
      </c>
      <c r="O77" s="212">
        <f t="shared" ref="O77:O122" si="40">O76+1</f>
        <v>3</v>
      </c>
      <c r="P77" s="215">
        <f t="shared" ref="P77:P122" si="41">P76+$Q$4</f>
        <v>1390.25</v>
      </c>
      <c r="Q77" s="201">
        <f t="shared" si="29"/>
        <v>4538.3946761206898</v>
      </c>
      <c r="R77" s="201">
        <f t="shared" si="31"/>
        <v>-204.71927779760827</v>
      </c>
      <c r="S77" s="213">
        <f t="shared" ref="S77:S122" si="42">+S76</f>
        <v>0</v>
      </c>
      <c r="T77" s="213"/>
      <c r="U77" s="213">
        <f t="shared" ref="U77:U122" si="43">U76</f>
        <v>-226.91973380603451</v>
      </c>
      <c r="V77" s="201">
        <f t="shared" si="32"/>
        <v>-269.30833333333334</v>
      </c>
      <c r="W77" s="204">
        <f t="shared" si="33"/>
        <v>3837.4473311837137</v>
      </c>
      <c r="X77" s="216">
        <f t="shared" ref="X77:X122" si="44">X76+W77</f>
        <v>11498.316993551141</v>
      </c>
      <c r="Z77" s="206">
        <f t="shared" ref="Z77:Z122" si="45">+$D$27-(($D$27+$D$28)*O77/$B$22)</f>
        <v>129268</v>
      </c>
      <c r="AA77" s="193">
        <f t="shared" si="34"/>
        <v>0</v>
      </c>
      <c r="AB77" s="206">
        <f t="shared" si="35"/>
        <v>129268</v>
      </c>
    </row>
    <row r="78" spans="1:31" s="177" customFormat="1" ht="14.65" thickBot="1" x14ac:dyDescent="0.5">
      <c r="A78" s="207">
        <f t="shared" si="36"/>
        <v>4</v>
      </c>
      <c r="B78" s="193" t="s">
        <v>5</v>
      </c>
      <c r="C78" s="208">
        <f>+C10</f>
        <v>0.05</v>
      </c>
      <c r="D78" s="178"/>
      <c r="E78" s="111" t="s">
        <v>52</v>
      </c>
      <c r="F78" s="217">
        <f>(SUM(F75:F77)*G78)*(1-F73)</f>
        <v>0</v>
      </c>
      <c r="G78" s="218">
        <f>+G10</f>
        <v>0</v>
      </c>
      <c r="H78" s="178"/>
      <c r="I78" s="212">
        <f t="shared" si="37"/>
        <v>4</v>
      </c>
      <c r="J78" s="213">
        <f t="shared" si="38"/>
        <v>6273.631412730896</v>
      </c>
      <c r="K78" s="213">
        <f t="shared" si="30"/>
        <v>27.710814594899407</v>
      </c>
      <c r="L78" s="213">
        <f t="shared" si="39"/>
        <v>-204.71927779760827</v>
      </c>
      <c r="M78" s="214">
        <f t="shared" si="28"/>
        <v>6096.6229495281877</v>
      </c>
      <c r="O78" s="212">
        <f t="shared" si="40"/>
        <v>4</v>
      </c>
      <c r="P78" s="215">
        <f t="shared" si="41"/>
        <v>1910.375</v>
      </c>
      <c r="Q78" s="201">
        <f t="shared" si="29"/>
        <v>4538.3946761206898</v>
      </c>
      <c r="R78" s="201">
        <f t="shared" si="31"/>
        <v>-204.71927779760827</v>
      </c>
      <c r="S78" s="213">
        <f t="shared" si="42"/>
        <v>0</v>
      </c>
      <c r="T78" s="213"/>
      <c r="U78" s="213">
        <f t="shared" si="43"/>
        <v>-226.91973380603451</v>
      </c>
      <c r="V78" s="201">
        <f t="shared" si="32"/>
        <v>-264.63333333333338</v>
      </c>
      <c r="W78" s="204">
        <f t="shared" si="33"/>
        <v>3842.1223311837139</v>
      </c>
      <c r="X78" s="216">
        <f t="shared" si="44"/>
        <v>15340.439324734856</v>
      </c>
      <c r="Z78" s="206">
        <f t="shared" si="45"/>
        <v>127024</v>
      </c>
      <c r="AA78" s="193">
        <f t="shared" si="34"/>
        <v>0</v>
      </c>
      <c r="AB78" s="206">
        <f t="shared" si="35"/>
        <v>127024</v>
      </c>
    </row>
    <row r="79" spans="1:31" s="177" customFormat="1" ht="14.65" thickBot="1" x14ac:dyDescent="0.5">
      <c r="A79" s="207">
        <f t="shared" si="36"/>
        <v>5</v>
      </c>
      <c r="B79" s="193" t="s">
        <v>12</v>
      </c>
      <c r="C79" s="208">
        <f>+C11</f>
        <v>0.01</v>
      </c>
      <c r="D79" s="178"/>
      <c r="E79" s="112" t="s">
        <v>28</v>
      </c>
      <c r="F79" s="219">
        <f>SUM(F75:F78)</f>
        <v>6800</v>
      </c>
      <c r="G79" s="113"/>
      <c r="H79" s="178"/>
      <c r="I79" s="212">
        <f t="shared" si="37"/>
        <v>5</v>
      </c>
      <c r="J79" s="213">
        <f t="shared" si="38"/>
        <v>6096.6229495281877</v>
      </c>
      <c r="K79" s="213">
        <f t="shared" si="30"/>
        <v>26.928963003238373</v>
      </c>
      <c r="L79" s="213">
        <f t="shared" si="39"/>
        <v>-204.71927779760827</v>
      </c>
      <c r="M79" s="214">
        <f t="shared" si="28"/>
        <v>5918.8326347338179</v>
      </c>
      <c r="O79" s="212">
        <f t="shared" si="40"/>
        <v>5</v>
      </c>
      <c r="P79" s="215">
        <f t="shared" si="41"/>
        <v>2430.5</v>
      </c>
      <c r="Q79" s="201">
        <f t="shared" si="29"/>
        <v>4538.3946761206898</v>
      </c>
      <c r="R79" s="201">
        <f t="shared" si="31"/>
        <v>-204.71927779760827</v>
      </c>
      <c r="S79" s="213">
        <f t="shared" si="42"/>
        <v>0</v>
      </c>
      <c r="T79" s="213"/>
      <c r="U79" s="213">
        <f t="shared" si="43"/>
        <v>-226.91973380603451</v>
      </c>
      <c r="V79" s="201">
        <f t="shared" si="32"/>
        <v>-259.95833333333331</v>
      </c>
      <c r="W79" s="204">
        <f t="shared" si="33"/>
        <v>3846.7973311837136</v>
      </c>
      <c r="X79" s="216">
        <f t="shared" si="44"/>
        <v>19187.236655918568</v>
      </c>
      <c r="Z79" s="206">
        <f t="shared" si="45"/>
        <v>124780</v>
      </c>
      <c r="AA79" s="193">
        <f t="shared" si="34"/>
        <v>0</v>
      </c>
      <c r="AB79" s="206">
        <f t="shared" si="35"/>
        <v>124780</v>
      </c>
    </row>
    <row r="80" spans="1:31" s="177" customFormat="1" x14ac:dyDescent="0.45">
      <c r="A80" s="207">
        <f t="shared" si="36"/>
        <v>6</v>
      </c>
      <c r="B80" s="193" t="s">
        <v>13</v>
      </c>
      <c r="C80" s="220">
        <v>36</v>
      </c>
      <c r="D80" s="178"/>
      <c r="E80" s="178"/>
      <c r="F80" s="178"/>
      <c r="G80" s="178"/>
      <c r="H80" s="178"/>
      <c r="I80" s="212">
        <f t="shared" si="37"/>
        <v>6</v>
      </c>
      <c r="J80" s="213">
        <f t="shared" si="38"/>
        <v>5918.8326347338179</v>
      </c>
      <c r="K80" s="213">
        <f t="shared" si="30"/>
        <v>26.143657950085593</v>
      </c>
      <c r="L80" s="213">
        <f t="shared" si="39"/>
        <v>-204.71927779760827</v>
      </c>
      <c r="M80" s="214">
        <f t="shared" si="28"/>
        <v>5740.257014886296</v>
      </c>
      <c r="O80" s="212">
        <f t="shared" si="40"/>
        <v>6</v>
      </c>
      <c r="P80" s="215">
        <f t="shared" si="41"/>
        <v>2950.625</v>
      </c>
      <c r="Q80" s="201">
        <f t="shared" si="29"/>
        <v>4538.3946761206898</v>
      </c>
      <c r="R80" s="201">
        <f t="shared" si="31"/>
        <v>-204.71927779760827</v>
      </c>
      <c r="S80" s="213">
        <f t="shared" si="42"/>
        <v>0</v>
      </c>
      <c r="T80" s="213"/>
      <c r="U80" s="213">
        <f t="shared" si="43"/>
        <v>-226.91973380603451</v>
      </c>
      <c r="V80" s="201">
        <f t="shared" si="32"/>
        <v>-255.28333333333333</v>
      </c>
      <c r="W80" s="204">
        <f t="shared" si="33"/>
        <v>3851.4723311837138</v>
      </c>
      <c r="X80" s="216">
        <f t="shared" si="44"/>
        <v>23038.708987102284</v>
      </c>
      <c r="Z80" s="206">
        <f t="shared" si="45"/>
        <v>122536</v>
      </c>
      <c r="AA80" s="193">
        <f t="shared" si="34"/>
        <v>0</v>
      </c>
      <c r="AB80" s="206">
        <f t="shared" si="35"/>
        <v>122536</v>
      </c>
    </row>
    <row r="81" spans="1:28" s="177" customFormat="1" x14ac:dyDescent="0.45">
      <c r="A81" s="207">
        <f t="shared" si="36"/>
        <v>7</v>
      </c>
      <c r="B81" s="193" t="s">
        <v>14</v>
      </c>
      <c r="C81" s="220">
        <f>+C13</f>
        <v>18000</v>
      </c>
      <c r="D81" s="178"/>
      <c r="E81" s="178"/>
      <c r="F81" s="178"/>
      <c r="G81" s="178"/>
      <c r="H81" s="178"/>
      <c r="I81" s="212">
        <f t="shared" si="37"/>
        <v>7</v>
      </c>
      <c r="J81" s="213">
        <f t="shared" si="38"/>
        <v>5740.257014886296</v>
      </c>
      <c r="K81" s="213">
        <f t="shared" si="30"/>
        <v>25.354884181400024</v>
      </c>
      <c r="L81" s="213">
        <f t="shared" si="39"/>
        <v>-204.71927779760827</v>
      </c>
      <c r="M81" s="214">
        <f t="shared" si="28"/>
        <v>5560.8926212700881</v>
      </c>
      <c r="O81" s="212">
        <f t="shared" si="40"/>
        <v>7</v>
      </c>
      <c r="P81" s="215">
        <f t="shared" si="41"/>
        <v>3470.75</v>
      </c>
      <c r="Q81" s="201">
        <f t="shared" si="29"/>
        <v>4538.3946761206898</v>
      </c>
      <c r="R81" s="201">
        <f t="shared" si="31"/>
        <v>-204.71927779760827</v>
      </c>
      <c r="S81" s="213">
        <f t="shared" si="42"/>
        <v>0</v>
      </c>
      <c r="T81" s="213"/>
      <c r="U81" s="213">
        <f t="shared" si="43"/>
        <v>-226.91973380603451</v>
      </c>
      <c r="V81" s="201">
        <f t="shared" si="32"/>
        <v>-250.60833333333335</v>
      </c>
      <c r="W81" s="204">
        <f t="shared" si="33"/>
        <v>3856.1473311837135</v>
      </c>
      <c r="X81" s="216">
        <f t="shared" si="44"/>
        <v>26894.856318285998</v>
      </c>
      <c r="Z81" s="206">
        <f t="shared" si="45"/>
        <v>120292</v>
      </c>
      <c r="AA81" s="193">
        <f t="shared" si="34"/>
        <v>0</v>
      </c>
      <c r="AB81" s="206">
        <f t="shared" si="35"/>
        <v>120292</v>
      </c>
    </row>
    <row r="82" spans="1:28" s="177" customFormat="1" ht="14.65" thickBot="1" x14ac:dyDescent="0.5">
      <c r="A82" s="221">
        <f t="shared" si="36"/>
        <v>8</v>
      </c>
      <c r="B82" s="222" t="s">
        <v>33</v>
      </c>
      <c r="C82" s="208">
        <v>0.7</v>
      </c>
      <c r="D82" s="178"/>
      <c r="E82" s="178"/>
      <c r="F82" s="178"/>
      <c r="G82" s="178"/>
      <c r="H82" s="178"/>
      <c r="I82" s="212">
        <f t="shared" si="37"/>
        <v>8</v>
      </c>
      <c r="J82" s="213">
        <f t="shared" si="38"/>
        <v>5560.8926212700881</v>
      </c>
      <c r="K82" s="213">
        <f t="shared" si="30"/>
        <v>24.562626375763063</v>
      </c>
      <c r="L82" s="213">
        <f t="shared" si="39"/>
        <v>-204.71927779760827</v>
      </c>
      <c r="M82" s="214">
        <f t="shared" si="28"/>
        <v>5380.7359698482433</v>
      </c>
      <c r="O82" s="212">
        <f t="shared" si="40"/>
        <v>8</v>
      </c>
      <c r="P82" s="215">
        <f t="shared" si="41"/>
        <v>3990.875</v>
      </c>
      <c r="Q82" s="201">
        <f t="shared" si="29"/>
        <v>4538.3946761206898</v>
      </c>
      <c r="R82" s="201">
        <f t="shared" si="31"/>
        <v>-204.71927779760827</v>
      </c>
      <c r="S82" s="213">
        <f t="shared" si="42"/>
        <v>0</v>
      </c>
      <c r="T82" s="213"/>
      <c r="U82" s="213">
        <f t="shared" si="43"/>
        <v>-226.91973380603451</v>
      </c>
      <c r="V82" s="201">
        <f t="shared" si="32"/>
        <v>-245.93333333333337</v>
      </c>
      <c r="W82" s="204">
        <f t="shared" si="33"/>
        <v>3860.8223311837137</v>
      </c>
      <c r="X82" s="216">
        <f t="shared" si="44"/>
        <v>30755.678649469712</v>
      </c>
      <c r="Z82" s="206">
        <f t="shared" si="45"/>
        <v>118048</v>
      </c>
      <c r="AA82" s="193">
        <f t="shared" si="34"/>
        <v>0</v>
      </c>
      <c r="AB82" s="206">
        <f t="shared" si="35"/>
        <v>118048</v>
      </c>
    </row>
    <row r="83" spans="1:28" s="177" customFormat="1" ht="14.65" thickBot="1" x14ac:dyDescent="0.5">
      <c r="C83" s="178"/>
      <c r="D83" s="178"/>
      <c r="E83" s="178"/>
      <c r="F83" s="178"/>
      <c r="G83" s="178"/>
      <c r="H83" s="178"/>
      <c r="I83" s="212">
        <f t="shared" si="37"/>
        <v>9</v>
      </c>
      <c r="J83" s="213">
        <f t="shared" si="38"/>
        <v>5380.7359698482433</v>
      </c>
      <c r="K83" s="213">
        <f t="shared" si="30"/>
        <v>23.766869144080953</v>
      </c>
      <c r="L83" s="213">
        <f t="shared" si="39"/>
        <v>-204.71927779760827</v>
      </c>
      <c r="M83" s="214">
        <f t="shared" si="28"/>
        <v>5199.7835611947166</v>
      </c>
      <c r="O83" s="212">
        <f t="shared" si="40"/>
        <v>9</v>
      </c>
      <c r="P83" s="215">
        <f t="shared" si="41"/>
        <v>4511</v>
      </c>
      <c r="Q83" s="201">
        <f t="shared" si="29"/>
        <v>4538.3946761206898</v>
      </c>
      <c r="R83" s="201">
        <f t="shared" si="31"/>
        <v>-204.71927779760827</v>
      </c>
      <c r="S83" s="213">
        <f t="shared" si="42"/>
        <v>0</v>
      </c>
      <c r="T83" s="213"/>
      <c r="U83" s="213">
        <f t="shared" si="43"/>
        <v>-226.91973380603451</v>
      </c>
      <c r="V83" s="201">
        <f>-(AB83*$C$9/12)</f>
        <v>-241.25833333333335</v>
      </c>
      <c r="W83" s="204">
        <f t="shared" si="33"/>
        <v>3865.4973311837139</v>
      </c>
      <c r="X83" s="216">
        <f t="shared" si="44"/>
        <v>34621.175980653425</v>
      </c>
      <c r="Z83" s="206">
        <f t="shared" si="45"/>
        <v>115804</v>
      </c>
      <c r="AA83" s="193">
        <f t="shared" si="34"/>
        <v>0</v>
      </c>
      <c r="AB83" s="206">
        <f t="shared" si="35"/>
        <v>115804</v>
      </c>
    </row>
    <row r="84" spans="1:28" s="177" customFormat="1" ht="16.149999999999999" thickBot="1" x14ac:dyDescent="0.5">
      <c r="A84" s="717" t="s">
        <v>43</v>
      </c>
      <c r="B84" s="718"/>
      <c r="C84" s="718"/>
      <c r="D84" s="718"/>
      <c r="E84" s="719"/>
      <c r="F84" s="223"/>
      <c r="G84" s="223"/>
      <c r="H84" s="224"/>
      <c r="I84" s="212">
        <f t="shared" si="37"/>
        <v>10</v>
      </c>
      <c r="J84" s="213">
        <f t="shared" si="38"/>
        <v>5199.7835611947166</v>
      </c>
      <c r="K84" s="213">
        <f t="shared" si="30"/>
        <v>22.967597029285859</v>
      </c>
      <c r="L84" s="213">
        <f t="shared" si="39"/>
        <v>-204.71927779760827</v>
      </c>
      <c r="M84" s="214">
        <f t="shared" si="28"/>
        <v>5018.0318804263943</v>
      </c>
      <c r="O84" s="212">
        <f t="shared" si="40"/>
        <v>10</v>
      </c>
      <c r="P84" s="215">
        <f t="shared" si="41"/>
        <v>5031.125</v>
      </c>
      <c r="Q84" s="201">
        <f t="shared" si="29"/>
        <v>4538.3946761206898</v>
      </c>
      <c r="R84" s="201">
        <f t="shared" si="31"/>
        <v>-204.71927779760827</v>
      </c>
      <c r="S84" s="213">
        <f t="shared" si="42"/>
        <v>0</v>
      </c>
      <c r="T84" s="213"/>
      <c r="U84" s="213">
        <f t="shared" si="43"/>
        <v>-226.91973380603451</v>
      </c>
      <c r="V84" s="201">
        <f t="shared" ref="V84:V122" si="46">-(AB84*$C$9/12)</f>
        <v>-236.58333333333334</v>
      </c>
      <c r="W84" s="204">
        <f t="shared" si="33"/>
        <v>3870.1723311837136</v>
      </c>
      <c r="X84" s="216">
        <f t="shared" si="44"/>
        <v>38491.348311837137</v>
      </c>
      <c r="Z84" s="206">
        <f t="shared" si="45"/>
        <v>113560</v>
      </c>
      <c r="AA84" s="193">
        <f t="shared" si="34"/>
        <v>0</v>
      </c>
      <c r="AB84" s="206">
        <f t="shared" si="35"/>
        <v>113560</v>
      </c>
    </row>
    <row r="85" spans="1:28" s="177" customFormat="1" ht="14.65" thickBot="1" x14ac:dyDescent="0.5">
      <c r="A85" s="225" t="s">
        <v>44</v>
      </c>
      <c r="B85" s="226" t="s">
        <v>48</v>
      </c>
      <c r="C85" s="226" t="s">
        <v>45</v>
      </c>
      <c r="D85" s="227" t="s">
        <v>46</v>
      </c>
      <c r="E85" s="192" t="s">
        <v>47</v>
      </c>
      <c r="F85" s="223"/>
      <c r="G85" s="223"/>
      <c r="H85" s="224"/>
      <c r="I85" s="212">
        <f t="shared" si="37"/>
        <v>11</v>
      </c>
      <c r="J85" s="213">
        <f t="shared" si="38"/>
        <v>5018.0318804263943</v>
      </c>
      <c r="K85" s="213">
        <f t="shared" si="30"/>
        <v>22.164794506035619</v>
      </c>
      <c r="L85" s="213">
        <f t="shared" si="39"/>
        <v>-204.71927779760827</v>
      </c>
      <c r="M85" s="214">
        <f t="shared" si="28"/>
        <v>4835.4773971348222</v>
      </c>
      <c r="O85" s="212">
        <f t="shared" si="40"/>
        <v>11</v>
      </c>
      <c r="P85" s="215">
        <f t="shared" si="41"/>
        <v>5551.25</v>
      </c>
      <c r="Q85" s="201">
        <f t="shared" si="29"/>
        <v>4538.3946761206898</v>
      </c>
      <c r="R85" s="201">
        <f t="shared" si="31"/>
        <v>-204.71927779760827</v>
      </c>
      <c r="S85" s="213">
        <f t="shared" si="42"/>
        <v>0</v>
      </c>
      <c r="T85" s="213"/>
      <c r="U85" s="213">
        <f t="shared" si="43"/>
        <v>-226.91973380603451</v>
      </c>
      <c r="V85" s="201">
        <f t="shared" si="46"/>
        <v>-231.90833333333333</v>
      </c>
      <c r="W85" s="204">
        <f t="shared" si="33"/>
        <v>3874.8473311837138</v>
      </c>
      <c r="X85" s="216">
        <f t="shared" si="44"/>
        <v>42366.195643020852</v>
      </c>
      <c r="Z85" s="206">
        <f t="shared" si="45"/>
        <v>111316</v>
      </c>
      <c r="AA85" s="193">
        <f t="shared" si="34"/>
        <v>0</v>
      </c>
      <c r="AB85" s="206">
        <f t="shared" si="35"/>
        <v>111316</v>
      </c>
    </row>
    <row r="86" spans="1:28" s="177" customFormat="1" x14ac:dyDescent="0.45">
      <c r="A86" s="228">
        <v>1</v>
      </c>
      <c r="B86" s="229">
        <v>12</v>
      </c>
      <c r="C86" s="230">
        <f>D$27-(D$27+D$28)*B86/60</f>
        <v>109072</v>
      </c>
      <c r="D86" s="231">
        <v>0.1</v>
      </c>
      <c r="E86" s="232">
        <f t="shared" ref="E86:E91" si="47">C86/(100%-D86)</f>
        <v>121191.11111111111</v>
      </c>
      <c r="F86" s="178"/>
      <c r="G86" s="178"/>
      <c r="H86" s="178"/>
      <c r="I86" s="212">
        <f t="shared" si="37"/>
        <v>12</v>
      </c>
      <c r="J86" s="213">
        <f t="shared" si="38"/>
        <v>4835.4773971348222</v>
      </c>
      <c r="K86" s="213">
        <f t="shared" si="30"/>
        <v>21.358445980412188</v>
      </c>
      <c r="L86" s="213">
        <f t="shared" si="39"/>
        <v>-204.71927779760827</v>
      </c>
      <c r="M86" s="214">
        <f t="shared" si="28"/>
        <v>4652.1165653176267</v>
      </c>
      <c r="O86" s="212">
        <f t="shared" si="40"/>
        <v>12</v>
      </c>
      <c r="P86" s="215">
        <f t="shared" si="41"/>
        <v>6071.375</v>
      </c>
      <c r="Q86" s="201">
        <f t="shared" si="29"/>
        <v>4538.3946761206898</v>
      </c>
      <c r="R86" s="201">
        <f t="shared" si="31"/>
        <v>-204.71927779760827</v>
      </c>
      <c r="S86" s="213">
        <f t="shared" si="42"/>
        <v>0</v>
      </c>
      <c r="T86" s="213"/>
      <c r="U86" s="213">
        <f t="shared" si="43"/>
        <v>-226.91973380603451</v>
      </c>
      <c r="V86" s="201">
        <f t="shared" si="46"/>
        <v>-227.23333333333335</v>
      </c>
      <c r="W86" s="204">
        <f t="shared" si="33"/>
        <v>3879.5223311837135</v>
      </c>
      <c r="X86" s="216">
        <f t="shared" si="44"/>
        <v>46245.717974204563</v>
      </c>
      <c r="Z86" s="206">
        <f t="shared" si="45"/>
        <v>109072</v>
      </c>
      <c r="AA86" s="193">
        <f t="shared" si="34"/>
        <v>0</v>
      </c>
      <c r="AB86" s="206">
        <f t="shared" si="35"/>
        <v>109072</v>
      </c>
    </row>
    <row r="87" spans="1:28" s="177" customFormat="1" x14ac:dyDescent="0.45">
      <c r="A87" s="207">
        <f>A86+1</f>
        <v>2</v>
      </c>
      <c r="B87" s="193">
        <f>B86+12</f>
        <v>24</v>
      </c>
      <c r="C87" s="206">
        <f>D$27-(D$27+D$28)*B87/60</f>
        <v>82144</v>
      </c>
      <c r="D87" s="233">
        <f>D86</f>
        <v>0.1</v>
      </c>
      <c r="E87" s="234">
        <f t="shared" si="47"/>
        <v>91271.111111111109</v>
      </c>
      <c r="F87" s="178"/>
      <c r="G87" s="178"/>
      <c r="H87" s="178"/>
      <c r="I87" s="212">
        <f t="shared" si="37"/>
        <v>13</v>
      </c>
      <c r="J87" s="213">
        <f t="shared" si="38"/>
        <v>4652.1165653176267</v>
      </c>
      <c r="K87" s="213">
        <f t="shared" si="30"/>
        <v>20.548535789618708</v>
      </c>
      <c r="L87" s="213">
        <f t="shared" si="39"/>
        <v>-204.71927779760827</v>
      </c>
      <c r="M87" s="214">
        <f t="shared" si="28"/>
        <v>4467.9458233096375</v>
      </c>
      <c r="O87" s="212">
        <f t="shared" si="40"/>
        <v>13</v>
      </c>
      <c r="P87" s="215">
        <f t="shared" si="41"/>
        <v>6591.5</v>
      </c>
      <c r="Q87" s="201">
        <f t="shared" si="29"/>
        <v>4538.3946761206898</v>
      </c>
      <c r="R87" s="201">
        <f t="shared" si="31"/>
        <v>-204.71927779760827</v>
      </c>
      <c r="S87" s="213">
        <f t="shared" si="42"/>
        <v>0</v>
      </c>
      <c r="T87" s="213"/>
      <c r="U87" s="213">
        <f t="shared" si="43"/>
        <v>-226.91973380603451</v>
      </c>
      <c r="V87" s="201">
        <f t="shared" si="46"/>
        <v>-222.55833333333337</v>
      </c>
      <c r="W87" s="204">
        <f t="shared" si="33"/>
        <v>3884.1973311837137</v>
      </c>
      <c r="X87" s="216">
        <f t="shared" si="44"/>
        <v>50129.915305388276</v>
      </c>
      <c r="Z87" s="206">
        <f t="shared" si="45"/>
        <v>106828</v>
      </c>
      <c r="AA87" s="193">
        <f t="shared" si="34"/>
        <v>0</v>
      </c>
      <c r="AB87" s="206">
        <f t="shared" si="35"/>
        <v>106828</v>
      </c>
    </row>
    <row r="88" spans="1:28" s="177" customFormat="1" x14ac:dyDescent="0.45">
      <c r="A88" s="207">
        <f>A87+1</f>
        <v>3</v>
      </c>
      <c r="B88" s="193">
        <f>B87+12</f>
        <v>36</v>
      </c>
      <c r="C88" s="206">
        <f>D$27-(D$27+D$28)*B88/60</f>
        <v>55216</v>
      </c>
      <c r="D88" s="233">
        <f>D87</f>
        <v>0.1</v>
      </c>
      <c r="E88" s="234">
        <f t="shared" si="47"/>
        <v>61351.111111111109</v>
      </c>
      <c r="F88" s="178"/>
      <c r="G88" s="178"/>
      <c r="H88" s="178"/>
      <c r="I88" s="212">
        <f t="shared" si="37"/>
        <v>14</v>
      </c>
      <c r="J88" s="213">
        <f t="shared" si="38"/>
        <v>4467.9458233096375</v>
      </c>
      <c r="K88" s="213">
        <f t="shared" si="30"/>
        <v>19.735048201675305</v>
      </c>
      <c r="L88" s="213">
        <f t="shared" si="39"/>
        <v>-204.71927779760827</v>
      </c>
      <c r="M88" s="214">
        <f t="shared" si="28"/>
        <v>4282.961593713705</v>
      </c>
      <c r="O88" s="212">
        <f t="shared" si="40"/>
        <v>14</v>
      </c>
      <c r="P88" s="215">
        <f t="shared" si="41"/>
        <v>7111.625</v>
      </c>
      <c r="Q88" s="201">
        <f t="shared" si="29"/>
        <v>4538.3946761206898</v>
      </c>
      <c r="R88" s="201">
        <f t="shared" si="31"/>
        <v>-204.71927779760827</v>
      </c>
      <c r="S88" s="213">
        <f t="shared" si="42"/>
        <v>0</v>
      </c>
      <c r="T88" s="213"/>
      <c r="U88" s="213">
        <f t="shared" si="43"/>
        <v>-226.91973380603451</v>
      </c>
      <c r="V88" s="201">
        <f t="shared" si="46"/>
        <v>-217.88333333333335</v>
      </c>
      <c r="W88" s="204">
        <f t="shared" si="33"/>
        <v>3888.8723311837139</v>
      </c>
      <c r="X88" s="216">
        <f t="shared" si="44"/>
        <v>54018.787636571993</v>
      </c>
      <c r="Z88" s="206">
        <f t="shared" si="45"/>
        <v>104584</v>
      </c>
      <c r="AA88" s="193">
        <f t="shared" si="34"/>
        <v>0</v>
      </c>
      <c r="AB88" s="206">
        <f t="shared" si="35"/>
        <v>104584</v>
      </c>
    </row>
    <row r="89" spans="1:28" s="177" customFormat="1" x14ac:dyDescent="0.45">
      <c r="A89" s="207">
        <f>A88+1</f>
        <v>4</v>
      </c>
      <c r="B89" s="193">
        <f>B88+12</f>
        <v>48</v>
      </c>
      <c r="C89" s="206">
        <f>D$27-(D$27+D$28)*B89/60</f>
        <v>28288</v>
      </c>
      <c r="D89" s="233">
        <f>D88</f>
        <v>0.1</v>
      </c>
      <c r="E89" s="234">
        <f t="shared" si="47"/>
        <v>31431.111111111109</v>
      </c>
      <c r="F89" s="178"/>
      <c r="G89" s="178"/>
      <c r="H89" s="178"/>
      <c r="I89" s="212">
        <f t="shared" si="37"/>
        <v>15</v>
      </c>
      <c r="J89" s="213">
        <f t="shared" si="38"/>
        <v>4282.961593713705</v>
      </c>
      <c r="K89" s="213">
        <f t="shared" si="30"/>
        <v>18.91796741511347</v>
      </c>
      <c r="L89" s="213">
        <f t="shared" si="39"/>
        <v>-204.71927779760827</v>
      </c>
      <c r="M89" s="214">
        <f t="shared" si="28"/>
        <v>4097.1602833312108</v>
      </c>
      <c r="O89" s="212">
        <f t="shared" si="40"/>
        <v>15</v>
      </c>
      <c r="P89" s="215">
        <f t="shared" si="41"/>
        <v>7631.75</v>
      </c>
      <c r="Q89" s="201">
        <f t="shared" si="29"/>
        <v>4538.3946761206898</v>
      </c>
      <c r="R89" s="201">
        <f t="shared" si="31"/>
        <v>-204.71927779760827</v>
      </c>
      <c r="S89" s="213">
        <f t="shared" si="42"/>
        <v>0</v>
      </c>
      <c r="T89" s="213"/>
      <c r="U89" s="213">
        <f t="shared" si="43"/>
        <v>-226.91973380603451</v>
      </c>
      <c r="V89" s="201">
        <f t="shared" si="46"/>
        <v>-213.20833333333334</v>
      </c>
      <c r="W89" s="204">
        <f t="shared" si="33"/>
        <v>3893.5473311837136</v>
      </c>
      <c r="X89" s="216">
        <f t="shared" si="44"/>
        <v>57912.334967755705</v>
      </c>
      <c r="Z89" s="206">
        <f t="shared" si="45"/>
        <v>102340</v>
      </c>
      <c r="AA89" s="193">
        <f t="shared" si="34"/>
        <v>0</v>
      </c>
      <c r="AB89" s="206">
        <f t="shared" si="35"/>
        <v>102340</v>
      </c>
    </row>
    <row r="90" spans="1:28" s="177" customFormat="1" x14ac:dyDescent="0.45">
      <c r="A90" s="207">
        <f>A89+1</f>
        <v>5</v>
      </c>
      <c r="B90" s="193">
        <f>B89+12</f>
        <v>60</v>
      </c>
      <c r="C90" s="206">
        <f>D$27-(D$27+D$28)*B90/60</f>
        <v>1360</v>
      </c>
      <c r="D90" s="233">
        <f>D89</f>
        <v>0.1</v>
      </c>
      <c r="E90" s="234">
        <f t="shared" si="47"/>
        <v>1511.1111111111111</v>
      </c>
      <c r="F90" s="178"/>
      <c r="G90" s="178"/>
      <c r="H90" s="178"/>
      <c r="I90" s="212">
        <f t="shared" si="37"/>
        <v>16</v>
      </c>
      <c r="J90" s="213">
        <f t="shared" si="38"/>
        <v>4097.1602833312108</v>
      </c>
      <c r="K90" s="213">
        <f t="shared" si="30"/>
        <v>18.097277558669155</v>
      </c>
      <c r="L90" s="213">
        <f t="shared" si="39"/>
        <v>-204.71927779760827</v>
      </c>
      <c r="M90" s="214">
        <f t="shared" si="28"/>
        <v>3910.5382830922713</v>
      </c>
      <c r="O90" s="212">
        <f t="shared" si="40"/>
        <v>16</v>
      </c>
      <c r="P90" s="215">
        <f t="shared" si="41"/>
        <v>8151.875</v>
      </c>
      <c r="Q90" s="201">
        <f t="shared" si="29"/>
        <v>4538.3946761206898</v>
      </c>
      <c r="R90" s="201">
        <f t="shared" si="31"/>
        <v>-204.71927779760827</v>
      </c>
      <c r="S90" s="213">
        <f t="shared" si="42"/>
        <v>0</v>
      </c>
      <c r="T90" s="213"/>
      <c r="U90" s="213">
        <f t="shared" si="43"/>
        <v>-226.91973380603451</v>
      </c>
      <c r="V90" s="201">
        <f t="shared" si="46"/>
        <v>-208.53333333333333</v>
      </c>
      <c r="W90" s="204">
        <f t="shared" si="33"/>
        <v>3898.2223311837138</v>
      </c>
      <c r="X90" s="216">
        <f t="shared" si="44"/>
        <v>61810.55729893942</v>
      </c>
      <c r="Z90" s="206">
        <f t="shared" si="45"/>
        <v>100096</v>
      </c>
      <c r="AA90" s="193">
        <f t="shared" si="34"/>
        <v>0</v>
      </c>
      <c r="AB90" s="206">
        <f t="shared" si="35"/>
        <v>100096</v>
      </c>
    </row>
    <row r="91" spans="1:28" s="177" customFormat="1" ht="14.65" thickBot="1" x14ac:dyDescent="0.5">
      <c r="A91" s="221">
        <f>A90+1</f>
        <v>6</v>
      </c>
      <c r="B91" s="222">
        <f>B90+12</f>
        <v>72</v>
      </c>
      <c r="C91" s="235">
        <v>1</v>
      </c>
      <c r="D91" s="236">
        <f>D90</f>
        <v>0.1</v>
      </c>
      <c r="E91" s="237">
        <f t="shared" si="47"/>
        <v>1.1111111111111112</v>
      </c>
      <c r="H91" s="178"/>
      <c r="I91" s="212">
        <f t="shared" si="37"/>
        <v>17</v>
      </c>
      <c r="J91" s="213">
        <f t="shared" si="38"/>
        <v>3910.5382830922713</v>
      </c>
      <c r="K91" s="213">
        <f t="shared" si="30"/>
        <v>17.272962690974463</v>
      </c>
      <c r="L91" s="213">
        <f t="shared" si="39"/>
        <v>-204.71927779760827</v>
      </c>
      <c r="M91" s="214">
        <f t="shared" si="28"/>
        <v>3723.0919679856374</v>
      </c>
      <c r="O91" s="212">
        <f t="shared" si="40"/>
        <v>17</v>
      </c>
      <c r="P91" s="215">
        <f t="shared" si="41"/>
        <v>8672</v>
      </c>
      <c r="Q91" s="201">
        <f t="shared" si="29"/>
        <v>4538.3946761206898</v>
      </c>
      <c r="R91" s="201">
        <f t="shared" si="31"/>
        <v>-204.71927779760827</v>
      </c>
      <c r="S91" s="213">
        <f t="shared" si="42"/>
        <v>0</v>
      </c>
      <c r="T91" s="213"/>
      <c r="U91" s="213">
        <f t="shared" si="43"/>
        <v>-226.91973380603451</v>
      </c>
      <c r="V91" s="201">
        <f t="shared" si="46"/>
        <v>-203.85833333333335</v>
      </c>
      <c r="W91" s="204">
        <f t="shared" si="33"/>
        <v>3902.8973311837135</v>
      </c>
      <c r="X91" s="216">
        <f t="shared" si="44"/>
        <v>65713.454630123131</v>
      </c>
      <c r="Z91" s="206">
        <f t="shared" si="45"/>
        <v>97852</v>
      </c>
      <c r="AA91" s="193">
        <f t="shared" si="34"/>
        <v>0</v>
      </c>
      <c r="AB91" s="206">
        <f t="shared" si="35"/>
        <v>97852</v>
      </c>
    </row>
    <row r="92" spans="1:28" s="177" customFormat="1" ht="14.65" thickBot="1" x14ac:dyDescent="0.5">
      <c r="H92" s="178"/>
      <c r="I92" s="212">
        <f>I91+1</f>
        <v>18</v>
      </c>
      <c r="J92" s="213">
        <f>M91</f>
        <v>3723.0919679856374</v>
      </c>
      <c r="K92" s="213">
        <f t="shared" si="30"/>
        <v>16.445006800248017</v>
      </c>
      <c r="L92" s="213">
        <f>L91</f>
        <v>-204.71927779760827</v>
      </c>
      <c r="M92" s="214">
        <f t="shared" si="28"/>
        <v>3534.817696988277</v>
      </c>
      <c r="O92" s="212">
        <f>O91+1</f>
        <v>18</v>
      </c>
      <c r="P92" s="215">
        <f t="shared" si="41"/>
        <v>9192.125</v>
      </c>
      <c r="Q92" s="201">
        <f t="shared" si="29"/>
        <v>4538.3946761206898</v>
      </c>
      <c r="R92" s="201">
        <f t="shared" si="31"/>
        <v>-204.71927779760827</v>
      </c>
      <c r="S92" s="213">
        <f t="shared" si="42"/>
        <v>0</v>
      </c>
      <c r="T92" s="213"/>
      <c r="U92" s="213">
        <f t="shared" si="43"/>
        <v>-226.91973380603451</v>
      </c>
      <c r="V92" s="201">
        <f t="shared" si="46"/>
        <v>-199.18333333333337</v>
      </c>
      <c r="W92" s="204">
        <f t="shared" si="33"/>
        <v>3907.5723311837137</v>
      </c>
      <c r="X92" s="216">
        <f t="shared" si="44"/>
        <v>69621.026961306838</v>
      </c>
      <c r="Z92" s="206">
        <f t="shared" si="45"/>
        <v>95608</v>
      </c>
      <c r="AA92" s="193">
        <f t="shared" si="34"/>
        <v>0</v>
      </c>
      <c r="AB92" s="206">
        <f t="shared" si="35"/>
        <v>95608</v>
      </c>
    </row>
    <row r="93" spans="1:28" s="177" customFormat="1" ht="31.15" thickBot="1" x14ac:dyDescent="0.5">
      <c r="A93" s="720" t="s">
        <v>21</v>
      </c>
      <c r="B93" s="721"/>
      <c r="C93" s="721"/>
      <c r="D93" s="721"/>
      <c r="E93" s="721"/>
      <c r="F93" s="721"/>
      <c r="G93" s="722"/>
      <c r="H93" s="178"/>
      <c r="I93" s="212">
        <f t="shared" si="37"/>
        <v>19</v>
      </c>
      <c r="J93" s="213">
        <f t="shared" ref="J93:J110" si="48">M92</f>
        <v>3534.817696988277</v>
      </c>
      <c r="K93" s="213">
        <f t="shared" si="30"/>
        <v>15.61339380398392</v>
      </c>
      <c r="L93" s="213">
        <f t="shared" si="39"/>
        <v>-204.71927779760827</v>
      </c>
      <c r="M93" s="214">
        <f t="shared" si="28"/>
        <v>3345.7118129946525</v>
      </c>
      <c r="O93" s="212">
        <f t="shared" si="40"/>
        <v>19</v>
      </c>
      <c r="P93" s="215">
        <f t="shared" si="41"/>
        <v>9712.25</v>
      </c>
      <c r="Q93" s="201">
        <f t="shared" si="29"/>
        <v>4538.3946761206898</v>
      </c>
      <c r="R93" s="201">
        <f t="shared" si="31"/>
        <v>-204.71927779760827</v>
      </c>
      <c r="S93" s="213">
        <f t="shared" si="42"/>
        <v>0</v>
      </c>
      <c r="T93" s="213"/>
      <c r="U93" s="213">
        <f t="shared" si="43"/>
        <v>-226.91973380603451</v>
      </c>
      <c r="V93" s="201">
        <f t="shared" si="46"/>
        <v>-194.50833333333333</v>
      </c>
      <c r="W93" s="204">
        <f t="shared" si="33"/>
        <v>3912.2473311837139</v>
      </c>
      <c r="X93" s="216">
        <f t="shared" si="44"/>
        <v>73533.274292490547</v>
      </c>
      <c r="Z93" s="206">
        <f t="shared" si="45"/>
        <v>93364</v>
      </c>
      <c r="AA93" s="193">
        <f t="shared" si="34"/>
        <v>0</v>
      </c>
      <c r="AB93" s="206">
        <f t="shared" si="35"/>
        <v>93364</v>
      </c>
    </row>
    <row r="94" spans="1:28" s="177" customFormat="1" ht="28.9" thickBot="1" x14ac:dyDescent="0.5">
      <c r="A94" s="238" t="s">
        <v>0</v>
      </c>
      <c r="B94" s="239" t="s">
        <v>1</v>
      </c>
      <c r="C94" s="240" t="s">
        <v>22</v>
      </c>
      <c r="D94" s="240" t="s">
        <v>10</v>
      </c>
      <c r="E94" s="240" t="s">
        <v>23</v>
      </c>
      <c r="F94" s="240" t="s">
        <v>24</v>
      </c>
      <c r="G94" s="241" t="s">
        <v>25</v>
      </c>
      <c r="H94" s="178"/>
      <c r="I94" s="212">
        <f t="shared" si="37"/>
        <v>20</v>
      </c>
      <c r="J94" s="213">
        <f t="shared" si="48"/>
        <v>3345.7118129946525</v>
      </c>
      <c r="K94" s="213">
        <f t="shared" si="30"/>
        <v>14.778107548639378</v>
      </c>
      <c r="L94" s="213">
        <f t="shared" si="39"/>
        <v>-204.71927779760827</v>
      </c>
      <c r="M94" s="214">
        <f t="shared" si="28"/>
        <v>3155.7706427456837</v>
      </c>
      <c r="O94" s="212">
        <f t="shared" si="40"/>
        <v>20</v>
      </c>
      <c r="P94" s="215">
        <f t="shared" si="41"/>
        <v>10232.375</v>
      </c>
      <c r="Q94" s="201">
        <f t="shared" si="29"/>
        <v>4538.3946761206898</v>
      </c>
      <c r="R94" s="201">
        <f t="shared" si="31"/>
        <v>-204.71927779760827</v>
      </c>
      <c r="S94" s="213">
        <f t="shared" si="42"/>
        <v>0</v>
      </c>
      <c r="T94" s="213"/>
      <c r="U94" s="213">
        <f t="shared" si="43"/>
        <v>-226.91973380603451</v>
      </c>
      <c r="V94" s="201">
        <f t="shared" si="46"/>
        <v>-189.83333333333334</v>
      </c>
      <c r="W94" s="204">
        <f t="shared" si="33"/>
        <v>3916.9223311837136</v>
      </c>
      <c r="X94" s="216">
        <f t="shared" si="44"/>
        <v>77450.196623674259</v>
      </c>
      <c r="Z94" s="206">
        <f t="shared" si="45"/>
        <v>91120</v>
      </c>
      <c r="AA94" s="193">
        <f t="shared" si="34"/>
        <v>0</v>
      </c>
      <c r="AB94" s="206">
        <f t="shared" si="35"/>
        <v>91120</v>
      </c>
    </row>
    <row r="95" spans="1:28" s="177" customFormat="1" x14ac:dyDescent="0.45">
      <c r="A95" s="194">
        <v>1</v>
      </c>
      <c r="B95" s="195" t="s">
        <v>16</v>
      </c>
      <c r="C95" s="242">
        <v>1</v>
      </c>
      <c r="D95" s="243">
        <f>+C75*C95</f>
        <v>6800</v>
      </c>
      <c r="E95" s="244">
        <v>0.5</v>
      </c>
      <c r="F95" s="245">
        <f>E95*D95</f>
        <v>3400</v>
      </c>
      <c r="G95" s="246">
        <f>D95-F95</f>
        <v>3400</v>
      </c>
      <c r="H95" s="178"/>
      <c r="I95" s="212">
        <f t="shared" si="37"/>
        <v>21</v>
      </c>
      <c r="J95" s="213">
        <f t="shared" si="48"/>
        <v>3155.7706427456837</v>
      </c>
      <c r="K95" s="213">
        <f t="shared" si="30"/>
        <v>13.939131809320921</v>
      </c>
      <c r="L95" s="213">
        <f t="shared" si="39"/>
        <v>-204.71927779760827</v>
      </c>
      <c r="M95" s="214">
        <f t="shared" si="28"/>
        <v>2964.9904967573962</v>
      </c>
      <c r="O95" s="212">
        <f t="shared" si="40"/>
        <v>21</v>
      </c>
      <c r="P95" s="215">
        <f t="shared" si="41"/>
        <v>10752.5</v>
      </c>
      <c r="Q95" s="201">
        <f t="shared" si="29"/>
        <v>4538.3946761206898</v>
      </c>
      <c r="R95" s="201">
        <f t="shared" si="31"/>
        <v>-204.71927779760827</v>
      </c>
      <c r="S95" s="213">
        <f t="shared" si="42"/>
        <v>0</v>
      </c>
      <c r="T95" s="213"/>
      <c r="U95" s="213">
        <f t="shared" si="43"/>
        <v>-226.91973380603451</v>
      </c>
      <c r="V95" s="201">
        <f t="shared" si="46"/>
        <v>-185.15833333333333</v>
      </c>
      <c r="W95" s="204">
        <f t="shared" si="33"/>
        <v>3921.5973311837138</v>
      </c>
      <c r="X95" s="216">
        <f t="shared" si="44"/>
        <v>81371.793954857974</v>
      </c>
      <c r="Z95" s="206">
        <f t="shared" si="45"/>
        <v>88876</v>
      </c>
      <c r="AA95" s="193">
        <f t="shared" si="34"/>
        <v>0</v>
      </c>
      <c r="AB95" s="206">
        <f t="shared" si="35"/>
        <v>88876</v>
      </c>
    </row>
    <row r="96" spans="1:28" s="177" customFormat="1" x14ac:dyDescent="0.45">
      <c r="A96" s="207">
        <f>A95+1</f>
        <v>2</v>
      </c>
      <c r="B96" s="193" t="s">
        <v>12</v>
      </c>
      <c r="C96" s="247">
        <f>C79</f>
        <v>0.01</v>
      </c>
      <c r="D96" s="248">
        <f>-C96*C75</f>
        <v>-68</v>
      </c>
      <c r="E96" s="249">
        <f>E95</f>
        <v>0.5</v>
      </c>
      <c r="F96" s="213">
        <f t="shared" ref="F96:F101" si="49">E96*D96</f>
        <v>-34</v>
      </c>
      <c r="G96" s="214">
        <f>D96-F96</f>
        <v>-34</v>
      </c>
      <c r="H96" s="178"/>
      <c r="I96" s="212">
        <f t="shared" si="37"/>
        <v>22</v>
      </c>
      <c r="J96" s="213">
        <f t="shared" si="48"/>
        <v>2964.9904967573962</v>
      </c>
      <c r="K96" s="213">
        <f t="shared" si="30"/>
        <v>13.096450289469248</v>
      </c>
      <c r="L96" s="213">
        <f t="shared" si="39"/>
        <v>-204.71927779760827</v>
      </c>
      <c r="M96" s="214">
        <f t="shared" si="28"/>
        <v>2773.3676692492572</v>
      </c>
      <c r="O96" s="212">
        <f t="shared" si="40"/>
        <v>22</v>
      </c>
      <c r="P96" s="215">
        <f t="shared" si="41"/>
        <v>11272.625</v>
      </c>
      <c r="Q96" s="201">
        <f t="shared" si="29"/>
        <v>4538.3946761206898</v>
      </c>
      <c r="R96" s="201">
        <f t="shared" si="31"/>
        <v>-204.71927779760827</v>
      </c>
      <c r="S96" s="213">
        <f t="shared" si="42"/>
        <v>0</v>
      </c>
      <c r="T96" s="213"/>
      <c r="U96" s="213">
        <f t="shared" si="43"/>
        <v>-226.91973380603451</v>
      </c>
      <c r="V96" s="201">
        <f t="shared" si="46"/>
        <v>-180.48333333333335</v>
      </c>
      <c r="W96" s="204">
        <f t="shared" si="33"/>
        <v>3926.2723311837135</v>
      </c>
      <c r="X96" s="216">
        <f t="shared" si="44"/>
        <v>85298.066286041692</v>
      </c>
      <c r="Z96" s="206">
        <f t="shared" si="45"/>
        <v>86632</v>
      </c>
      <c r="AA96" s="193">
        <f t="shared" si="34"/>
        <v>0</v>
      </c>
      <c r="AB96" s="206">
        <f t="shared" si="35"/>
        <v>86632</v>
      </c>
    </row>
    <row r="97" spans="1:28" s="177" customFormat="1" x14ac:dyDescent="0.45">
      <c r="A97" s="207">
        <f t="shared" ref="A97:A102" si="50">A96+1</f>
        <v>3</v>
      </c>
      <c r="B97" s="193" t="s">
        <v>17</v>
      </c>
      <c r="C97" s="250">
        <f>C76</f>
        <v>5.2999999999999999E-2</v>
      </c>
      <c r="D97" s="213">
        <f>K123</f>
        <v>569.94587966263168</v>
      </c>
      <c r="E97" s="249">
        <v>1</v>
      </c>
      <c r="F97" s="213">
        <f t="shared" si="49"/>
        <v>569.94587966263168</v>
      </c>
      <c r="G97" s="214">
        <f>D97-F97</f>
        <v>0</v>
      </c>
      <c r="H97" s="178"/>
      <c r="I97" s="212">
        <f t="shared" si="37"/>
        <v>23</v>
      </c>
      <c r="J97" s="213">
        <f t="shared" si="48"/>
        <v>2773.3676692492572</v>
      </c>
      <c r="K97" s="213">
        <f t="shared" si="30"/>
        <v>12.250046620542674</v>
      </c>
      <c r="L97" s="213">
        <f t="shared" si="39"/>
        <v>-204.71927779760827</v>
      </c>
      <c r="M97" s="214">
        <f t="shared" si="28"/>
        <v>2580.8984380721918</v>
      </c>
      <c r="O97" s="212">
        <f t="shared" si="40"/>
        <v>23</v>
      </c>
      <c r="P97" s="215">
        <f t="shared" si="41"/>
        <v>11792.75</v>
      </c>
      <c r="Q97" s="201">
        <f t="shared" si="29"/>
        <v>4538.3946761206898</v>
      </c>
      <c r="R97" s="201">
        <f t="shared" si="31"/>
        <v>-204.71927779760827</v>
      </c>
      <c r="S97" s="213">
        <f t="shared" si="42"/>
        <v>0</v>
      </c>
      <c r="T97" s="213"/>
      <c r="U97" s="213">
        <f t="shared" si="43"/>
        <v>-226.91973380603451</v>
      </c>
      <c r="V97" s="201">
        <f t="shared" si="46"/>
        <v>-175.80833333333337</v>
      </c>
      <c r="W97" s="204">
        <f t="shared" si="33"/>
        <v>3930.9473311837137</v>
      </c>
      <c r="X97" s="216">
        <f t="shared" si="44"/>
        <v>89229.013617225399</v>
      </c>
      <c r="Z97" s="206">
        <f t="shared" si="45"/>
        <v>84388</v>
      </c>
      <c r="AA97" s="193">
        <f t="shared" si="34"/>
        <v>0</v>
      </c>
      <c r="AB97" s="206">
        <f t="shared" si="35"/>
        <v>84388</v>
      </c>
    </row>
    <row r="98" spans="1:28" s="177" customFormat="1" x14ac:dyDescent="0.45">
      <c r="A98" s="207">
        <f t="shared" si="50"/>
        <v>4</v>
      </c>
      <c r="B98" s="193" t="s">
        <v>6</v>
      </c>
      <c r="C98" s="249">
        <f>C77</f>
        <v>2.5000000000000001E-2</v>
      </c>
      <c r="D98" s="213">
        <f>-V123</f>
        <v>8102.2000000000025</v>
      </c>
      <c r="E98" s="249">
        <v>1</v>
      </c>
      <c r="F98" s="213">
        <f t="shared" si="49"/>
        <v>8102.2000000000025</v>
      </c>
      <c r="G98" s="214">
        <f>D98-F98</f>
        <v>0</v>
      </c>
      <c r="H98" s="178"/>
      <c r="I98" s="212">
        <f t="shared" si="37"/>
        <v>24</v>
      </c>
      <c r="J98" s="213">
        <f t="shared" si="48"/>
        <v>2580.8984380721918</v>
      </c>
      <c r="K98" s="213">
        <f t="shared" si="30"/>
        <v>11.399904361699187</v>
      </c>
      <c r="L98" s="213">
        <f t="shared" si="39"/>
        <v>-204.71927779760827</v>
      </c>
      <c r="M98" s="214">
        <f t="shared" si="28"/>
        <v>2387.5790646362825</v>
      </c>
      <c r="O98" s="212">
        <f t="shared" si="40"/>
        <v>24</v>
      </c>
      <c r="P98" s="215">
        <f t="shared" si="41"/>
        <v>12312.875</v>
      </c>
      <c r="Q98" s="201">
        <f t="shared" si="29"/>
        <v>4538.3946761206898</v>
      </c>
      <c r="R98" s="201">
        <f t="shared" si="31"/>
        <v>-204.71927779760827</v>
      </c>
      <c r="S98" s="213">
        <f t="shared" si="42"/>
        <v>0</v>
      </c>
      <c r="T98" s="213"/>
      <c r="U98" s="213">
        <f t="shared" si="43"/>
        <v>-226.91973380603451</v>
      </c>
      <c r="V98" s="201">
        <f t="shared" si="46"/>
        <v>-171.13333333333333</v>
      </c>
      <c r="W98" s="204">
        <f t="shared" si="33"/>
        <v>3935.6223311837139</v>
      </c>
      <c r="X98" s="216">
        <f t="shared" si="44"/>
        <v>93164.635948409108</v>
      </c>
      <c r="Z98" s="206">
        <f t="shared" si="45"/>
        <v>82144</v>
      </c>
      <c r="AA98" s="193">
        <f t="shared" si="34"/>
        <v>0</v>
      </c>
      <c r="AB98" s="206">
        <f t="shared" si="35"/>
        <v>82144</v>
      </c>
    </row>
    <row r="99" spans="1:28" s="177" customFormat="1" x14ac:dyDescent="0.45">
      <c r="A99" s="207">
        <f t="shared" si="50"/>
        <v>5</v>
      </c>
      <c r="B99" s="193" t="s">
        <v>27</v>
      </c>
      <c r="C99" s="247">
        <f>+C31</f>
        <v>0.5</v>
      </c>
      <c r="D99" s="251">
        <f>C99*('Summary Equip'!$J$27)*(1+'Summary Equip'!$N$3)</f>
        <v>0</v>
      </c>
      <c r="E99" s="249">
        <v>0</v>
      </c>
      <c r="F99" s="213">
        <f t="shared" si="49"/>
        <v>0</v>
      </c>
      <c r="G99" s="214">
        <f>D99</f>
        <v>0</v>
      </c>
      <c r="H99" s="178"/>
      <c r="I99" s="212">
        <f t="shared" si="37"/>
        <v>25</v>
      </c>
      <c r="J99" s="213">
        <f t="shared" si="48"/>
        <v>2387.5790646362825</v>
      </c>
      <c r="K99" s="213">
        <f t="shared" si="30"/>
        <v>10.546006999477092</v>
      </c>
      <c r="L99" s="213">
        <f t="shared" si="39"/>
        <v>-204.71927779760827</v>
      </c>
      <c r="M99" s="214">
        <f t="shared" si="28"/>
        <v>2193.4057938381511</v>
      </c>
      <c r="O99" s="212">
        <f t="shared" si="40"/>
        <v>25</v>
      </c>
      <c r="P99" s="215">
        <f t="shared" si="41"/>
        <v>12833</v>
      </c>
      <c r="Q99" s="201">
        <f t="shared" si="29"/>
        <v>4538.3946761206898</v>
      </c>
      <c r="R99" s="201">
        <f t="shared" si="31"/>
        <v>-204.71927779760827</v>
      </c>
      <c r="S99" s="213">
        <f t="shared" si="42"/>
        <v>0</v>
      </c>
      <c r="T99" s="213"/>
      <c r="U99" s="213">
        <f t="shared" si="43"/>
        <v>-226.91973380603451</v>
      </c>
      <c r="V99" s="201">
        <f t="shared" si="46"/>
        <v>-166.45833333333334</v>
      </c>
      <c r="W99" s="204">
        <f t="shared" si="33"/>
        <v>3940.2973311837136</v>
      </c>
      <c r="X99" s="216">
        <f t="shared" si="44"/>
        <v>97104.93327959282</v>
      </c>
      <c r="Z99" s="206">
        <f t="shared" si="45"/>
        <v>79900</v>
      </c>
      <c r="AA99" s="193">
        <f t="shared" si="34"/>
        <v>0</v>
      </c>
      <c r="AB99" s="206">
        <f t="shared" si="35"/>
        <v>79900</v>
      </c>
    </row>
    <row r="100" spans="1:28" s="177" customFormat="1" ht="28.5" x14ac:dyDescent="0.45">
      <c r="A100" s="207">
        <f t="shared" si="50"/>
        <v>6</v>
      </c>
      <c r="B100" s="193" t="s">
        <v>81</v>
      </c>
      <c r="C100" s="247">
        <f>+C32</f>
        <v>0.15</v>
      </c>
      <c r="D100" s="251">
        <f>C100*('Summary Equip'!$J$27)*(1+'Summary Equip'!$N$3)</f>
        <v>0</v>
      </c>
      <c r="E100" s="249">
        <v>0</v>
      </c>
      <c r="F100" s="213">
        <f t="shared" si="49"/>
        <v>0</v>
      </c>
      <c r="G100" s="214">
        <f>D100</f>
        <v>0</v>
      </c>
      <c r="H100" s="178"/>
      <c r="I100" s="212">
        <f t="shared" si="37"/>
        <v>26</v>
      </c>
      <c r="J100" s="213">
        <f t="shared" si="48"/>
        <v>2193.4057938381511</v>
      </c>
      <c r="K100" s="213">
        <f t="shared" si="30"/>
        <v>9.6883379474742384</v>
      </c>
      <c r="L100" s="213">
        <f t="shared" si="39"/>
        <v>-204.71927779760827</v>
      </c>
      <c r="M100" s="214">
        <f t="shared" si="28"/>
        <v>1998.3748539880171</v>
      </c>
      <c r="O100" s="212">
        <f t="shared" si="40"/>
        <v>26</v>
      </c>
      <c r="P100" s="215">
        <f t="shared" si="41"/>
        <v>13353.125</v>
      </c>
      <c r="Q100" s="201">
        <f t="shared" si="29"/>
        <v>4538.3946761206898</v>
      </c>
      <c r="R100" s="201">
        <f t="shared" si="31"/>
        <v>-204.71927779760827</v>
      </c>
      <c r="S100" s="213">
        <f t="shared" si="42"/>
        <v>0</v>
      </c>
      <c r="T100" s="213"/>
      <c r="U100" s="213">
        <f t="shared" si="43"/>
        <v>-226.91973380603451</v>
      </c>
      <c r="V100" s="201">
        <f t="shared" si="46"/>
        <v>-161.78333333333333</v>
      </c>
      <c r="W100" s="204">
        <f t="shared" si="33"/>
        <v>3944.9723311837138</v>
      </c>
      <c r="X100" s="216">
        <f t="shared" si="44"/>
        <v>101049.90561077654</v>
      </c>
      <c r="Z100" s="206">
        <f t="shared" si="45"/>
        <v>77656</v>
      </c>
      <c r="AA100" s="193">
        <f t="shared" si="34"/>
        <v>0</v>
      </c>
      <c r="AB100" s="206">
        <f t="shared" si="35"/>
        <v>77656</v>
      </c>
    </row>
    <row r="101" spans="1:28" s="177" customFormat="1" ht="14.65" thickBot="1" x14ac:dyDescent="0.5">
      <c r="A101" s="221">
        <f t="shared" si="50"/>
        <v>7</v>
      </c>
      <c r="B101" s="222" t="s">
        <v>32</v>
      </c>
      <c r="C101" s="247">
        <f>+C33</f>
        <v>0.03</v>
      </c>
      <c r="D101" s="251">
        <f>C101*('Summary Equip'!$J$27)*(1+'Summary Equip'!$N$3)</f>
        <v>0</v>
      </c>
      <c r="E101" s="252">
        <v>0</v>
      </c>
      <c r="F101" s="253">
        <f t="shared" si="49"/>
        <v>0</v>
      </c>
      <c r="G101" s="254">
        <f>D101</f>
        <v>0</v>
      </c>
      <c r="H101" s="178"/>
      <c r="I101" s="212">
        <f t="shared" si="37"/>
        <v>27</v>
      </c>
      <c r="J101" s="213">
        <f t="shared" si="48"/>
        <v>1998.3748539880171</v>
      </c>
      <c r="K101" s="213">
        <f t="shared" si="30"/>
        <v>8.8268805460258655</v>
      </c>
      <c r="L101" s="213">
        <f t="shared" si="39"/>
        <v>-204.71927779760827</v>
      </c>
      <c r="M101" s="214">
        <f t="shared" si="28"/>
        <v>1802.4824567364346</v>
      </c>
      <c r="O101" s="212">
        <f t="shared" si="40"/>
        <v>27</v>
      </c>
      <c r="P101" s="215">
        <f t="shared" si="41"/>
        <v>13873.25</v>
      </c>
      <c r="Q101" s="201">
        <f t="shared" si="29"/>
        <v>4538.3946761206898</v>
      </c>
      <c r="R101" s="201">
        <f t="shared" si="31"/>
        <v>-204.71927779760827</v>
      </c>
      <c r="S101" s="213">
        <f t="shared" si="42"/>
        <v>0</v>
      </c>
      <c r="T101" s="213"/>
      <c r="U101" s="213">
        <f t="shared" si="43"/>
        <v>-226.91973380603451</v>
      </c>
      <c r="V101" s="201">
        <f t="shared" si="46"/>
        <v>-157.10833333333335</v>
      </c>
      <c r="W101" s="204">
        <f t="shared" si="33"/>
        <v>3949.6473311837135</v>
      </c>
      <c r="X101" s="216">
        <f t="shared" si="44"/>
        <v>104999.55294196025</v>
      </c>
      <c r="Z101" s="206">
        <f t="shared" si="45"/>
        <v>75412</v>
      </c>
      <c r="AA101" s="193">
        <f t="shared" si="34"/>
        <v>0</v>
      </c>
      <c r="AB101" s="206">
        <f t="shared" si="35"/>
        <v>75412</v>
      </c>
    </row>
    <row r="102" spans="1:28" s="177" customFormat="1" ht="14.65" thickBot="1" x14ac:dyDescent="0.5">
      <c r="A102" s="255">
        <f t="shared" si="50"/>
        <v>8</v>
      </c>
      <c r="B102" s="256" t="s">
        <v>8</v>
      </c>
      <c r="C102" s="257"/>
      <c r="D102" s="258"/>
      <c r="E102" s="259"/>
      <c r="F102" s="260">
        <f>SUM(F95:F101)</f>
        <v>12038.145879662634</v>
      </c>
      <c r="G102" s="261">
        <f>SUM(G95:G101)</f>
        <v>3366</v>
      </c>
      <c r="H102" s="178"/>
      <c r="I102" s="212">
        <f t="shared" si="37"/>
        <v>28</v>
      </c>
      <c r="J102" s="213">
        <f t="shared" si="48"/>
        <v>1802.4824567364346</v>
      </c>
      <c r="K102" s="213">
        <f t="shared" si="30"/>
        <v>7.961618061880972</v>
      </c>
      <c r="L102" s="213">
        <f t="shared" si="39"/>
        <v>-204.71927779760827</v>
      </c>
      <c r="M102" s="214">
        <f t="shared" si="28"/>
        <v>1605.7247970007072</v>
      </c>
      <c r="O102" s="212">
        <f t="shared" si="40"/>
        <v>28</v>
      </c>
      <c r="P102" s="215">
        <f t="shared" si="41"/>
        <v>14393.375</v>
      </c>
      <c r="Q102" s="201">
        <f t="shared" si="29"/>
        <v>4538.3946761206898</v>
      </c>
      <c r="R102" s="201">
        <f t="shared" si="31"/>
        <v>-204.71927779760827</v>
      </c>
      <c r="S102" s="213">
        <f t="shared" si="42"/>
        <v>0</v>
      </c>
      <c r="T102" s="213"/>
      <c r="U102" s="213">
        <f t="shared" si="43"/>
        <v>-226.91973380603451</v>
      </c>
      <c r="V102" s="201">
        <f t="shared" si="46"/>
        <v>-152.43333333333334</v>
      </c>
      <c r="W102" s="204">
        <f t="shared" si="33"/>
        <v>3954.3223311837137</v>
      </c>
      <c r="X102" s="216">
        <f t="shared" si="44"/>
        <v>108953.87527314396</v>
      </c>
      <c r="Z102" s="206">
        <f t="shared" si="45"/>
        <v>73168</v>
      </c>
      <c r="AA102" s="193">
        <f t="shared" si="34"/>
        <v>0</v>
      </c>
      <c r="AB102" s="206">
        <f t="shared" si="35"/>
        <v>73168</v>
      </c>
    </row>
    <row r="103" spans="1:28" s="177" customFormat="1" ht="14.65" thickBot="1" x14ac:dyDescent="0.5">
      <c r="A103" s="262">
        <f>A102+1</f>
        <v>9</v>
      </c>
      <c r="B103" s="263" t="s">
        <v>7</v>
      </c>
      <c r="C103" s="264">
        <f>+C35</f>
        <v>0.05</v>
      </c>
      <c r="D103" s="265"/>
      <c r="E103" s="266"/>
      <c r="F103" s="267">
        <f>F104-F102</f>
        <v>633.58662524540159</v>
      </c>
      <c r="G103" s="268">
        <f>G104-G102</f>
        <v>177.15789473684208</v>
      </c>
      <c r="H103" s="178"/>
      <c r="I103" s="212">
        <f t="shared" si="37"/>
        <v>29</v>
      </c>
      <c r="J103" s="213">
        <f t="shared" si="48"/>
        <v>1605.7247970007072</v>
      </c>
      <c r="K103" s="213">
        <f t="shared" si="30"/>
        <v>7.0925336878772924</v>
      </c>
      <c r="L103" s="213">
        <f t="shared" si="39"/>
        <v>-204.71927779760827</v>
      </c>
      <c r="M103" s="214">
        <f t="shared" si="28"/>
        <v>1408.0980528909761</v>
      </c>
      <c r="O103" s="212">
        <f t="shared" si="40"/>
        <v>29</v>
      </c>
      <c r="P103" s="215">
        <f t="shared" si="41"/>
        <v>14913.5</v>
      </c>
      <c r="Q103" s="201">
        <f t="shared" si="29"/>
        <v>4538.3946761206898</v>
      </c>
      <c r="R103" s="201">
        <f t="shared" si="31"/>
        <v>-204.71927779760827</v>
      </c>
      <c r="S103" s="213">
        <f t="shared" si="42"/>
        <v>0</v>
      </c>
      <c r="T103" s="213"/>
      <c r="U103" s="213">
        <f t="shared" si="43"/>
        <v>-226.91973380603451</v>
      </c>
      <c r="V103" s="201">
        <f t="shared" si="46"/>
        <v>-147.75833333333335</v>
      </c>
      <c r="W103" s="204">
        <f t="shared" si="33"/>
        <v>3958.9973311837139</v>
      </c>
      <c r="X103" s="216">
        <f t="shared" si="44"/>
        <v>112912.87260432767</v>
      </c>
      <c r="Z103" s="206">
        <f t="shared" si="45"/>
        <v>70924</v>
      </c>
      <c r="AA103" s="193">
        <f t="shared" si="34"/>
        <v>0</v>
      </c>
      <c r="AB103" s="206">
        <f t="shared" si="35"/>
        <v>70924</v>
      </c>
    </row>
    <row r="104" spans="1:28" s="177" customFormat="1" ht="14.65" thickBot="1" x14ac:dyDescent="0.5">
      <c r="A104" s="269">
        <f>A103+1</f>
        <v>10</v>
      </c>
      <c r="B104" s="270" t="s">
        <v>28</v>
      </c>
      <c r="C104" s="271"/>
      <c r="D104" s="272"/>
      <c r="E104" s="273"/>
      <c r="F104" s="274">
        <f>F102/(100%-C103)</f>
        <v>12671.732504908035</v>
      </c>
      <c r="G104" s="275">
        <f>G102/(100%-C103)</f>
        <v>3543.1578947368421</v>
      </c>
      <c r="H104" s="178"/>
      <c r="I104" s="212">
        <f t="shared" si="37"/>
        <v>30</v>
      </c>
      <c r="J104" s="213">
        <f t="shared" si="48"/>
        <v>1408.0980528909761</v>
      </c>
      <c r="K104" s="213">
        <f t="shared" si="30"/>
        <v>6.2196105426148387</v>
      </c>
      <c r="L104" s="213">
        <f t="shared" si="39"/>
        <v>-204.71927779760827</v>
      </c>
      <c r="M104" s="214">
        <f t="shared" si="28"/>
        <v>1209.5983856359826</v>
      </c>
      <c r="O104" s="212">
        <f t="shared" si="40"/>
        <v>30</v>
      </c>
      <c r="P104" s="215">
        <f t="shared" si="41"/>
        <v>15433.625</v>
      </c>
      <c r="Q104" s="201">
        <f t="shared" si="29"/>
        <v>4538.3946761206898</v>
      </c>
      <c r="R104" s="201">
        <f t="shared" si="31"/>
        <v>-204.71927779760827</v>
      </c>
      <c r="S104" s="213">
        <f t="shared" si="42"/>
        <v>0</v>
      </c>
      <c r="T104" s="213">
        <f>-T124*0.5</f>
        <v>0</v>
      </c>
      <c r="U104" s="213">
        <f t="shared" si="43"/>
        <v>-226.91973380603451</v>
      </c>
      <c r="V104" s="201">
        <f t="shared" si="46"/>
        <v>-143.08333333333334</v>
      </c>
      <c r="W104" s="204">
        <f t="shared" si="33"/>
        <v>3963.6723311837136</v>
      </c>
      <c r="X104" s="216">
        <f t="shared" si="44"/>
        <v>116876.54493551138</v>
      </c>
      <c r="Z104" s="206">
        <f t="shared" si="45"/>
        <v>68680</v>
      </c>
      <c r="AA104" s="193">
        <f t="shared" si="34"/>
        <v>0</v>
      </c>
      <c r="AB104" s="206">
        <f t="shared" si="35"/>
        <v>68680</v>
      </c>
    </row>
    <row r="105" spans="1:28" s="177" customFormat="1" x14ac:dyDescent="0.45">
      <c r="C105" s="178"/>
      <c r="D105" s="178"/>
      <c r="E105" s="178"/>
      <c r="F105" s="178"/>
      <c r="G105" s="178"/>
      <c r="H105" s="178"/>
      <c r="I105" s="212">
        <f t="shared" si="37"/>
        <v>31</v>
      </c>
      <c r="J105" s="213">
        <f t="shared" si="48"/>
        <v>1209.5983856359826</v>
      </c>
      <c r="K105" s="213">
        <f t="shared" si="30"/>
        <v>5.3428316701279774</v>
      </c>
      <c r="L105" s="213">
        <f t="shared" si="39"/>
        <v>-204.71927779760827</v>
      </c>
      <c r="M105" s="214">
        <f t="shared" si="28"/>
        <v>1010.2219395085023</v>
      </c>
      <c r="O105" s="212">
        <f t="shared" si="40"/>
        <v>31</v>
      </c>
      <c r="P105" s="215">
        <f t="shared" si="41"/>
        <v>15953.75</v>
      </c>
      <c r="Q105" s="201">
        <f t="shared" si="29"/>
        <v>4538.3946761206898</v>
      </c>
      <c r="R105" s="201">
        <f t="shared" si="31"/>
        <v>-204.71927779760827</v>
      </c>
      <c r="S105" s="213">
        <f t="shared" si="42"/>
        <v>0</v>
      </c>
      <c r="T105" s="213"/>
      <c r="U105" s="213">
        <f t="shared" si="43"/>
        <v>-226.91973380603451</v>
      </c>
      <c r="V105" s="201">
        <f t="shared" si="46"/>
        <v>-138.40833333333333</v>
      </c>
      <c r="W105" s="204">
        <f t="shared" si="33"/>
        <v>3968.3473311837138</v>
      </c>
      <c r="X105" s="216">
        <f t="shared" si="44"/>
        <v>120844.8922666951</v>
      </c>
      <c r="Z105" s="206">
        <f t="shared" si="45"/>
        <v>66436</v>
      </c>
      <c r="AA105" s="193">
        <f t="shared" si="34"/>
        <v>0</v>
      </c>
      <c r="AB105" s="206">
        <f t="shared" si="35"/>
        <v>66436</v>
      </c>
    </row>
    <row r="106" spans="1:28" s="177" customFormat="1" x14ac:dyDescent="0.45">
      <c r="C106" s="178"/>
      <c r="D106" s="178"/>
      <c r="E106" s="178"/>
      <c r="F106" s="178"/>
      <c r="G106" s="178"/>
      <c r="H106" s="178"/>
      <c r="I106" s="212">
        <f t="shared" si="37"/>
        <v>32</v>
      </c>
      <c r="J106" s="213">
        <f t="shared" si="48"/>
        <v>1010.2219395085023</v>
      </c>
      <c r="K106" s="213">
        <f t="shared" si="30"/>
        <v>4.4621800395560767</v>
      </c>
      <c r="L106" s="213">
        <f t="shared" si="39"/>
        <v>-204.71927779760827</v>
      </c>
      <c r="M106" s="214">
        <f t="shared" si="28"/>
        <v>809.96484175045009</v>
      </c>
      <c r="O106" s="212">
        <f t="shared" si="40"/>
        <v>32</v>
      </c>
      <c r="P106" s="215">
        <f t="shared" si="41"/>
        <v>16473.875</v>
      </c>
      <c r="Q106" s="201">
        <f t="shared" si="29"/>
        <v>4538.3946761206898</v>
      </c>
      <c r="R106" s="201">
        <f t="shared" si="31"/>
        <v>-204.71927779760827</v>
      </c>
      <c r="S106" s="213">
        <f t="shared" si="42"/>
        <v>0</v>
      </c>
      <c r="T106" s="213"/>
      <c r="U106" s="213">
        <f t="shared" si="43"/>
        <v>-226.91973380603451</v>
      </c>
      <c r="V106" s="201">
        <f t="shared" si="46"/>
        <v>-133.73333333333335</v>
      </c>
      <c r="W106" s="204">
        <f t="shared" si="33"/>
        <v>3973.0223311837135</v>
      </c>
      <c r="X106" s="216">
        <f t="shared" si="44"/>
        <v>124817.91459787881</v>
      </c>
      <c r="Z106" s="206">
        <f t="shared" si="45"/>
        <v>64192</v>
      </c>
      <c r="AA106" s="193">
        <f t="shared" si="34"/>
        <v>0</v>
      </c>
      <c r="AB106" s="206">
        <f t="shared" si="35"/>
        <v>64192</v>
      </c>
    </row>
    <row r="107" spans="1:28" s="177" customFormat="1" x14ac:dyDescent="0.45">
      <c r="C107" s="178"/>
      <c r="D107" s="178"/>
      <c r="E107" s="178"/>
      <c r="F107" s="178"/>
      <c r="G107" s="178"/>
      <c r="H107" s="178"/>
      <c r="I107" s="212">
        <f t="shared" si="37"/>
        <v>33</v>
      </c>
      <c r="J107" s="213">
        <f t="shared" si="48"/>
        <v>809.96484175045009</v>
      </c>
      <c r="K107" s="213">
        <f t="shared" si="30"/>
        <v>3.5776385448126931</v>
      </c>
      <c r="L107" s="213">
        <f t="shared" si="39"/>
        <v>-204.71927779760827</v>
      </c>
      <c r="M107" s="214">
        <f t="shared" si="28"/>
        <v>608.82320249765451</v>
      </c>
      <c r="O107" s="212">
        <f t="shared" si="40"/>
        <v>33</v>
      </c>
      <c r="P107" s="215">
        <f t="shared" si="41"/>
        <v>16994</v>
      </c>
      <c r="Q107" s="201">
        <f t="shared" si="29"/>
        <v>4538.3946761206898</v>
      </c>
      <c r="R107" s="201">
        <f t="shared" si="31"/>
        <v>-204.71927779760827</v>
      </c>
      <c r="S107" s="213">
        <f t="shared" si="42"/>
        <v>0</v>
      </c>
      <c r="T107" s="213"/>
      <c r="U107" s="213">
        <f t="shared" si="43"/>
        <v>-226.91973380603451</v>
      </c>
      <c r="V107" s="201">
        <f t="shared" si="46"/>
        <v>-129.05833333333334</v>
      </c>
      <c r="W107" s="204">
        <f t="shared" si="33"/>
        <v>3977.6973311837137</v>
      </c>
      <c r="X107" s="216">
        <f t="shared" si="44"/>
        <v>128795.61192906252</v>
      </c>
      <c r="Z107" s="206">
        <f t="shared" si="45"/>
        <v>61948</v>
      </c>
      <c r="AA107" s="193">
        <f t="shared" si="34"/>
        <v>0</v>
      </c>
      <c r="AB107" s="206">
        <f t="shared" si="35"/>
        <v>61948</v>
      </c>
    </row>
    <row r="108" spans="1:28" s="177" customFormat="1" ht="14.65" thickBot="1" x14ac:dyDescent="0.5">
      <c r="C108" s="178"/>
      <c r="D108" s="178"/>
      <c r="E108" s="178"/>
      <c r="F108" s="178"/>
      <c r="G108" s="178"/>
      <c r="H108" s="178"/>
      <c r="I108" s="212">
        <f t="shared" si="37"/>
        <v>34</v>
      </c>
      <c r="J108" s="213">
        <f t="shared" si="48"/>
        <v>608.82320249765451</v>
      </c>
      <c r="K108" s="213">
        <f t="shared" si="30"/>
        <v>2.689190004253295</v>
      </c>
      <c r="L108" s="213">
        <f t="shared" si="39"/>
        <v>-204.71927779760827</v>
      </c>
      <c r="M108" s="214">
        <f t="shared" si="28"/>
        <v>406.79311470429957</v>
      </c>
      <c r="O108" s="212">
        <f t="shared" si="40"/>
        <v>34</v>
      </c>
      <c r="P108" s="215">
        <f t="shared" si="41"/>
        <v>17514.125</v>
      </c>
      <c r="Q108" s="201">
        <f t="shared" si="29"/>
        <v>4538.3946761206898</v>
      </c>
      <c r="R108" s="201">
        <f t="shared" si="31"/>
        <v>-204.71927779760827</v>
      </c>
      <c r="S108" s="213">
        <f t="shared" si="42"/>
        <v>0</v>
      </c>
      <c r="T108" s="213"/>
      <c r="U108" s="213">
        <f t="shared" si="43"/>
        <v>-226.91973380603451</v>
      </c>
      <c r="V108" s="201">
        <f t="shared" si="46"/>
        <v>-124.38333333333334</v>
      </c>
      <c r="W108" s="204">
        <f t="shared" si="33"/>
        <v>3982.3723311837139</v>
      </c>
      <c r="X108" s="216">
        <f t="shared" si="44"/>
        <v>132777.98426024624</v>
      </c>
      <c r="Z108" s="206">
        <f t="shared" si="45"/>
        <v>59704</v>
      </c>
      <c r="AA108" s="193">
        <f t="shared" si="34"/>
        <v>0</v>
      </c>
      <c r="AB108" s="206">
        <f t="shared" si="35"/>
        <v>59704</v>
      </c>
    </row>
    <row r="109" spans="1:28" s="177" customFormat="1" ht="31.15" thickBot="1" x14ac:dyDescent="0.5">
      <c r="A109" s="723" t="s">
        <v>29</v>
      </c>
      <c r="B109" s="724"/>
      <c r="C109" s="724"/>
      <c r="D109" s="724"/>
      <c r="E109" s="724"/>
      <c r="F109" s="724"/>
      <c r="G109" s="725"/>
      <c r="H109" s="178"/>
      <c r="I109" s="212">
        <f t="shared" si="37"/>
        <v>35</v>
      </c>
      <c r="J109" s="213">
        <f t="shared" si="48"/>
        <v>406.79311470429957</v>
      </c>
      <c r="K109" s="213">
        <f t="shared" si="30"/>
        <v>1.7968171603415211</v>
      </c>
      <c r="L109" s="213">
        <f t="shared" si="39"/>
        <v>-204.71927779760827</v>
      </c>
      <c r="M109" s="214">
        <f t="shared" si="28"/>
        <v>203.8706540670328</v>
      </c>
      <c r="O109" s="212">
        <f t="shared" si="40"/>
        <v>35</v>
      </c>
      <c r="P109" s="215">
        <f t="shared" si="41"/>
        <v>18034.25</v>
      </c>
      <c r="Q109" s="201">
        <f t="shared" si="29"/>
        <v>4538.3946761206898</v>
      </c>
      <c r="R109" s="201">
        <f t="shared" si="31"/>
        <v>-204.71927779760827</v>
      </c>
      <c r="S109" s="213">
        <f t="shared" si="42"/>
        <v>0</v>
      </c>
      <c r="T109" s="213"/>
      <c r="U109" s="213">
        <f t="shared" si="43"/>
        <v>-226.91973380603451</v>
      </c>
      <c r="V109" s="201">
        <f t="shared" si="46"/>
        <v>-119.70833333333333</v>
      </c>
      <c r="W109" s="204">
        <f t="shared" si="33"/>
        <v>3987.0473311837136</v>
      </c>
      <c r="X109" s="216">
        <f t="shared" si="44"/>
        <v>136765.03159142996</v>
      </c>
      <c r="Z109" s="206">
        <f t="shared" si="45"/>
        <v>57460</v>
      </c>
      <c r="AA109" s="193">
        <f t="shared" si="34"/>
        <v>0</v>
      </c>
      <c r="AB109" s="206">
        <f t="shared" si="35"/>
        <v>57460</v>
      </c>
    </row>
    <row r="110" spans="1:28" s="177" customFormat="1" ht="18" x14ac:dyDescent="0.45">
      <c r="A110" s="276">
        <v>1</v>
      </c>
      <c r="B110" s="702" t="s">
        <v>30</v>
      </c>
      <c r="C110" s="703"/>
      <c r="D110" s="703"/>
      <c r="E110" s="704"/>
      <c r="F110" s="277">
        <f>F104/C80/C82</f>
        <v>502.84652797254114</v>
      </c>
      <c r="G110" s="278">
        <f>G104/C81/C82</f>
        <v>0.28120300751879701</v>
      </c>
      <c r="H110" s="178"/>
      <c r="I110" s="279">
        <f t="shared" si="37"/>
        <v>36</v>
      </c>
      <c r="J110" s="280">
        <f t="shared" si="48"/>
        <v>203.8706540670328</v>
      </c>
      <c r="K110" s="280">
        <f t="shared" si="30"/>
        <v>0.90050267931396411</v>
      </c>
      <c r="L110" s="280">
        <f>L109</f>
        <v>-204.71927779760827</v>
      </c>
      <c r="M110" s="281">
        <f t="shared" si="28"/>
        <v>5.187894873850496E-2</v>
      </c>
      <c r="O110" s="279">
        <f t="shared" si="40"/>
        <v>36</v>
      </c>
      <c r="P110" s="215">
        <f t="shared" si="41"/>
        <v>18554.375</v>
      </c>
      <c r="Q110" s="201">
        <f t="shared" si="29"/>
        <v>4538.3946761206898</v>
      </c>
      <c r="R110" s="201">
        <f t="shared" si="31"/>
        <v>-204.71927779760827</v>
      </c>
      <c r="S110" s="213">
        <f t="shared" si="42"/>
        <v>0</v>
      </c>
      <c r="T110" s="213"/>
      <c r="U110" s="213">
        <f t="shared" si="43"/>
        <v>-226.91973380603451</v>
      </c>
      <c r="V110" s="201">
        <f t="shared" si="46"/>
        <v>-115.03333333333335</v>
      </c>
      <c r="W110" s="204">
        <f t="shared" si="33"/>
        <v>3991.7223311837138</v>
      </c>
      <c r="X110" s="216">
        <f t="shared" si="44"/>
        <v>140756.75392261366</v>
      </c>
      <c r="Z110" s="206">
        <f t="shared" si="45"/>
        <v>55216</v>
      </c>
      <c r="AA110" s="193">
        <f t="shared" si="34"/>
        <v>0</v>
      </c>
      <c r="AB110" s="206">
        <f t="shared" si="35"/>
        <v>55216</v>
      </c>
    </row>
    <row r="111" spans="1:28" s="177" customFormat="1" ht="18.399999999999999" thickBot="1" x14ac:dyDescent="0.5">
      <c r="A111" s="282">
        <f>A110+1</f>
        <v>2</v>
      </c>
      <c r="B111" s="705" t="s">
        <v>31</v>
      </c>
      <c r="C111" s="706"/>
      <c r="D111" s="706"/>
      <c r="E111" s="707"/>
      <c r="F111" s="283"/>
      <c r="G111" s="284">
        <f>(G104+F104)/C81/C82</f>
        <v>1.2868960634638793</v>
      </c>
      <c r="H111" s="178"/>
      <c r="I111" s="279">
        <f t="shared" si="37"/>
        <v>37</v>
      </c>
      <c r="J111" s="280"/>
      <c r="K111" s="280"/>
      <c r="L111" s="280"/>
      <c r="M111" s="281">
        <f t="shared" si="28"/>
        <v>0</v>
      </c>
      <c r="O111" s="279">
        <f t="shared" si="40"/>
        <v>37</v>
      </c>
      <c r="P111" s="215">
        <f t="shared" si="41"/>
        <v>19074.5</v>
      </c>
      <c r="Q111" s="213">
        <f t="shared" ref="Q111:Q122" si="51">$F$42+($Q$4*$G$42)</f>
        <v>6818.955392720809</v>
      </c>
      <c r="R111" s="201">
        <f t="shared" si="31"/>
        <v>0</v>
      </c>
      <c r="S111" s="213">
        <f t="shared" si="42"/>
        <v>0</v>
      </c>
      <c r="T111" s="213"/>
      <c r="U111" s="213">
        <f t="shared" si="43"/>
        <v>-226.91973380603451</v>
      </c>
      <c r="V111" s="201">
        <f t="shared" si="46"/>
        <v>-110.35833333333335</v>
      </c>
      <c r="W111" s="204">
        <f t="shared" si="33"/>
        <v>6481.6773255814405</v>
      </c>
      <c r="X111" s="216">
        <f t="shared" si="44"/>
        <v>147238.43124819509</v>
      </c>
      <c r="Z111" s="206">
        <f t="shared" si="45"/>
        <v>52972</v>
      </c>
      <c r="AA111" s="193">
        <f t="shared" si="34"/>
        <v>0</v>
      </c>
      <c r="AB111" s="206">
        <f t="shared" si="35"/>
        <v>52972</v>
      </c>
    </row>
    <row r="112" spans="1:28" s="177" customFormat="1" x14ac:dyDescent="0.45">
      <c r="I112" s="279">
        <f t="shared" si="37"/>
        <v>38</v>
      </c>
      <c r="J112" s="280"/>
      <c r="K112" s="280"/>
      <c r="L112" s="280"/>
      <c r="M112" s="281">
        <f t="shared" si="28"/>
        <v>0</v>
      </c>
      <c r="O112" s="279">
        <f t="shared" si="40"/>
        <v>38</v>
      </c>
      <c r="P112" s="215">
        <f t="shared" si="41"/>
        <v>19594.625</v>
      </c>
      <c r="Q112" s="213">
        <f t="shared" si="51"/>
        <v>6818.955392720809</v>
      </c>
      <c r="R112" s="201">
        <f t="shared" si="31"/>
        <v>0</v>
      </c>
      <c r="S112" s="213">
        <f t="shared" si="42"/>
        <v>0</v>
      </c>
      <c r="T112" s="213"/>
      <c r="U112" s="213">
        <f t="shared" si="43"/>
        <v>-226.91973380603451</v>
      </c>
      <c r="V112" s="201">
        <f t="shared" si="46"/>
        <v>-105.68333333333334</v>
      </c>
      <c r="W112" s="204">
        <f t="shared" si="33"/>
        <v>6486.3523255814407</v>
      </c>
      <c r="X112" s="216">
        <f t="shared" si="44"/>
        <v>153724.78357377654</v>
      </c>
      <c r="Z112" s="206">
        <f t="shared" si="45"/>
        <v>50728</v>
      </c>
      <c r="AA112" s="193">
        <f t="shared" si="34"/>
        <v>0</v>
      </c>
      <c r="AB112" s="206">
        <f t="shared" si="35"/>
        <v>50728</v>
      </c>
    </row>
    <row r="113" spans="9:28" s="177" customFormat="1" x14ac:dyDescent="0.45">
      <c r="I113" s="279">
        <f t="shared" si="37"/>
        <v>39</v>
      </c>
      <c r="J113" s="280"/>
      <c r="K113" s="280"/>
      <c r="L113" s="280"/>
      <c r="M113" s="281">
        <f t="shared" si="28"/>
        <v>0</v>
      </c>
      <c r="O113" s="279">
        <f t="shared" si="40"/>
        <v>39</v>
      </c>
      <c r="P113" s="215">
        <f t="shared" si="41"/>
        <v>20114.75</v>
      </c>
      <c r="Q113" s="213">
        <f t="shared" si="51"/>
        <v>6818.955392720809</v>
      </c>
      <c r="R113" s="201">
        <f t="shared" si="31"/>
        <v>0</v>
      </c>
      <c r="S113" s="213">
        <f t="shared" si="42"/>
        <v>0</v>
      </c>
      <c r="T113" s="213"/>
      <c r="U113" s="213">
        <f t="shared" si="43"/>
        <v>-226.91973380603451</v>
      </c>
      <c r="V113" s="201">
        <f t="shared" si="46"/>
        <v>-101.00833333333334</v>
      </c>
      <c r="W113" s="204">
        <f t="shared" si="33"/>
        <v>6491.0273255814409</v>
      </c>
      <c r="X113" s="216">
        <f t="shared" si="44"/>
        <v>160215.81089935798</v>
      </c>
      <c r="Z113" s="206">
        <f t="shared" si="45"/>
        <v>48484</v>
      </c>
      <c r="AA113" s="193">
        <f t="shared" si="34"/>
        <v>0</v>
      </c>
      <c r="AB113" s="206">
        <f t="shared" si="35"/>
        <v>48484</v>
      </c>
    </row>
    <row r="114" spans="9:28" s="177" customFormat="1" x14ac:dyDescent="0.45">
      <c r="I114" s="279">
        <f t="shared" si="37"/>
        <v>40</v>
      </c>
      <c r="J114" s="280"/>
      <c r="K114" s="280"/>
      <c r="L114" s="280"/>
      <c r="M114" s="281">
        <f t="shared" si="28"/>
        <v>0</v>
      </c>
      <c r="O114" s="279">
        <f t="shared" si="40"/>
        <v>40</v>
      </c>
      <c r="P114" s="215">
        <f t="shared" si="41"/>
        <v>20634.875</v>
      </c>
      <c r="Q114" s="213">
        <f t="shared" si="51"/>
        <v>6818.955392720809</v>
      </c>
      <c r="R114" s="201">
        <f t="shared" si="31"/>
        <v>0</v>
      </c>
      <c r="S114" s="213">
        <f t="shared" si="42"/>
        <v>0</v>
      </c>
      <c r="T114" s="213"/>
      <c r="U114" s="213">
        <f t="shared" si="43"/>
        <v>-226.91973380603451</v>
      </c>
      <c r="V114" s="201">
        <f t="shared" si="46"/>
        <v>-96.333333333333329</v>
      </c>
      <c r="W114" s="204">
        <f t="shared" si="33"/>
        <v>6495.7023255814411</v>
      </c>
      <c r="X114" s="216">
        <f t="shared" si="44"/>
        <v>166711.51322493941</v>
      </c>
      <c r="Z114" s="206">
        <f t="shared" si="45"/>
        <v>46240</v>
      </c>
      <c r="AA114" s="193">
        <f t="shared" si="34"/>
        <v>0</v>
      </c>
      <c r="AB114" s="206">
        <f t="shared" si="35"/>
        <v>46240</v>
      </c>
    </row>
    <row r="115" spans="9:28" s="177" customFormat="1" x14ac:dyDescent="0.45">
      <c r="I115" s="279">
        <f t="shared" si="37"/>
        <v>41</v>
      </c>
      <c r="J115" s="280"/>
      <c r="K115" s="280"/>
      <c r="L115" s="280"/>
      <c r="M115" s="281">
        <f t="shared" si="28"/>
        <v>0</v>
      </c>
      <c r="O115" s="279">
        <f t="shared" si="40"/>
        <v>41</v>
      </c>
      <c r="P115" s="215">
        <f t="shared" si="41"/>
        <v>21155</v>
      </c>
      <c r="Q115" s="213">
        <f t="shared" si="51"/>
        <v>6818.955392720809</v>
      </c>
      <c r="R115" s="201">
        <f t="shared" si="31"/>
        <v>0</v>
      </c>
      <c r="S115" s="213">
        <f t="shared" si="42"/>
        <v>0</v>
      </c>
      <c r="T115" s="213"/>
      <c r="U115" s="213">
        <f t="shared" si="43"/>
        <v>-226.91973380603451</v>
      </c>
      <c r="V115" s="201">
        <f t="shared" si="46"/>
        <v>-91.658333333333346</v>
      </c>
      <c r="W115" s="204">
        <f t="shared" si="33"/>
        <v>6500.3773255814403</v>
      </c>
      <c r="X115" s="216">
        <f t="shared" si="44"/>
        <v>173211.89055052085</v>
      </c>
      <c r="Z115" s="206">
        <f t="shared" si="45"/>
        <v>43996</v>
      </c>
      <c r="AA115" s="193">
        <f t="shared" si="34"/>
        <v>0</v>
      </c>
      <c r="AB115" s="206">
        <f t="shared" si="35"/>
        <v>43996</v>
      </c>
    </row>
    <row r="116" spans="9:28" s="177" customFormat="1" x14ac:dyDescent="0.45">
      <c r="I116" s="279">
        <f t="shared" si="37"/>
        <v>42</v>
      </c>
      <c r="J116" s="280"/>
      <c r="K116" s="280"/>
      <c r="L116" s="280"/>
      <c r="M116" s="281">
        <f t="shared" si="28"/>
        <v>0</v>
      </c>
      <c r="O116" s="279">
        <f t="shared" si="40"/>
        <v>42</v>
      </c>
      <c r="P116" s="215">
        <f t="shared" si="41"/>
        <v>21675.125</v>
      </c>
      <c r="Q116" s="213">
        <f t="shared" si="51"/>
        <v>6818.955392720809</v>
      </c>
      <c r="R116" s="201">
        <f t="shared" si="31"/>
        <v>0</v>
      </c>
      <c r="S116" s="213">
        <f t="shared" si="42"/>
        <v>0</v>
      </c>
      <c r="T116" s="213"/>
      <c r="U116" s="213">
        <f t="shared" si="43"/>
        <v>-226.91973380603451</v>
      </c>
      <c r="V116" s="201">
        <f t="shared" si="46"/>
        <v>-86.983333333333334</v>
      </c>
      <c r="W116" s="204">
        <f t="shared" si="33"/>
        <v>6505.0523255814405</v>
      </c>
      <c r="X116" s="216">
        <f t="shared" si="44"/>
        <v>179716.94287610229</v>
      </c>
      <c r="Z116" s="206">
        <f t="shared" si="45"/>
        <v>41752</v>
      </c>
      <c r="AA116" s="193">
        <f t="shared" si="34"/>
        <v>0</v>
      </c>
      <c r="AB116" s="206">
        <f t="shared" si="35"/>
        <v>41752</v>
      </c>
    </row>
    <row r="117" spans="9:28" s="177" customFormat="1" x14ac:dyDescent="0.45">
      <c r="I117" s="279">
        <f t="shared" si="37"/>
        <v>43</v>
      </c>
      <c r="J117" s="280"/>
      <c r="K117" s="280"/>
      <c r="L117" s="280"/>
      <c r="M117" s="281">
        <f t="shared" si="28"/>
        <v>0</v>
      </c>
      <c r="O117" s="279">
        <f t="shared" si="40"/>
        <v>43</v>
      </c>
      <c r="P117" s="215">
        <f t="shared" si="41"/>
        <v>22195.25</v>
      </c>
      <c r="Q117" s="213">
        <f t="shared" si="51"/>
        <v>6818.955392720809</v>
      </c>
      <c r="R117" s="201">
        <f t="shared" si="31"/>
        <v>0</v>
      </c>
      <c r="S117" s="213">
        <f t="shared" si="42"/>
        <v>0</v>
      </c>
      <c r="T117" s="213"/>
      <c r="U117" s="213">
        <f t="shared" si="43"/>
        <v>-226.91973380603451</v>
      </c>
      <c r="V117" s="201">
        <f t="shared" si="46"/>
        <v>-82.308333333333337</v>
      </c>
      <c r="W117" s="204">
        <f t="shared" si="33"/>
        <v>6509.7273255814407</v>
      </c>
      <c r="X117" s="216">
        <f t="shared" si="44"/>
        <v>186226.67020168374</v>
      </c>
      <c r="Z117" s="206">
        <f t="shared" si="45"/>
        <v>39508</v>
      </c>
      <c r="AA117" s="193">
        <f t="shared" si="34"/>
        <v>0</v>
      </c>
      <c r="AB117" s="206">
        <f t="shared" si="35"/>
        <v>39508</v>
      </c>
    </row>
    <row r="118" spans="9:28" s="177" customFormat="1" x14ac:dyDescent="0.45">
      <c r="I118" s="279">
        <f t="shared" si="37"/>
        <v>44</v>
      </c>
      <c r="J118" s="280"/>
      <c r="K118" s="280"/>
      <c r="L118" s="280"/>
      <c r="M118" s="281">
        <f t="shared" si="28"/>
        <v>0</v>
      </c>
      <c r="O118" s="279">
        <f t="shared" si="40"/>
        <v>44</v>
      </c>
      <c r="P118" s="215">
        <f t="shared" si="41"/>
        <v>22715.375</v>
      </c>
      <c r="Q118" s="213">
        <f t="shared" si="51"/>
        <v>6818.955392720809</v>
      </c>
      <c r="R118" s="201">
        <f t="shared" si="31"/>
        <v>0</v>
      </c>
      <c r="S118" s="213">
        <f t="shared" si="42"/>
        <v>0</v>
      </c>
      <c r="T118" s="213"/>
      <c r="U118" s="213">
        <f t="shared" si="43"/>
        <v>-226.91973380603451</v>
      </c>
      <c r="V118" s="201">
        <f t="shared" si="46"/>
        <v>-77.63333333333334</v>
      </c>
      <c r="W118" s="204">
        <f t="shared" si="33"/>
        <v>6514.4023255814409</v>
      </c>
      <c r="X118" s="216">
        <f t="shared" si="44"/>
        <v>192741.07252726518</v>
      </c>
      <c r="Z118" s="206">
        <f t="shared" si="45"/>
        <v>37264</v>
      </c>
      <c r="AA118" s="193">
        <f t="shared" si="34"/>
        <v>0</v>
      </c>
      <c r="AB118" s="206">
        <f t="shared" si="35"/>
        <v>37264</v>
      </c>
    </row>
    <row r="119" spans="9:28" s="177" customFormat="1" x14ac:dyDescent="0.45">
      <c r="I119" s="279">
        <f t="shared" si="37"/>
        <v>45</v>
      </c>
      <c r="J119" s="280"/>
      <c r="K119" s="280"/>
      <c r="L119" s="280"/>
      <c r="M119" s="281">
        <f t="shared" si="28"/>
        <v>0</v>
      </c>
      <c r="O119" s="279">
        <f t="shared" si="40"/>
        <v>45</v>
      </c>
      <c r="P119" s="215">
        <f t="shared" si="41"/>
        <v>23235.5</v>
      </c>
      <c r="Q119" s="213">
        <f t="shared" si="51"/>
        <v>6818.955392720809</v>
      </c>
      <c r="R119" s="201">
        <f t="shared" si="31"/>
        <v>0</v>
      </c>
      <c r="S119" s="213">
        <f t="shared" si="42"/>
        <v>0</v>
      </c>
      <c r="T119" s="213"/>
      <c r="U119" s="213">
        <f t="shared" si="43"/>
        <v>-226.91973380603451</v>
      </c>
      <c r="V119" s="201">
        <f t="shared" si="46"/>
        <v>-72.958333333333329</v>
      </c>
      <c r="W119" s="204">
        <f t="shared" si="33"/>
        <v>6519.0773255814411</v>
      </c>
      <c r="X119" s="216">
        <f t="shared" si="44"/>
        <v>199260.1498528466</v>
      </c>
      <c r="Z119" s="206">
        <f t="shared" si="45"/>
        <v>35020</v>
      </c>
      <c r="AA119" s="193">
        <f t="shared" si="34"/>
        <v>0</v>
      </c>
      <c r="AB119" s="206">
        <f t="shared" si="35"/>
        <v>35020</v>
      </c>
    </row>
    <row r="120" spans="9:28" s="177" customFormat="1" x14ac:dyDescent="0.45">
      <c r="I120" s="279">
        <f t="shared" si="37"/>
        <v>46</v>
      </c>
      <c r="J120" s="280"/>
      <c r="K120" s="280"/>
      <c r="L120" s="280"/>
      <c r="M120" s="281">
        <f t="shared" si="28"/>
        <v>0</v>
      </c>
      <c r="O120" s="279">
        <f t="shared" si="40"/>
        <v>46</v>
      </c>
      <c r="P120" s="215">
        <f t="shared" si="41"/>
        <v>23755.625</v>
      </c>
      <c r="Q120" s="213">
        <f t="shared" si="51"/>
        <v>6818.955392720809</v>
      </c>
      <c r="R120" s="201">
        <f t="shared" si="31"/>
        <v>0</v>
      </c>
      <c r="S120" s="213">
        <f t="shared" si="42"/>
        <v>0</v>
      </c>
      <c r="T120" s="213"/>
      <c r="U120" s="213">
        <f t="shared" si="43"/>
        <v>-226.91973380603451</v>
      </c>
      <c r="V120" s="201">
        <f t="shared" si="46"/>
        <v>-68.283333333333346</v>
      </c>
      <c r="W120" s="204">
        <f t="shared" si="33"/>
        <v>6523.7523255814403</v>
      </c>
      <c r="X120" s="216">
        <f t="shared" si="44"/>
        <v>205783.90217842805</v>
      </c>
      <c r="Z120" s="206">
        <f t="shared" si="45"/>
        <v>32776</v>
      </c>
      <c r="AA120" s="193">
        <f t="shared" si="34"/>
        <v>0</v>
      </c>
      <c r="AB120" s="206">
        <f t="shared" si="35"/>
        <v>32776</v>
      </c>
    </row>
    <row r="121" spans="9:28" s="177" customFormat="1" x14ac:dyDescent="0.45">
      <c r="I121" s="279">
        <f t="shared" si="37"/>
        <v>47</v>
      </c>
      <c r="J121" s="280"/>
      <c r="K121" s="280"/>
      <c r="L121" s="280"/>
      <c r="M121" s="281">
        <f t="shared" si="28"/>
        <v>0</v>
      </c>
      <c r="O121" s="279">
        <f t="shared" si="40"/>
        <v>47</v>
      </c>
      <c r="P121" s="215">
        <f t="shared" si="41"/>
        <v>24275.75</v>
      </c>
      <c r="Q121" s="213">
        <f t="shared" si="51"/>
        <v>6818.955392720809</v>
      </c>
      <c r="R121" s="201">
        <f t="shared" si="31"/>
        <v>0</v>
      </c>
      <c r="S121" s="213">
        <f t="shared" si="42"/>
        <v>0</v>
      </c>
      <c r="T121" s="213"/>
      <c r="U121" s="213">
        <f t="shared" si="43"/>
        <v>-226.91973380603451</v>
      </c>
      <c r="V121" s="201">
        <f t="shared" si="46"/>
        <v>-63.608333333333341</v>
      </c>
      <c r="W121" s="204">
        <f t="shared" si="33"/>
        <v>6528.4273255814405</v>
      </c>
      <c r="X121" s="216">
        <f t="shared" si="44"/>
        <v>212312.32950400948</v>
      </c>
      <c r="Z121" s="206">
        <f t="shared" si="45"/>
        <v>30532</v>
      </c>
      <c r="AA121" s="193">
        <f t="shared" si="34"/>
        <v>0</v>
      </c>
      <c r="AB121" s="206">
        <f t="shared" si="35"/>
        <v>30532</v>
      </c>
    </row>
    <row r="122" spans="9:28" s="177" customFormat="1" ht="14.65" thickBot="1" x14ac:dyDescent="0.5">
      <c r="I122" s="279">
        <f t="shared" si="37"/>
        <v>48</v>
      </c>
      <c r="J122" s="280"/>
      <c r="K122" s="280"/>
      <c r="L122" s="280"/>
      <c r="M122" s="281">
        <f t="shared" si="28"/>
        <v>0</v>
      </c>
      <c r="O122" s="279">
        <f t="shared" si="40"/>
        <v>48</v>
      </c>
      <c r="P122" s="215">
        <f t="shared" si="41"/>
        <v>24795.875</v>
      </c>
      <c r="Q122" s="213">
        <f t="shared" si="51"/>
        <v>6818.955392720809</v>
      </c>
      <c r="R122" s="201">
        <f t="shared" si="31"/>
        <v>0</v>
      </c>
      <c r="S122" s="213">
        <f t="shared" si="42"/>
        <v>0</v>
      </c>
      <c r="T122" s="213">
        <f>-T124*0.5</f>
        <v>0</v>
      </c>
      <c r="U122" s="213">
        <f t="shared" si="43"/>
        <v>-226.91973380603451</v>
      </c>
      <c r="V122" s="201">
        <f t="shared" si="46"/>
        <v>-58.933333333333337</v>
      </c>
      <c r="W122" s="204">
        <f t="shared" si="33"/>
        <v>6533.1023255814407</v>
      </c>
      <c r="X122" s="285">
        <f t="shared" si="44"/>
        <v>218845.43182959093</v>
      </c>
      <c r="Z122" s="206">
        <f t="shared" si="45"/>
        <v>28288</v>
      </c>
      <c r="AA122" s="193">
        <f t="shared" si="34"/>
        <v>0</v>
      </c>
      <c r="AB122" s="206">
        <f t="shared" si="35"/>
        <v>28288</v>
      </c>
    </row>
    <row r="123" spans="9:28" s="177" customFormat="1" ht="14.65" thickBot="1" x14ac:dyDescent="0.5">
      <c r="I123" s="286" t="s">
        <v>20</v>
      </c>
      <c r="J123" s="267">
        <f>C75*C79</f>
        <v>68</v>
      </c>
      <c r="K123" s="267">
        <f>SUM(K75:K122)</f>
        <v>569.94587966263168</v>
      </c>
      <c r="L123" s="287">
        <f>+SUM(L75:L122)</f>
        <v>-7369.8940007138935</v>
      </c>
      <c r="M123" s="288"/>
      <c r="O123" s="289"/>
      <c r="P123" s="290"/>
      <c r="Q123" s="287"/>
      <c r="R123" s="267">
        <f>SUM(R75:R122)</f>
        <v>-7369.8940007138935</v>
      </c>
      <c r="S123" s="291">
        <f>SUM(S75:S122)</f>
        <v>0</v>
      </c>
      <c r="T123" s="291">
        <f>SUM(T75:T122)</f>
        <v>0</v>
      </c>
      <c r="U123" s="267">
        <f>SUM(U75:U122)</f>
        <v>-10892.147222689664</v>
      </c>
      <c r="V123" s="267">
        <f>SUM(V75:V122)</f>
        <v>-8102.2000000000025</v>
      </c>
      <c r="W123" s="292"/>
      <c r="X123" s="288"/>
    </row>
    <row r="124" spans="9:28" s="177" customFormat="1" x14ac:dyDescent="0.45">
      <c r="Q124" s="293"/>
      <c r="R124" s="293"/>
      <c r="S124" s="294">
        <f>D99</f>
        <v>0</v>
      </c>
      <c r="T124" s="246">
        <f>D100</f>
        <v>0</v>
      </c>
      <c r="U124" s="293"/>
      <c r="V124" s="293"/>
      <c r="W124" s="293"/>
      <c r="X124" s="293"/>
    </row>
    <row r="125" spans="9:28" s="177" customFormat="1" ht="14.65" thickBot="1" x14ac:dyDescent="0.5">
      <c r="L125" s="295">
        <f>+PMT(C76/12,C80,(C75),,)</f>
        <v>-204.71927779760827</v>
      </c>
      <c r="Q125" s="293"/>
      <c r="R125" s="293"/>
      <c r="S125" s="296">
        <f>S123+S124</f>
        <v>0</v>
      </c>
      <c r="T125" s="254">
        <f>T123+T124</f>
        <v>0</v>
      </c>
      <c r="U125" s="293"/>
      <c r="V125" s="293"/>
      <c r="W125" s="293"/>
      <c r="X125" s="293"/>
    </row>
    <row r="126" spans="9:28" s="177" customFormat="1" x14ac:dyDescent="0.45"/>
    <row r="127" spans="9:28" s="177" customFormat="1" x14ac:dyDescent="0.45"/>
    <row r="128" spans="9:28" s="177" customFormat="1" x14ac:dyDescent="0.45"/>
    <row r="129" s="177" customFormat="1" x14ac:dyDescent="0.45"/>
    <row r="130" s="177" customFormat="1" x14ac:dyDescent="0.45"/>
  </sheetData>
  <mergeCells count="21">
    <mergeCell ref="B110:E110"/>
    <mergeCell ref="B111:E111"/>
    <mergeCell ref="A73:C73"/>
    <mergeCell ref="I73:M73"/>
    <mergeCell ref="O73:X73"/>
    <mergeCell ref="A84:E84"/>
    <mergeCell ref="A93:G93"/>
    <mergeCell ref="A109:G109"/>
    <mergeCell ref="A71:C71"/>
    <mergeCell ref="D71:X71"/>
    <mergeCell ref="A1:X1"/>
    <mergeCell ref="A3:C3"/>
    <mergeCell ref="D3:X3"/>
    <mergeCell ref="A5:C5"/>
    <mergeCell ref="I5:M5"/>
    <mergeCell ref="O5:X5"/>
    <mergeCell ref="A16:E16"/>
    <mergeCell ref="A25:G25"/>
    <mergeCell ref="A41:G41"/>
    <mergeCell ref="B42:E42"/>
    <mergeCell ref="B43:E43"/>
  </mergeCells>
  <printOptions horizontalCentered="1"/>
  <pageMargins left="0.70866141732283505" right="0.70866141732283505" top="0.74803149606299202" bottom="0.74803149606299202" header="0.31496062992126" footer="0.31496062992126"/>
  <headerFooter>
    <oddHeader>&amp;R&amp;A</oddHeader>
    <oddFooter>&amp;L&amp;D&amp;C&amp;P&amp;R&amp;A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31999-7E56-488A-B410-A2B784DCEDC7}">
  <dimension ref="B2:AA78"/>
  <sheetViews>
    <sheetView zoomScale="88" zoomScaleNormal="115" workbookViewId="0">
      <selection activeCell="Y12" sqref="Y12"/>
    </sheetView>
  </sheetViews>
  <sheetFormatPr defaultRowHeight="14.25" x14ac:dyDescent="0.45"/>
  <cols>
    <col min="2" max="2" width="15.73046875" customWidth="1"/>
    <col min="3" max="3" width="23.265625" customWidth="1"/>
    <col min="4" max="4" width="16.86328125" bestFit="1" customWidth="1"/>
    <col min="5" max="5" width="15.59765625" customWidth="1"/>
    <col min="6" max="6" width="13.06640625" customWidth="1"/>
    <col min="7" max="7" width="12" customWidth="1"/>
    <col min="8" max="8" width="9.46484375" bestFit="1" customWidth="1"/>
    <col min="9" max="10" width="10.265625" customWidth="1"/>
    <col min="11" max="11" width="11.59765625" customWidth="1"/>
    <col min="12" max="12" width="9.06640625" customWidth="1"/>
    <col min="13" max="13" width="16.53125" customWidth="1"/>
    <col min="14" max="14" width="9.06640625" customWidth="1"/>
    <col min="15" max="16" width="9.59765625" bestFit="1" customWidth="1"/>
    <col min="17" max="18" width="9.06640625" customWidth="1"/>
    <col min="19" max="19" width="27.19921875" customWidth="1"/>
    <col min="20" max="20" width="21.3984375" bestFit="1" customWidth="1"/>
    <col min="21" max="21" width="14.46484375" bestFit="1" customWidth="1"/>
    <col min="22" max="24" width="15.3984375" bestFit="1" customWidth="1"/>
    <col min="25" max="25" width="14.3984375" bestFit="1" customWidth="1"/>
    <col min="26" max="26" width="15.3984375" bestFit="1" customWidth="1"/>
    <col min="27" max="28" width="9.59765625" customWidth="1"/>
    <col min="32" max="33" width="9.59765625" bestFit="1" customWidth="1"/>
  </cols>
  <sheetData>
    <row r="2" spans="2:26" ht="14.25" customHeight="1" x14ac:dyDescent="0.45">
      <c r="C2" s="625" t="s">
        <v>282</v>
      </c>
      <c r="D2" s="625"/>
      <c r="E2" s="625"/>
      <c r="F2" s="625"/>
      <c r="G2" s="625"/>
      <c r="H2" s="625"/>
      <c r="I2" s="625"/>
      <c r="J2" s="625"/>
      <c r="K2" s="625"/>
      <c r="L2" s="612"/>
      <c r="M2" s="612"/>
      <c r="N2" s="612"/>
      <c r="O2" s="612"/>
      <c r="P2" s="612"/>
    </row>
    <row r="3" spans="2:26" ht="14.25" customHeight="1" x14ac:dyDescent="0.45">
      <c r="C3" s="625"/>
      <c r="D3" s="625"/>
      <c r="E3" s="625"/>
      <c r="F3" s="625"/>
      <c r="G3" s="625"/>
      <c r="H3" s="625"/>
      <c r="I3" s="625"/>
      <c r="J3" s="625"/>
      <c r="K3" s="625"/>
      <c r="L3" s="612"/>
      <c r="M3" s="612"/>
      <c r="N3" s="612"/>
      <c r="O3" s="612"/>
      <c r="P3" s="612"/>
    </row>
    <row r="4" spans="2:26" ht="15.75" x14ac:dyDescent="0.5">
      <c r="C4" s="538" t="s">
        <v>271</v>
      </c>
      <c r="D4" s="624" t="s">
        <v>284</v>
      </c>
      <c r="E4" s="624"/>
      <c r="F4" s="624"/>
      <c r="G4" s="624"/>
      <c r="H4" s="624" t="s">
        <v>335</v>
      </c>
      <c r="I4" s="624"/>
      <c r="J4" s="624"/>
      <c r="K4" s="624"/>
      <c r="M4" s="622" t="s">
        <v>274</v>
      </c>
      <c r="N4" s="622"/>
      <c r="O4" s="622" t="s">
        <v>275</v>
      </c>
      <c r="P4" s="622"/>
    </row>
    <row r="5" spans="2:26" ht="47.25" x14ac:dyDescent="0.45">
      <c r="C5" s="614" t="s">
        <v>236</v>
      </c>
      <c r="D5" s="614" t="s">
        <v>261</v>
      </c>
      <c r="E5" s="614" t="s">
        <v>236</v>
      </c>
      <c r="F5" s="614" t="s">
        <v>266</v>
      </c>
      <c r="G5" s="614" t="s">
        <v>267</v>
      </c>
      <c r="H5" s="615" t="s">
        <v>298</v>
      </c>
      <c r="I5" s="615" t="s">
        <v>299</v>
      </c>
      <c r="J5" s="615" t="s">
        <v>300</v>
      </c>
      <c r="K5" s="616" t="s">
        <v>307</v>
      </c>
      <c r="L5" s="540"/>
      <c r="M5" s="542" t="s">
        <v>272</v>
      </c>
      <c r="N5" s="542" t="s">
        <v>200</v>
      </c>
      <c r="O5" s="542" t="s">
        <v>273</v>
      </c>
      <c r="P5" s="542" t="s">
        <v>242</v>
      </c>
    </row>
    <row r="6" spans="2:26" ht="15.75" x14ac:dyDescent="0.5">
      <c r="B6" s="543" t="s">
        <v>276</v>
      </c>
      <c r="C6" s="574">
        <f>'Rate Calcs East Pit'!W15</f>
        <v>4.0777974265984701E-2</v>
      </c>
      <c r="D6" s="574">
        <f>'Rate Calcs East Pit'!X15</f>
        <v>1.2599058522025011</v>
      </c>
      <c r="E6" s="574">
        <f>'Rate Calcs East Pit'!Y15</f>
        <v>2.3056277095305768</v>
      </c>
      <c r="F6" s="574">
        <f>'Rate Calcs East Pit'!Z15</f>
        <v>12.914034985075636</v>
      </c>
      <c r="G6" s="574">
        <f>'Rate Calcs East Pit'!AA15</f>
        <v>23.632684022688412</v>
      </c>
      <c r="H6" s="544"/>
      <c r="I6" s="544"/>
      <c r="J6" s="544"/>
      <c r="K6" s="544"/>
      <c r="L6" s="544"/>
      <c r="M6" s="544">
        <f>'Rate Calcs East Pit'!AC15</f>
        <v>1.6924893456893233</v>
      </c>
      <c r="N6" s="544">
        <f>'Rate Calcs East Pit'!AD15</f>
        <v>3.0972555026114614</v>
      </c>
      <c r="O6" s="544">
        <f>'Rate Calcs East Pit'!AE15</f>
        <v>17.348015793315565</v>
      </c>
      <c r="P6" s="544">
        <f>'Rate Calcs East Pit'!AF15</f>
        <v>31.746868901767481</v>
      </c>
      <c r="U6">
        <v>2023</v>
      </c>
      <c r="V6">
        <v>2024</v>
      </c>
      <c r="W6">
        <v>2025</v>
      </c>
      <c r="X6">
        <v>2026</v>
      </c>
      <c r="Y6">
        <v>2027</v>
      </c>
      <c r="Z6" t="s">
        <v>28</v>
      </c>
    </row>
    <row r="7" spans="2:26" ht="15.75" x14ac:dyDescent="0.5">
      <c r="B7" s="543" t="s">
        <v>277</v>
      </c>
      <c r="C7" s="574">
        <f>'Rate Calcs East Pit'!W39</f>
        <v>4.0777974265984701E-2</v>
      </c>
      <c r="D7" s="574">
        <f>'Rate Calcs East Pit'!X39</f>
        <v>10.945344041005345</v>
      </c>
      <c r="E7" s="574">
        <f>'Rate Calcs East Pit'!Y39</f>
        <v>20.029979595039784</v>
      </c>
      <c r="F7" s="574">
        <f>'Rate Calcs East Pit'!Z39</f>
        <v>112.1897764203048</v>
      </c>
      <c r="G7" s="574">
        <f>'Rate Calcs East Pit'!AA39</f>
        <v>205.30729084915779</v>
      </c>
      <c r="H7" s="544"/>
      <c r="I7" s="544"/>
      <c r="J7" s="544"/>
      <c r="K7" s="544"/>
      <c r="L7" s="544"/>
      <c r="M7" s="544">
        <f>'Rate Calcs East Pit'!AC39</f>
        <v>14.477267754909079</v>
      </c>
      <c r="N7" s="544">
        <f>'Rate Calcs East Pit'!AD39</f>
        <v>26.493399991483617</v>
      </c>
      <c r="O7" s="544">
        <f>'Rate Calcs East Pit'!AE39</f>
        <v>148.39199448781807</v>
      </c>
      <c r="P7" s="544">
        <f>'Rate Calcs East Pit'!AF39</f>
        <v>271.55734991270708</v>
      </c>
      <c r="T7" t="s">
        <v>323</v>
      </c>
      <c r="U7" s="610">
        <v>10000000</v>
      </c>
      <c r="V7" s="610">
        <v>11000000</v>
      </c>
      <c r="W7" s="610">
        <v>9000000</v>
      </c>
      <c r="X7" s="610">
        <v>8000000</v>
      </c>
      <c r="Y7" s="610">
        <v>900000</v>
      </c>
      <c r="Z7" s="304">
        <f t="shared" ref="Z7:Z11" si="0">SUM(U7:Y7)</f>
        <v>38900000</v>
      </c>
    </row>
    <row r="8" spans="2:26" ht="15.75" x14ac:dyDescent="0.5">
      <c r="B8" s="470"/>
      <c r="C8" s="575"/>
      <c r="D8" s="575"/>
      <c r="E8" s="575"/>
      <c r="F8" s="575"/>
      <c r="G8" s="575"/>
      <c r="H8" s="541"/>
      <c r="I8" s="541"/>
      <c r="J8" s="541"/>
      <c r="K8" s="541"/>
      <c r="L8" s="541"/>
      <c r="M8" s="541"/>
      <c r="N8" s="541"/>
      <c r="O8" s="541"/>
      <c r="P8" s="541"/>
      <c r="T8" t="s">
        <v>324</v>
      </c>
      <c r="U8" s="610">
        <v>0</v>
      </c>
      <c r="V8" s="610">
        <v>400000</v>
      </c>
      <c r="W8" s="610">
        <v>2400000</v>
      </c>
      <c r="X8" s="610">
        <v>1900000</v>
      </c>
      <c r="Y8" s="610">
        <v>700000</v>
      </c>
      <c r="Z8" s="304">
        <f t="shared" si="0"/>
        <v>5400000</v>
      </c>
    </row>
    <row r="9" spans="2:26" ht="15.75" x14ac:dyDescent="0.5">
      <c r="B9" s="543" t="s">
        <v>279</v>
      </c>
      <c r="C9" s="574">
        <f>'Rate Calcs East Pit'!W27</f>
        <v>4.0777974265984701E-2</v>
      </c>
      <c r="D9" s="574">
        <f>'Rate Calcs East Pit'!X27</f>
        <v>1.2074109356937095</v>
      </c>
      <c r="E9" s="574">
        <f>'Rate Calcs East Pit'!Y27</f>
        <v>2.2095620123194886</v>
      </c>
      <c r="F9" s="574">
        <f>'Rate Calcs East Pit'!Z27</f>
        <v>12.375962090860522</v>
      </c>
      <c r="G9" s="574">
        <f>'Rate Calcs East Pit'!AA27</f>
        <v>22.648010626274758</v>
      </c>
      <c r="H9" s="544"/>
      <c r="I9" s="544"/>
      <c r="J9" s="544"/>
      <c r="K9" s="544"/>
      <c r="L9" s="544"/>
      <c r="M9" s="544">
        <f>'Rate Calcs East Pit'!AC27</f>
        <v>1.6231960558977185</v>
      </c>
      <c r="N9" s="544">
        <f>'Rate Calcs East Pit'!AD27</f>
        <v>2.9704487822928249</v>
      </c>
      <c r="O9" s="544">
        <f>'Rate Calcs East Pit'!AE27</f>
        <v>16.637759572951616</v>
      </c>
      <c r="P9" s="544">
        <f>'Rate Calcs East Pit'!AF27</f>
        <v>30.447100018501455</v>
      </c>
      <c r="U9" s="611"/>
      <c r="V9" s="611"/>
      <c r="W9" s="611"/>
      <c r="X9" s="611"/>
      <c r="Y9" s="611"/>
      <c r="Z9" s="304">
        <f t="shared" si="0"/>
        <v>0</v>
      </c>
    </row>
    <row r="10" spans="2:26" ht="15.75" x14ac:dyDescent="0.5">
      <c r="B10" s="543" t="s">
        <v>280</v>
      </c>
      <c r="C10" s="574">
        <f>'Rate Calcs East Pit'!W50</f>
        <v>4.0777974265984701E-2</v>
      </c>
      <c r="D10" s="574">
        <f>'Rate Calcs East Pit'!X50</f>
        <v>1.0587864784115837</v>
      </c>
      <c r="E10" s="574">
        <f>'Rate Calcs East Pit'!Y50</f>
        <v>1.9375792554931983</v>
      </c>
      <c r="F10" s="574">
        <f>'Rate Calcs East Pit'!Z50</f>
        <v>10.852561403718733</v>
      </c>
      <c r="G10" s="574">
        <f>'Rate Calcs East Pit'!AA50</f>
        <v>19.860187368805281</v>
      </c>
      <c r="H10" s="544"/>
      <c r="I10" s="544"/>
      <c r="J10" s="544"/>
      <c r="K10" s="544"/>
      <c r="L10" s="544"/>
      <c r="M10" s="544">
        <f>'Rate Calcs East Pit'!AC50</f>
        <v>1.4270117722853124</v>
      </c>
      <c r="N10" s="544">
        <f>'Rate Calcs East Pit'!AD50</f>
        <v>2.6114315432821216</v>
      </c>
      <c r="O10" s="544">
        <f>'Rate Calcs East Pit'!AE50</f>
        <v>14.626870665924452</v>
      </c>
      <c r="P10" s="544">
        <f>'Rate Calcs East Pit'!AF50</f>
        <v>26.767173318641746</v>
      </c>
      <c r="T10" t="s">
        <v>325</v>
      </c>
      <c r="U10" s="610">
        <v>5000000</v>
      </c>
      <c r="V10" s="610">
        <v>6500000</v>
      </c>
      <c r="W10" s="610">
        <v>5800000</v>
      </c>
      <c r="X10" s="610">
        <v>6500000</v>
      </c>
      <c r="Y10" s="610">
        <v>20000</v>
      </c>
      <c r="Z10" s="304">
        <f t="shared" si="0"/>
        <v>23820000</v>
      </c>
    </row>
    <row r="11" spans="2:26" x14ac:dyDescent="0.45">
      <c r="B11" s="470"/>
      <c r="T11" t="s">
        <v>326</v>
      </c>
      <c r="U11" s="610">
        <v>0</v>
      </c>
      <c r="V11" s="610">
        <v>500000</v>
      </c>
      <c r="W11" s="610">
        <v>500000</v>
      </c>
      <c r="X11" s="610">
        <v>1600000</v>
      </c>
      <c r="Y11" s="610">
        <v>200000</v>
      </c>
      <c r="Z11" s="304">
        <f t="shared" si="0"/>
        <v>2800000</v>
      </c>
    </row>
    <row r="12" spans="2:26" ht="18" x14ac:dyDescent="0.55000000000000004">
      <c r="B12" s="545" t="s">
        <v>278</v>
      </c>
      <c r="C12" s="571">
        <f>C6</f>
        <v>4.0777974265984701E-2</v>
      </c>
      <c r="D12" s="571">
        <f>D6+D7</f>
        <v>12.205249893207846</v>
      </c>
      <c r="E12" s="571">
        <f t="shared" ref="E12:P12" si="1">E6+E7</f>
        <v>22.33560730457036</v>
      </c>
      <c r="F12" s="546">
        <f t="shared" si="1"/>
        <v>125.10381140538043</v>
      </c>
      <c r="G12" s="546">
        <f t="shared" si="1"/>
        <v>228.9399748718462</v>
      </c>
      <c r="H12" s="571">
        <f>(C12/ASSUMPTIONS!B53)+D12</f>
        <v>12.227532939254832</v>
      </c>
      <c r="I12" s="613">
        <f>E12+C12</f>
        <v>22.376385278836345</v>
      </c>
      <c r="J12" s="573">
        <f>I12*ASSUMPTIONS!$B$3</f>
        <v>229.35794910807255</v>
      </c>
      <c r="K12" s="546">
        <f>H12*ASSUMPTIONS!$B$3</f>
        <v>125.33221262736203</v>
      </c>
      <c r="L12" s="546"/>
      <c r="M12" s="546">
        <f t="shared" si="1"/>
        <v>16.169757100598403</v>
      </c>
      <c r="N12" s="546">
        <f t="shared" si="1"/>
        <v>29.590655494095078</v>
      </c>
      <c r="O12" s="546">
        <f t="shared" si="1"/>
        <v>165.74001028113364</v>
      </c>
      <c r="P12" s="546">
        <f t="shared" si="1"/>
        <v>303.30421881447455</v>
      </c>
      <c r="T12" t="s">
        <v>28</v>
      </c>
      <c r="U12" s="304">
        <f>SUM(U7:U11)</f>
        <v>15000000</v>
      </c>
      <c r="V12" s="304">
        <f t="shared" ref="V12:Y12" si="2">SUM(V7:V11)</f>
        <v>18400000</v>
      </c>
      <c r="W12" s="304">
        <f t="shared" si="2"/>
        <v>17700000</v>
      </c>
      <c r="X12" s="304">
        <f t="shared" si="2"/>
        <v>18000000</v>
      </c>
      <c r="Y12" s="304">
        <f t="shared" si="2"/>
        <v>1820000</v>
      </c>
      <c r="Z12" s="304">
        <f>SUM(U12:Y12)</f>
        <v>70920000</v>
      </c>
    </row>
    <row r="13" spans="2:26" ht="18" x14ac:dyDescent="0.55000000000000004">
      <c r="B13" s="545" t="s">
        <v>281</v>
      </c>
      <c r="C13" s="571">
        <f>C7</f>
        <v>4.0777974265984701E-2</v>
      </c>
      <c r="D13" s="571">
        <f>D9+D10</f>
        <v>2.2661974141052932</v>
      </c>
      <c r="E13" s="571">
        <f t="shared" ref="E13:P13" si="3">E9+E10</f>
        <v>4.1471412678126871</v>
      </c>
      <c r="F13" s="546">
        <f t="shared" si="3"/>
        <v>23.228523494579257</v>
      </c>
      <c r="G13" s="546">
        <f t="shared" si="3"/>
        <v>42.508197995080039</v>
      </c>
      <c r="H13" s="613">
        <f>(C13/ASSUMPTIONS!$B$53)+D13</f>
        <v>2.2884804601522792</v>
      </c>
      <c r="I13" s="572">
        <f>E13+C13</f>
        <v>4.1879192420786717</v>
      </c>
      <c r="J13" s="546">
        <f>I13*ASSUMPTIONS!$B$3</f>
        <v>42.926172231306388</v>
      </c>
      <c r="K13" s="573">
        <f>H13*ASSUMPTIONS!$B$3</f>
        <v>23.456924716560863</v>
      </c>
      <c r="L13" s="546"/>
      <c r="M13" s="546">
        <f t="shared" si="3"/>
        <v>3.0502078281830309</v>
      </c>
      <c r="N13" s="546">
        <f t="shared" si="3"/>
        <v>5.5818803255749465</v>
      </c>
      <c r="O13" s="546">
        <f t="shared" si="3"/>
        <v>31.264630238876066</v>
      </c>
      <c r="P13" s="546">
        <f t="shared" si="3"/>
        <v>57.214273337143197</v>
      </c>
      <c r="U13" s="304"/>
      <c r="V13" s="304"/>
      <c r="W13" s="304"/>
      <c r="X13" s="304"/>
      <c r="Y13" s="304"/>
      <c r="Z13" s="304"/>
    </row>
    <row r="14" spans="2:26" x14ac:dyDescent="0.45">
      <c r="T14" t="s">
        <v>327</v>
      </c>
      <c r="U14" s="493">
        <f>ASSUMPTIONS!$B$96*12</f>
        <v>3896601.0335999997</v>
      </c>
      <c r="V14" s="493">
        <f>ASSUMPTIONS!$B$96*12</f>
        <v>3896601.0335999997</v>
      </c>
      <c r="W14" s="493">
        <f>ASSUMPTIONS!$B$96*12</f>
        <v>3896601.0335999997</v>
      </c>
      <c r="X14" s="493">
        <f>ASSUMPTIONS!$B$96*12</f>
        <v>3896601.0335999997</v>
      </c>
      <c r="Y14" s="493">
        <f>(ASSUMPTIONS!$B$96*12)</f>
        <v>3896601.0335999997</v>
      </c>
      <c r="Z14" s="493">
        <f t="shared" ref="Z14:Z23" si="4">SUM(U14:Y14)</f>
        <v>19483005.167999998</v>
      </c>
    </row>
    <row r="15" spans="2:26" x14ac:dyDescent="0.45">
      <c r="T15" t="s">
        <v>328</v>
      </c>
      <c r="U15" s="493">
        <f>ASSUMPTIONS!$F$96*12</f>
        <v>2968390.0224000001</v>
      </c>
      <c r="V15" s="493">
        <f>ASSUMPTIONS!$F$96*12</f>
        <v>2968390.0224000001</v>
      </c>
      <c r="W15" s="493">
        <f>ASSUMPTIONS!$F$96*12</f>
        <v>2968390.0224000001</v>
      </c>
      <c r="X15" s="493">
        <f>ASSUMPTIONS!$F$96*12</f>
        <v>2968390.0224000001</v>
      </c>
      <c r="Y15" s="493">
        <f>(ASSUMPTIONS!$F$96*12)</f>
        <v>2968390.0224000001</v>
      </c>
      <c r="Z15" s="493">
        <f t="shared" si="4"/>
        <v>14841950.112</v>
      </c>
    </row>
    <row r="16" spans="2:26" ht="14.25" customHeight="1" x14ac:dyDescent="0.45">
      <c r="C16" s="625" t="s">
        <v>283</v>
      </c>
      <c r="D16" s="625"/>
      <c r="E16" s="625"/>
      <c r="F16" s="625"/>
      <c r="G16" s="625"/>
      <c r="H16" s="625"/>
      <c r="I16" s="625"/>
      <c r="J16" s="625"/>
      <c r="K16" s="625"/>
      <c r="L16" s="612"/>
      <c r="M16" s="612"/>
      <c r="N16" s="612"/>
      <c r="O16" s="612"/>
      <c r="P16" s="612"/>
      <c r="T16" t="s">
        <v>28</v>
      </c>
      <c r="U16" s="493">
        <f>U14+U15</f>
        <v>6864991.0559999999</v>
      </c>
      <c r="V16" s="493">
        <f t="shared" ref="V16:Y16" si="5">V14+V15</f>
        <v>6864991.0559999999</v>
      </c>
      <c r="W16" s="493">
        <f t="shared" si="5"/>
        <v>6864991.0559999999</v>
      </c>
      <c r="X16" s="493">
        <f t="shared" si="5"/>
        <v>6864991.0559999999</v>
      </c>
      <c r="Y16" s="493">
        <f t="shared" si="5"/>
        <v>6864991.0559999999</v>
      </c>
      <c r="Z16" s="493">
        <f t="shared" si="4"/>
        <v>34324955.280000001</v>
      </c>
    </row>
    <row r="17" spans="2:26" ht="14.25" customHeight="1" x14ac:dyDescent="0.45">
      <c r="C17" s="625"/>
      <c r="D17" s="625"/>
      <c r="E17" s="625"/>
      <c r="F17" s="625"/>
      <c r="G17" s="625"/>
      <c r="H17" s="625"/>
      <c r="I17" s="625"/>
      <c r="J17" s="625"/>
      <c r="K17" s="625"/>
      <c r="L17" s="612"/>
      <c r="M17" s="612"/>
      <c r="N17" s="612"/>
      <c r="O17" s="612"/>
      <c r="P17" s="612"/>
      <c r="U17" s="493"/>
      <c r="V17" s="493"/>
      <c r="W17" s="493"/>
      <c r="X17" s="493"/>
      <c r="Y17" s="493"/>
      <c r="Z17" s="493">
        <f t="shared" si="4"/>
        <v>0</v>
      </c>
    </row>
    <row r="18" spans="2:26" ht="15.75" x14ac:dyDescent="0.5">
      <c r="C18" s="538" t="s">
        <v>271</v>
      </c>
      <c r="D18" s="624" t="s">
        <v>284</v>
      </c>
      <c r="E18" s="624"/>
      <c r="F18" s="624"/>
      <c r="G18" s="624"/>
      <c r="H18" s="624" t="s">
        <v>335</v>
      </c>
      <c r="I18" s="624"/>
      <c r="J18" s="624"/>
      <c r="K18" s="624"/>
      <c r="M18" s="622" t="s">
        <v>274</v>
      </c>
      <c r="N18" s="622"/>
      <c r="O18" s="622" t="s">
        <v>275</v>
      </c>
      <c r="P18" s="622"/>
      <c r="T18" t="s">
        <v>330</v>
      </c>
      <c r="U18" s="493">
        <f>U7*$I$13</f>
        <v>41879192.420786716</v>
      </c>
      <c r="V18" s="493">
        <f>V7*$I$13</f>
        <v>46067111.662865385</v>
      </c>
      <c r="W18" s="493">
        <f>W7*$I$13</f>
        <v>37691273.178708047</v>
      </c>
      <c r="X18" s="493">
        <f>X7*$I$13</f>
        <v>33503353.936629374</v>
      </c>
      <c r="Y18" s="493">
        <f>Y7*$I$13</f>
        <v>3769127.3178708046</v>
      </c>
      <c r="Z18" s="493">
        <f t="shared" si="4"/>
        <v>162910058.51686034</v>
      </c>
    </row>
    <row r="19" spans="2:26" ht="34.15" customHeight="1" x14ac:dyDescent="0.45">
      <c r="C19" s="614" t="s">
        <v>236</v>
      </c>
      <c r="D19" s="614" t="s">
        <v>261</v>
      </c>
      <c r="E19" s="614" t="s">
        <v>236</v>
      </c>
      <c r="F19" s="614" t="s">
        <v>266</v>
      </c>
      <c r="G19" s="614" t="s">
        <v>267</v>
      </c>
      <c r="H19" s="615" t="s">
        <v>298</v>
      </c>
      <c r="I19" s="615" t="s">
        <v>299</v>
      </c>
      <c r="J19" s="615" t="s">
        <v>300</v>
      </c>
      <c r="K19" s="616" t="s">
        <v>307</v>
      </c>
      <c r="L19" s="540"/>
      <c r="M19" s="542" t="s">
        <v>272</v>
      </c>
      <c r="N19" s="542" t="s">
        <v>200</v>
      </c>
      <c r="O19" s="542" t="s">
        <v>273</v>
      </c>
      <c r="P19" s="542" t="s">
        <v>242</v>
      </c>
      <c r="T19" t="s">
        <v>331</v>
      </c>
      <c r="U19" s="493">
        <f>$I$12*U8</f>
        <v>0</v>
      </c>
      <c r="V19" s="493">
        <f>$I$12*V8</f>
        <v>8950554.1115345377</v>
      </c>
      <c r="W19" s="493">
        <f>$I$12*W8</f>
        <v>53703324.66920723</v>
      </c>
      <c r="X19" s="493">
        <f>$I$12*X8</f>
        <v>42515132.029789053</v>
      </c>
      <c r="Y19" s="493">
        <f>$I$12*Y8</f>
        <v>15663469.695185442</v>
      </c>
      <c r="Z19" s="493">
        <f t="shared" si="4"/>
        <v>120832480.50571625</v>
      </c>
    </row>
    <row r="20" spans="2:26" ht="15.75" x14ac:dyDescent="0.5">
      <c r="B20" s="543" t="s">
        <v>276</v>
      </c>
      <c r="C20" s="574">
        <f>'Rate Calcs South Pit '!W15</f>
        <v>4.9222948508092453E-2</v>
      </c>
      <c r="D20" s="574">
        <f>'Rate Calcs South Pit '!X15</f>
        <v>1.2599058522025011</v>
      </c>
      <c r="E20" s="574">
        <f>'Rate Calcs South Pit '!Y15</f>
        <v>2.3056277095305768</v>
      </c>
      <c r="F20" s="544">
        <f>'Rate Calcs South Pit '!Z15</f>
        <v>12.914034985075636</v>
      </c>
      <c r="G20" s="544">
        <f>'Rate Calcs South Pit '!AA15</f>
        <v>23.632684022688412</v>
      </c>
      <c r="H20" s="544"/>
      <c r="I20" s="544"/>
      <c r="J20" s="544"/>
      <c r="K20" s="544"/>
      <c r="L20" s="544"/>
      <c r="M20" s="544">
        <f>'Rate Calcs South Pit '!AC15</f>
        <v>1.698580802519696</v>
      </c>
      <c r="N20" s="544">
        <f>'Rate Calcs South Pit '!AD15</f>
        <v>3.1084028686110434</v>
      </c>
      <c r="O20" s="544">
        <f>'Rate Calcs South Pit '!AE15</f>
        <v>17.410453225826885</v>
      </c>
      <c r="P20" s="544">
        <f>'Rate Calcs South Pit '!AF15</f>
        <v>31.861129403263195</v>
      </c>
      <c r="T20" t="s">
        <v>332</v>
      </c>
      <c r="U20" s="493">
        <f>$I$27*U10</f>
        <v>19440123.810226336</v>
      </c>
      <c r="V20" s="493">
        <f>$I$27*V10</f>
        <v>25272160.95329424</v>
      </c>
      <c r="W20" s="493">
        <f>$I$27*W10</f>
        <v>22550543.619862553</v>
      </c>
      <c r="X20" s="493">
        <f>$I$27*X10</f>
        <v>25272160.95329424</v>
      </c>
      <c r="Y20" s="493">
        <f>$I$27*Y10</f>
        <v>77760.495240905351</v>
      </c>
      <c r="Z20" s="493">
        <f t="shared" si="4"/>
        <v>92612749.831918284</v>
      </c>
    </row>
    <row r="21" spans="2:26" ht="15.75" x14ac:dyDescent="0.5">
      <c r="B21" s="543" t="s">
        <v>277</v>
      </c>
      <c r="C21" s="574">
        <f>'Rate Calcs South Pit '!W39</f>
        <v>4.9222948508092453E-2</v>
      </c>
      <c r="D21" s="574">
        <f>'Rate Calcs South Pit '!X39</f>
        <v>6.2081214544706818</v>
      </c>
      <c r="E21" s="574">
        <f>'Rate Calcs South Pit '!Y39</f>
        <v>11.360862261681348</v>
      </c>
      <c r="F21" s="544">
        <f>'Rate Calcs South Pit '!Z39</f>
        <v>63.633244908324485</v>
      </c>
      <c r="G21" s="544">
        <f>'Rate Calcs South Pit '!AA39</f>
        <v>116.44883818223381</v>
      </c>
      <c r="H21" s="544"/>
      <c r="I21" s="544"/>
      <c r="J21" s="544"/>
      <c r="K21" s="544"/>
      <c r="L21" s="544"/>
      <c r="M21" s="544">
        <f>'Rate Calcs South Pit '!AC39</f>
        <v>8.2302253975136939</v>
      </c>
      <c r="N21" s="544">
        <f>'Rate Calcs South Pit '!AD39</f>
        <v>15.061312477450061</v>
      </c>
      <c r="O21" s="544">
        <f>'Rate Calcs South Pit '!AE39</f>
        <v>84.359810324515365</v>
      </c>
      <c r="P21" s="544">
        <f>'Rate Calcs South Pit '!AF39</f>
        <v>154.37845289386311</v>
      </c>
      <c r="T21" t="s">
        <v>329</v>
      </c>
      <c r="U21" s="493">
        <f>$I$26*U11</f>
        <v>0</v>
      </c>
      <c r="V21" s="493">
        <f>$I$26*V11</f>
        <v>6857856.4598600082</v>
      </c>
      <c r="W21" s="493">
        <f>$I$26*W11</f>
        <v>6857856.4598600082</v>
      </c>
      <c r="X21" s="493">
        <f>$I$26*X11</f>
        <v>21945140.671552025</v>
      </c>
      <c r="Y21" s="493">
        <f>$I$26*Y11</f>
        <v>2743142.5839440031</v>
      </c>
      <c r="Z21" s="493">
        <f t="shared" si="4"/>
        <v>38403996.175216042</v>
      </c>
    </row>
    <row r="22" spans="2:26" ht="15.75" x14ac:dyDescent="0.5">
      <c r="B22" s="470"/>
      <c r="C22" s="575"/>
      <c r="D22" s="575"/>
      <c r="E22" s="575"/>
      <c r="F22" s="541"/>
      <c r="G22" s="541"/>
      <c r="H22" s="541"/>
      <c r="I22" s="541"/>
      <c r="J22" s="541"/>
      <c r="K22" s="541"/>
      <c r="L22" s="541"/>
      <c r="M22" s="541"/>
      <c r="N22" s="541"/>
      <c r="O22" s="541"/>
      <c r="P22" s="541"/>
      <c r="U22" s="493"/>
      <c r="V22" s="493"/>
      <c r="W22" s="493"/>
      <c r="X22" s="493"/>
      <c r="Y22" s="493"/>
      <c r="Z22" s="493">
        <f t="shared" si="4"/>
        <v>0</v>
      </c>
    </row>
    <row r="23" spans="2:26" ht="15.75" x14ac:dyDescent="0.5">
      <c r="B23" s="543" t="s">
        <v>279</v>
      </c>
      <c r="C23" s="574">
        <f>'Rate Calcs South Pit '!W27</f>
        <v>4.9222948508092453E-2</v>
      </c>
      <c r="D23" s="574">
        <f>'Rate Calcs South Pit '!X27</f>
        <v>1.4745619940404142</v>
      </c>
      <c r="E23" s="574">
        <f>'Rate Calcs South Pit '!Y27</f>
        <v>2.698448449093958</v>
      </c>
      <c r="F23" s="544">
        <f>'Rate Calcs South Pit '!Z27</f>
        <v>15.114260438914245</v>
      </c>
      <c r="G23" s="544">
        <f>'Rate Calcs South Pit '!AA27</f>
        <v>27.659096603213069</v>
      </c>
      <c r="H23" s="544"/>
      <c r="I23" s="544"/>
      <c r="J23" s="544"/>
      <c r="K23" s="544"/>
      <c r="L23" s="544"/>
      <c r="M23" s="544">
        <f>'Rate Calcs South Pit '!AC27</f>
        <v>1.9819269097457415</v>
      </c>
      <c r="N23" s="544">
        <f>'Rate Calcs South Pit '!AD27</f>
        <v>3.6269262448347068</v>
      </c>
      <c r="O23" s="544">
        <f>'Rate Calcs South Pit '!AE27</f>
        <v>20.314750824893849</v>
      </c>
      <c r="P23" s="544">
        <f>'Rate Calcs South Pit '!AF27</f>
        <v>37.175994009555744</v>
      </c>
      <c r="T23" t="s">
        <v>206</v>
      </c>
      <c r="U23" s="493">
        <f>SUM(U18:U21)</f>
        <v>61319316.231013052</v>
      </c>
      <c r="V23" s="493">
        <f t="shared" ref="V23:Y23" si="6">SUM(V18:V21)</f>
        <v>87147683.187554166</v>
      </c>
      <c r="W23" s="493">
        <f t="shared" si="6"/>
        <v>120802997.92763785</v>
      </c>
      <c r="X23" s="493">
        <f t="shared" si="6"/>
        <v>123235787.59126469</v>
      </c>
      <c r="Y23" s="493">
        <f t="shared" si="6"/>
        <v>22253500.092241153</v>
      </c>
      <c r="Z23" s="493">
        <f t="shared" si="4"/>
        <v>414759285.02971089</v>
      </c>
    </row>
    <row r="24" spans="2:26" ht="15.75" x14ac:dyDescent="0.5">
      <c r="B24" s="543" t="s">
        <v>280</v>
      </c>
      <c r="C24" s="574">
        <f>'Rate Calcs South Pit '!W50</f>
        <v>4.9222948508092453E-2</v>
      </c>
      <c r="D24" s="574">
        <f>'Rate Calcs South Pit '!X50</f>
        <v>0.62314391499629351</v>
      </c>
      <c r="E24" s="574">
        <f>'Rate Calcs South Pit '!Y50</f>
        <v>1.1403533644432171</v>
      </c>
      <c r="F24" s="544">
        <f>'Rate Calcs South Pit '!Z50</f>
        <v>6.3872251287120081</v>
      </c>
      <c r="G24" s="544">
        <f>'Rate Calcs South Pit '!AA50</f>
        <v>11.688621985542975</v>
      </c>
      <c r="H24" s="544"/>
      <c r="I24" s="544"/>
      <c r="J24" s="544"/>
      <c r="K24" s="544"/>
      <c r="L24" s="544"/>
      <c r="M24" s="544">
        <f>'Rate Calcs South Pit '!AC50</f>
        <v>0.85805504540750199</v>
      </c>
      <c r="N24" s="544">
        <f>'Rate Calcs South Pit '!AD50</f>
        <v>1.5702407330957286</v>
      </c>
      <c r="O24" s="544">
        <f>'Rate Calcs South Pit '!AE50</f>
        <v>8.7950642154268959</v>
      </c>
      <c r="P24" s="544">
        <f>'Rate Calcs South Pit '!AF50</f>
        <v>16.094967514231218</v>
      </c>
    </row>
    <row r="25" spans="2:26" x14ac:dyDescent="0.45">
      <c r="B25" s="470"/>
      <c r="T25" t="s">
        <v>333</v>
      </c>
      <c r="U25" s="484">
        <f t="shared" ref="U25:Z25" si="7">U23/(U7+U8+U10+U11)</f>
        <v>4.08795441540087</v>
      </c>
      <c r="V25" s="484">
        <f t="shared" si="7"/>
        <v>4.7362871297583782</v>
      </c>
      <c r="W25" s="484">
        <f t="shared" si="7"/>
        <v>6.825028131504963</v>
      </c>
      <c r="X25" s="484">
        <f t="shared" si="7"/>
        <v>6.8464326439591501</v>
      </c>
      <c r="Y25" s="484">
        <f t="shared" si="7"/>
        <v>12.227197852879755</v>
      </c>
      <c r="Z25" s="484">
        <f t="shared" si="7"/>
        <v>5.8482696704696968</v>
      </c>
    </row>
    <row r="26" spans="2:26" ht="18" x14ac:dyDescent="0.55000000000000004">
      <c r="B26" s="545" t="s">
        <v>278</v>
      </c>
      <c r="C26" s="571">
        <f>C20</f>
        <v>4.9222948508092453E-2</v>
      </c>
      <c r="D26" s="571">
        <f>D20+D21</f>
        <v>7.468027306673183</v>
      </c>
      <c r="E26" s="571">
        <f t="shared" ref="E26:P26" si="8">E20+E21</f>
        <v>13.666489971211924</v>
      </c>
      <c r="F26" s="546">
        <f t="shared" si="8"/>
        <v>76.547279893400116</v>
      </c>
      <c r="G26" s="546">
        <f t="shared" si="8"/>
        <v>140.08152220492224</v>
      </c>
      <c r="H26" s="571">
        <f>C26+D26</f>
        <v>7.5172502551812759</v>
      </c>
      <c r="I26" s="613">
        <f>E26+C26</f>
        <v>13.715712919720016</v>
      </c>
      <c r="J26" s="573">
        <f>I26*ASSUMPTIONS!$B$3</f>
        <v>140.58605742713016</v>
      </c>
      <c r="K26" s="546">
        <f>H26*ASSUMPTIONS!$B$3</f>
        <v>77.051815115608079</v>
      </c>
      <c r="L26" s="546"/>
      <c r="M26" s="546">
        <f t="shared" si="8"/>
        <v>9.9288062000333905</v>
      </c>
      <c r="N26" s="546">
        <f t="shared" si="8"/>
        <v>18.169715346061103</v>
      </c>
      <c r="O26" s="546">
        <f t="shared" si="8"/>
        <v>101.77026355034225</v>
      </c>
      <c r="P26" s="546">
        <f t="shared" si="8"/>
        <v>186.2395822971263</v>
      </c>
    </row>
    <row r="27" spans="2:26" ht="18" x14ac:dyDescent="0.55000000000000004">
      <c r="B27" s="545" t="s">
        <v>281</v>
      </c>
      <c r="C27" s="571">
        <f>C21</f>
        <v>4.9222948508092453E-2</v>
      </c>
      <c r="D27" s="571">
        <f>D23+D24</f>
        <v>2.0977059090367076</v>
      </c>
      <c r="E27" s="571">
        <f t="shared" ref="E27:P27" si="9">E23+E24</f>
        <v>3.8388018135371751</v>
      </c>
      <c r="F27" s="546">
        <f t="shared" si="9"/>
        <v>21.501485567626254</v>
      </c>
      <c r="G27" s="546">
        <f t="shared" si="9"/>
        <v>39.347718588756045</v>
      </c>
      <c r="H27" s="613">
        <f>C27+D27</f>
        <v>2.1469288575448</v>
      </c>
      <c r="I27" s="572">
        <f>E27+C27</f>
        <v>3.8880247620452675</v>
      </c>
      <c r="J27" s="546">
        <f>I27*ASSUMPTIONS!$B$3</f>
        <v>39.852253810963994</v>
      </c>
      <c r="K27" s="573">
        <f>H27*ASSUMPTIONS!$B$3</f>
        <v>22.006020789834199</v>
      </c>
      <c r="L27" s="546"/>
      <c r="M27" s="546">
        <f t="shared" si="9"/>
        <v>2.8399819551532435</v>
      </c>
      <c r="N27" s="546">
        <f t="shared" si="9"/>
        <v>5.1971669779304355</v>
      </c>
      <c r="O27" s="546">
        <f t="shared" si="9"/>
        <v>29.109815040320747</v>
      </c>
      <c r="P27" s="546">
        <f t="shared" si="9"/>
        <v>53.270961523786966</v>
      </c>
      <c r="T27" t="s">
        <v>334</v>
      </c>
      <c r="U27" s="492">
        <f>SUMPRODUCT(U12:Y12,U25:Y25)/Z12</f>
        <v>5.8482696704696968</v>
      </c>
    </row>
    <row r="29" spans="2:26" x14ac:dyDescent="0.45">
      <c r="U29">
        <v>2023</v>
      </c>
      <c r="V29">
        <v>2024</v>
      </c>
      <c r="W29">
        <v>2025</v>
      </c>
      <c r="X29">
        <v>2026</v>
      </c>
      <c r="Y29">
        <v>2027</v>
      </c>
      <c r="Z29" t="s">
        <v>28</v>
      </c>
    </row>
    <row r="30" spans="2:26" x14ac:dyDescent="0.45">
      <c r="T30" t="s">
        <v>330</v>
      </c>
      <c r="U30" s="493">
        <f>U7*$N$13</f>
        <v>55818803.255749464</v>
      </c>
      <c r="V30" s="493">
        <f>V7*$N$13</f>
        <v>61400683.581324413</v>
      </c>
      <c r="W30" s="493">
        <f>W7*$N$13</f>
        <v>50236922.930174522</v>
      </c>
      <c r="X30" s="493">
        <f>X7*$N$13</f>
        <v>44655042.604599573</v>
      </c>
      <c r="Y30" s="493">
        <f>Y7*$N$13</f>
        <v>5023692.2930174517</v>
      </c>
      <c r="Z30" s="493">
        <f t="shared" ref="Z30:Z34" si="10">SUM(U30:Y30)</f>
        <v>217135144.6648654</v>
      </c>
    </row>
    <row r="31" spans="2:26" x14ac:dyDescent="0.45">
      <c r="B31" s="623" t="s">
        <v>251</v>
      </c>
      <c r="C31" s="623"/>
      <c r="D31" s="470" t="s">
        <v>305</v>
      </c>
      <c r="E31" s="623" t="s">
        <v>306</v>
      </c>
      <c r="F31" s="623"/>
      <c r="G31" s="470" t="s">
        <v>305</v>
      </c>
      <c r="T31" t="s">
        <v>331</v>
      </c>
      <c r="U31" s="493">
        <f>U8*$N$12</f>
        <v>0</v>
      </c>
      <c r="V31" s="493">
        <f>V8*$N$12</f>
        <v>11836262.197638031</v>
      </c>
      <c r="W31" s="493">
        <f>W8*$N$12</f>
        <v>71017573.185828179</v>
      </c>
      <c r="X31" s="493">
        <f>X8*$N$12</f>
        <v>56222245.43878065</v>
      </c>
      <c r="Y31" s="493">
        <f>Y8*$N$12</f>
        <v>20713458.845866553</v>
      </c>
      <c r="Z31" s="493">
        <f t="shared" si="10"/>
        <v>159789539.66811341</v>
      </c>
    </row>
    <row r="32" spans="2:26" x14ac:dyDescent="0.45">
      <c r="B32" s="579" t="str">
        <f>'Summary Equip'!B60</f>
        <v>East Pit</v>
      </c>
      <c r="C32" s="499" t="str">
        <f>'Summary Equip'!C60</f>
        <v>Q</v>
      </c>
      <c r="D32" s="419" t="e">
        <f>SUM(D33:D46)</f>
        <v>#REF!</v>
      </c>
      <c r="E32" s="579" t="str">
        <f>'Summary Equip'!B60</f>
        <v>East Pit</v>
      </c>
      <c r="F32" s="499" t="str">
        <f>'Summary Equip'!C60</f>
        <v>Q</v>
      </c>
      <c r="G32" s="419">
        <f>SUM(G33:G46)</f>
        <v>56</v>
      </c>
      <c r="T32" t="s">
        <v>332</v>
      </c>
      <c r="U32" s="493">
        <f>U10*$N$27</f>
        <v>25985834.889652178</v>
      </c>
      <c r="V32" s="493">
        <f>V10*$N$27</f>
        <v>33781585.356547832</v>
      </c>
      <c r="W32" s="493">
        <f>W10*$N$27</f>
        <v>30143568.471996527</v>
      </c>
      <c r="X32" s="493">
        <f>X10*$N$27</f>
        <v>33781585.356547832</v>
      </c>
      <c r="Y32" s="493">
        <f>Y10*$N$27</f>
        <v>103943.33955860871</v>
      </c>
      <c r="Z32" s="493">
        <f t="shared" si="10"/>
        <v>123796517.41430297</v>
      </c>
    </row>
    <row r="33" spans="2:26" x14ac:dyDescent="0.45">
      <c r="B33" s="579" t="str">
        <f>'Summary Equip'!B6</f>
        <v>CAT 350 - 50t Excav</v>
      </c>
      <c r="C33" s="576">
        <v>1</v>
      </c>
      <c r="D33" s="419">
        <f>3*C33</f>
        <v>3</v>
      </c>
      <c r="E33" s="579" t="str">
        <f>B33</f>
        <v>CAT 350 - 50t Excav</v>
      </c>
      <c r="F33" s="576">
        <v>1</v>
      </c>
      <c r="G33" s="419">
        <f>3*F33</f>
        <v>3</v>
      </c>
      <c r="T33" t="s">
        <v>329</v>
      </c>
      <c r="U33" s="493">
        <f>U11*$N$26</f>
        <v>0</v>
      </c>
      <c r="V33" s="493">
        <f>V11*$N$26</f>
        <v>9084857.6730305515</v>
      </c>
      <c r="W33" s="493">
        <f>W11*$N$26</f>
        <v>9084857.6730305515</v>
      </c>
      <c r="X33" s="493">
        <f>X11*$N$26</f>
        <v>29071544.553697765</v>
      </c>
      <c r="Y33" s="493">
        <f>Y11*$N$26</f>
        <v>3633943.0692122206</v>
      </c>
      <c r="Z33" s="493">
        <f t="shared" si="10"/>
        <v>50875202.968971089</v>
      </c>
    </row>
    <row r="34" spans="2:26" x14ac:dyDescent="0.45">
      <c r="B34" s="579" t="str">
        <f>'Summary Equip'!B7</f>
        <v>EXC 90t</v>
      </c>
      <c r="C34" s="576">
        <f>'Summary Equip'!C62</f>
        <v>2</v>
      </c>
      <c r="D34" s="419">
        <f>2*C34</f>
        <v>4</v>
      </c>
      <c r="E34" s="579" t="s">
        <v>318</v>
      </c>
      <c r="F34" s="576">
        <v>2</v>
      </c>
      <c r="G34" s="419">
        <f>2*F34</f>
        <v>4</v>
      </c>
      <c r="T34" t="s">
        <v>336</v>
      </c>
      <c r="U34" s="494">
        <f>SUM(U30:U33)</f>
        <v>81804638.145401642</v>
      </c>
      <c r="V34" s="494">
        <f t="shared" ref="V34:Y34" si="11">SUM(V30:V33)</f>
        <v>116103388.80854084</v>
      </c>
      <c r="W34" s="494">
        <f t="shared" si="11"/>
        <v>160482922.26102978</v>
      </c>
      <c r="X34" s="494">
        <f t="shared" si="11"/>
        <v>163730417.95362583</v>
      </c>
      <c r="Y34" s="494">
        <f t="shared" si="11"/>
        <v>29475037.547654834</v>
      </c>
      <c r="Z34" s="493">
        <f t="shared" si="10"/>
        <v>551596404.71625292</v>
      </c>
    </row>
    <row r="35" spans="2:26" x14ac:dyDescent="0.45">
      <c r="B35" s="579" t="str">
        <f>'Summary Equip'!B9</f>
        <v>Ore Truck 50t</v>
      </c>
      <c r="C35" s="576">
        <v>6</v>
      </c>
      <c r="D35" s="419">
        <f>2*C35</f>
        <v>12</v>
      </c>
      <c r="E35" s="579" t="str">
        <f t="shared" ref="E35:E46" si="12">B35</f>
        <v>Ore Truck 50t</v>
      </c>
      <c r="F35" s="576">
        <v>5</v>
      </c>
      <c r="G35" s="419">
        <f>2*F35</f>
        <v>10</v>
      </c>
    </row>
    <row r="36" spans="2:26" x14ac:dyDescent="0.45">
      <c r="B36" s="579" t="str">
        <f>'Summary Equip'!B10</f>
        <v>DT 80t</v>
      </c>
      <c r="C36" s="576">
        <f>'Summary Equip'!C65</f>
        <v>9</v>
      </c>
      <c r="D36" s="419">
        <f t="shared" ref="D36:D45" si="13">3*C36</f>
        <v>27</v>
      </c>
      <c r="E36" s="579" t="s">
        <v>317</v>
      </c>
      <c r="F36" s="576">
        <v>8</v>
      </c>
      <c r="G36" s="419">
        <f t="shared" ref="G36:G45" si="14">3*F36</f>
        <v>24</v>
      </c>
      <c r="T36" t="s">
        <v>337</v>
      </c>
      <c r="U36" s="494">
        <f>U34-U23</f>
        <v>20485321.91438859</v>
      </c>
      <c r="V36" s="494">
        <f t="shared" ref="V36:Z36" si="15">V34-V23</f>
        <v>28955705.62098667</v>
      </c>
      <c r="W36" s="494">
        <f t="shared" si="15"/>
        <v>39679924.333391935</v>
      </c>
      <c r="X36" s="494">
        <f t="shared" si="15"/>
        <v>40494630.362361133</v>
      </c>
      <c r="Y36" s="494">
        <f t="shared" si="15"/>
        <v>7221537.4554136805</v>
      </c>
      <c r="Z36" s="494">
        <f t="shared" si="15"/>
        <v>136837119.68654203</v>
      </c>
    </row>
    <row r="37" spans="2:26" x14ac:dyDescent="0.45">
      <c r="B37" s="579" t="str">
        <f>'Summary Equip'!B12</f>
        <v>CAT D10 Dozer</v>
      </c>
      <c r="C37" s="576">
        <v>1</v>
      </c>
      <c r="D37" s="419">
        <f t="shared" si="13"/>
        <v>3</v>
      </c>
      <c r="E37" s="579" t="str">
        <f t="shared" si="12"/>
        <v>CAT D10 Dozer</v>
      </c>
      <c r="F37" s="576">
        <v>1</v>
      </c>
      <c r="G37" s="419">
        <f t="shared" si="14"/>
        <v>3</v>
      </c>
      <c r="U37" s="410">
        <f>U36/U34</f>
        <v>0.25041760930446827</v>
      </c>
      <c r="V37" s="410">
        <f t="shared" ref="V37:Z37" si="16">V36/V34</f>
        <v>0.24939586964800653</v>
      </c>
      <c r="W37" s="410">
        <f t="shared" si="16"/>
        <v>0.24725325146342658</v>
      </c>
      <c r="X37" s="410">
        <f t="shared" si="16"/>
        <v>0.24732502896212374</v>
      </c>
      <c r="Y37" s="410">
        <f t="shared" si="16"/>
        <v>0.24500519952648062</v>
      </c>
      <c r="Z37" s="410">
        <f t="shared" si="16"/>
        <v>0.24807471280914623</v>
      </c>
    </row>
    <row r="38" spans="2:26" x14ac:dyDescent="0.45">
      <c r="B38" s="579" t="str">
        <f>'Summary Equip'!B13</f>
        <v>CAT 14H Grader</v>
      </c>
      <c r="C38" s="576">
        <f>'Summary Equip'!C68</f>
        <v>1</v>
      </c>
      <c r="D38" s="419">
        <f t="shared" si="13"/>
        <v>3</v>
      </c>
      <c r="E38" s="579" t="str">
        <f t="shared" si="12"/>
        <v>CAT 14H Grader</v>
      </c>
      <c r="F38" s="576">
        <v>0</v>
      </c>
      <c r="G38" s="419">
        <f t="shared" si="14"/>
        <v>0</v>
      </c>
      <c r="T38" s="410"/>
    </row>
    <row r="39" spans="2:26" x14ac:dyDescent="0.45">
      <c r="B39" s="579" t="str">
        <f>'Summary Equip'!B14</f>
        <v>CAT 14t Compactor</v>
      </c>
      <c r="C39" s="576">
        <f>'Summary Equip'!C69</f>
        <v>1</v>
      </c>
      <c r="D39" s="419">
        <f t="shared" si="13"/>
        <v>3</v>
      </c>
      <c r="E39" s="579" t="str">
        <f t="shared" si="12"/>
        <v>CAT 14t Compactor</v>
      </c>
      <c r="F39" s="576">
        <v>0</v>
      </c>
      <c r="G39" s="419">
        <f t="shared" si="14"/>
        <v>0</v>
      </c>
    </row>
    <row r="40" spans="2:26" x14ac:dyDescent="0.45">
      <c r="B40" s="579" t="str">
        <f>'Summary Equip'!B15</f>
        <v>CAT 950 WL</v>
      </c>
      <c r="C40" s="577">
        <f>'Summary Equip'!C70</f>
        <v>1</v>
      </c>
      <c r="D40" s="419">
        <f t="shared" si="13"/>
        <v>3</v>
      </c>
      <c r="E40" s="579" t="str">
        <f t="shared" si="12"/>
        <v>CAT 950 WL</v>
      </c>
      <c r="F40" s="576">
        <v>0</v>
      </c>
      <c r="G40" s="419">
        <f t="shared" si="14"/>
        <v>0</v>
      </c>
    </row>
    <row r="41" spans="2:26" x14ac:dyDescent="0.45">
      <c r="B41" s="579" t="str">
        <f>'Summary Equip'!B16</f>
        <v xml:space="preserve">MERC Watercart </v>
      </c>
      <c r="C41" s="576">
        <v>1</v>
      </c>
      <c r="D41" s="419">
        <f t="shared" si="13"/>
        <v>3</v>
      </c>
      <c r="E41" s="579" t="str">
        <f t="shared" si="12"/>
        <v xml:space="preserve">MERC Watercart </v>
      </c>
      <c r="F41" s="576">
        <v>1</v>
      </c>
      <c r="G41" s="419">
        <f t="shared" si="14"/>
        <v>3</v>
      </c>
    </row>
    <row r="42" spans="2:26" x14ac:dyDescent="0.45">
      <c r="B42" s="579" t="str">
        <f>'Summary Equip'!B72</f>
        <v>ATLAS T35 Drill</v>
      </c>
      <c r="C42" s="576">
        <v>1</v>
      </c>
      <c r="D42" s="419">
        <f t="shared" si="13"/>
        <v>3</v>
      </c>
      <c r="E42" s="579" t="str">
        <f t="shared" si="12"/>
        <v>ATLAS T35 Drill</v>
      </c>
      <c r="F42" s="576">
        <v>1</v>
      </c>
      <c r="G42" s="419">
        <f t="shared" si="14"/>
        <v>3</v>
      </c>
    </row>
    <row r="43" spans="2:26" x14ac:dyDescent="0.45">
      <c r="B43" s="579" t="str">
        <f>'Summary Equip'!B73</f>
        <v>ATLAS T45 Drill</v>
      </c>
      <c r="C43" s="576">
        <v>1</v>
      </c>
      <c r="D43" s="419">
        <f t="shared" si="13"/>
        <v>3</v>
      </c>
      <c r="E43" s="579" t="str">
        <f t="shared" si="12"/>
        <v>ATLAS T45 Drill</v>
      </c>
      <c r="F43" s="576">
        <v>1</v>
      </c>
      <c r="G43" s="419">
        <f t="shared" si="14"/>
        <v>3</v>
      </c>
    </row>
    <row r="44" spans="2:26" x14ac:dyDescent="0.45">
      <c r="B44" s="579" t="e">
        <f>'Summary Equip'!#REF!</f>
        <v>#REF!</v>
      </c>
      <c r="C44" s="577" t="e">
        <f>'Summary Equip'!#REF!</f>
        <v>#REF!</v>
      </c>
      <c r="D44" s="419" t="e">
        <f t="shared" si="13"/>
        <v>#REF!</v>
      </c>
      <c r="E44" s="579" t="e">
        <f t="shared" si="12"/>
        <v>#REF!</v>
      </c>
      <c r="F44" s="576">
        <v>0</v>
      </c>
      <c r="G44" s="419">
        <f t="shared" si="14"/>
        <v>0</v>
      </c>
    </row>
    <row r="45" spans="2:26" x14ac:dyDescent="0.45">
      <c r="B45" s="579" t="str">
        <f>'Summary Equip'!B74</f>
        <v>Service Truck</v>
      </c>
      <c r="C45" s="576">
        <f>'Summary Equip'!C74</f>
        <v>1</v>
      </c>
      <c r="D45" s="419">
        <f t="shared" si="13"/>
        <v>3</v>
      </c>
      <c r="E45" s="579" t="str">
        <f t="shared" si="12"/>
        <v>Service Truck</v>
      </c>
      <c r="F45" s="576">
        <v>1</v>
      </c>
      <c r="G45" s="419">
        <f t="shared" si="14"/>
        <v>3</v>
      </c>
      <c r="U45">
        <v>2023</v>
      </c>
      <c r="V45">
        <v>2024</v>
      </c>
      <c r="W45">
        <v>2025</v>
      </c>
      <c r="X45">
        <v>2026</v>
      </c>
      <c r="Y45">
        <v>2027</v>
      </c>
      <c r="Z45" t="s">
        <v>28</v>
      </c>
    </row>
    <row r="46" spans="2:26" x14ac:dyDescent="0.45">
      <c r="B46" s="579" t="str">
        <f>'Summary Equip'!B75</f>
        <v>NON Core</v>
      </c>
      <c r="C46" s="576">
        <f>'Summary Equip'!C75</f>
        <v>1</v>
      </c>
      <c r="D46" s="419"/>
      <c r="E46" s="579" t="str">
        <f t="shared" si="12"/>
        <v>NON Core</v>
      </c>
      <c r="F46" s="576"/>
      <c r="G46" s="419"/>
      <c r="T46" t="s">
        <v>323</v>
      </c>
      <c r="U46" s="610">
        <v>10000000</v>
      </c>
      <c r="V46" s="610">
        <v>11000000</v>
      </c>
      <c r="W46" s="610">
        <v>9000000</v>
      </c>
      <c r="X46" s="610">
        <v>8000000</v>
      </c>
      <c r="Y46" s="610">
        <v>900000</v>
      </c>
      <c r="Z46" s="304">
        <f t="shared" ref="Z46:Z50" si="17">SUM(U46:Y46)</f>
        <v>38900000</v>
      </c>
    </row>
    <row r="47" spans="2:26" x14ac:dyDescent="0.45">
      <c r="C47" s="578" t="e">
        <f>SUM(C33:C46)</f>
        <v>#REF!</v>
      </c>
      <c r="F47" s="578">
        <f>SUM(F33:F46)</f>
        <v>21</v>
      </c>
      <c r="T47" t="s">
        <v>324</v>
      </c>
      <c r="U47" s="610">
        <v>0</v>
      </c>
      <c r="V47" s="610">
        <v>400000</v>
      </c>
      <c r="W47" s="610">
        <v>2400000</v>
      </c>
      <c r="X47" s="610">
        <v>1900000</v>
      </c>
      <c r="Y47" s="610">
        <v>700000</v>
      </c>
      <c r="Z47" s="304">
        <f t="shared" si="17"/>
        <v>5400000</v>
      </c>
    </row>
    <row r="48" spans="2:26" x14ac:dyDescent="0.45">
      <c r="U48" s="611"/>
      <c r="V48" s="611"/>
      <c r="W48" s="611"/>
      <c r="X48" s="611"/>
      <c r="Y48" s="611"/>
      <c r="Z48" s="304">
        <f t="shared" si="17"/>
        <v>0</v>
      </c>
    </row>
    <row r="49" spans="20:26" x14ac:dyDescent="0.45">
      <c r="T49" t="s">
        <v>325</v>
      </c>
      <c r="U49" s="610">
        <v>5000000</v>
      </c>
      <c r="V49" s="610">
        <v>6500000</v>
      </c>
      <c r="W49" s="610">
        <v>5800000</v>
      </c>
      <c r="X49" s="610">
        <v>6500000</v>
      </c>
      <c r="Y49" s="610">
        <v>20000</v>
      </c>
      <c r="Z49" s="304">
        <f t="shared" si="17"/>
        <v>23820000</v>
      </c>
    </row>
    <row r="50" spans="20:26" x14ac:dyDescent="0.45">
      <c r="T50" t="s">
        <v>326</v>
      </c>
      <c r="U50" s="610">
        <v>0</v>
      </c>
      <c r="V50" s="610">
        <v>500000</v>
      </c>
      <c r="W50" s="610">
        <v>500000</v>
      </c>
      <c r="X50" s="610">
        <v>1600000</v>
      </c>
      <c r="Y50" s="610">
        <v>200000</v>
      </c>
      <c r="Z50" s="304">
        <f t="shared" si="17"/>
        <v>2800000</v>
      </c>
    </row>
    <row r="51" spans="20:26" x14ac:dyDescent="0.45">
      <c r="T51" t="s">
        <v>28</v>
      </c>
      <c r="U51" s="304">
        <f>SUM(U46:U50)</f>
        <v>15000000</v>
      </c>
      <c r="V51" s="304">
        <f t="shared" ref="V51" si="18">SUM(V46:V50)</f>
        <v>18400000</v>
      </c>
      <c r="W51" s="304">
        <f t="shared" ref="W51" si="19">SUM(W46:W50)</f>
        <v>17700000</v>
      </c>
      <c r="X51" s="304">
        <f t="shared" ref="X51" si="20">SUM(X46:X50)</f>
        <v>18000000</v>
      </c>
      <c r="Y51" s="304">
        <f t="shared" ref="Y51" si="21">SUM(Y46:Y50)</f>
        <v>1820000</v>
      </c>
      <c r="Z51" s="304">
        <f>SUM(U51:Y51)</f>
        <v>70920000</v>
      </c>
    </row>
    <row r="54" spans="20:26" x14ac:dyDescent="0.45">
      <c r="T54" t="s">
        <v>338</v>
      </c>
      <c r="U54" s="453">
        <f>U46/12</f>
        <v>833333.33333333337</v>
      </c>
      <c r="V54" s="453">
        <f t="shared" ref="V54:Y54" si="22">V46/12</f>
        <v>916666.66666666663</v>
      </c>
      <c r="W54" s="453">
        <f t="shared" si="22"/>
        <v>750000</v>
      </c>
      <c r="X54" s="453">
        <f t="shared" si="22"/>
        <v>666666.66666666663</v>
      </c>
      <c r="Y54" s="453">
        <f t="shared" si="22"/>
        <v>75000</v>
      </c>
    </row>
    <row r="55" spans="20:26" x14ac:dyDescent="0.45">
      <c r="T55" t="s">
        <v>339</v>
      </c>
      <c r="U55" s="453">
        <f>U47/12</f>
        <v>0</v>
      </c>
      <c r="V55" s="453">
        <f t="shared" ref="V55:Y55" si="23">V47/12</f>
        <v>33333.333333333336</v>
      </c>
      <c r="W55" s="453">
        <f t="shared" si="23"/>
        <v>200000</v>
      </c>
      <c r="X55" s="453">
        <f t="shared" si="23"/>
        <v>158333.33333333334</v>
      </c>
      <c r="Y55" s="453">
        <f t="shared" si="23"/>
        <v>58333.333333333336</v>
      </c>
    </row>
    <row r="57" spans="20:26" x14ac:dyDescent="0.45">
      <c r="T57" t="s">
        <v>340</v>
      </c>
      <c r="U57" s="453">
        <f>U49/12</f>
        <v>416666.66666666669</v>
      </c>
      <c r="V57" s="453">
        <f t="shared" ref="V57:Y57" si="24">V49/12</f>
        <v>541666.66666666663</v>
      </c>
      <c r="W57" s="453">
        <f t="shared" si="24"/>
        <v>483333.33333333331</v>
      </c>
      <c r="X57" s="453">
        <f t="shared" si="24"/>
        <v>541666.66666666663</v>
      </c>
      <c r="Y57" s="453">
        <f t="shared" si="24"/>
        <v>1666.6666666666667</v>
      </c>
    </row>
    <row r="58" spans="20:26" x14ac:dyDescent="0.45">
      <c r="T58" t="s">
        <v>341</v>
      </c>
      <c r="U58" s="453">
        <f>U50/12</f>
        <v>0</v>
      </c>
      <c r="V58" s="453">
        <f t="shared" ref="V58:Y58" si="25">V50/12</f>
        <v>41666.666666666664</v>
      </c>
      <c r="W58" s="453">
        <f t="shared" si="25"/>
        <v>41666.666666666664</v>
      </c>
      <c r="X58" s="453">
        <f t="shared" si="25"/>
        <v>133333.33333333334</v>
      </c>
      <c r="Y58" s="453">
        <f t="shared" si="25"/>
        <v>16666.666666666668</v>
      </c>
    </row>
    <row r="61" spans="20:26" x14ac:dyDescent="0.45">
      <c r="T61" t="s">
        <v>342</v>
      </c>
      <c r="U61" s="453">
        <f>U46/365</f>
        <v>27397.260273972603</v>
      </c>
      <c r="V61" s="453">
        <f t="shared" ref="V61:Y61" si="26">V46/365</f>
        <v>30136.986301369863</v>
      </c>
      <c r="W61" s="453">
        <f t="shared" si="26"/>
        <v>24657.534246575342</v>
      </c>
      <c r="X61" s="453">
        <f t="shared" si="26"/>
        <v>21917.808219178081</v>
      </c>
      <c r="Y61" s="453">
        <f t="shared" si="26"/>
        <v>2465.7534246575342</v>
      </c>
    </row>
    <row r="62" spans="20:26" x14ac:dyDescent="0.45">
      <c r="T62" t="s">
        <v>343</v>
      </c>
      <c r="U62" s="453">
        <f>U47/365</f>
        <v>0</v>
      </c>
      <c r="V62" s="453">
        <f t="shared" ref="V62:Y62" si="27">V47/365</f>
        <v>1095.8904109589041</v>
      </c>
      <c r="W62" s="453">
        <f t="shared" si="27"/>
        <v>6575.3424657534242</v>
      </c>
      <c r="X62" s="453">
        <f t="shared" si="27"/>
        <v>5205.4794520547948</v>
      </c>
      <c r="Y62" s="453">
        <f t="shared" si="27"/>
        <v>1917.8082191780823</v>
      </c>
    </row>
    <row r="64" spans="20:26" x14ac:dyDescent="0.45">
      <c r="T64" t="s">
        <v>344</v>
      </c>
      <c r="U64" s="453">
        <f>U49/365</f>
        <v>13698.630136986301</v>
      </c>
      <c r="V64" s="453">
        <f t="shared" ref="V64:Y64" si="28">V49/365</f>
        <v>17808.219178082192</v>
      </c>
      <c r="W64" s="453">
        <f t="shared" si="28"/>
        <v>15890.410958904109</v>
      </c>
      <c r="X64" s="453">
        <f t="shared" si="28"/>
        <v>17808.219178082192</v>
      </c>
      <c r="Y64" s="453">
        <f t="shared" si="28"/>
        <v>54.794520547945204</v>
      </c>
    </row>
    <row r="65" spans="16:27" x14ac:dyDescent="0.45">
      <c r="T65" t="s">
        <v>345</v>
      </c>
      <c r="U65" s="453">
        <f>U50/365</f>
        <v>0</v>
      </c>
      <c r="V65" s="453">
        <f t="shared" ref="V65:Y65" si="29">V50/365</f>
        <v>1369.8630136986301</v>
      </c>
      <c r="W65" s="453">
        <f t="shared" si="29"/>
        <v>1369.8630136986301</v>
      </c>
      <c r="X65" s="453">
        <f t="shared" si="29"/>
        <v>4383.5616438356165</v>
      </c>
      <c r="Y65" s="453">
        <f t="shared" si="29"/>
        <v>547.94520547945206</v>
      </c>
    </row>
    <row r="68" spans="16:27" x14ac:dyDescent="0.45">
      <c r="P68" t="s">
        <v>356</v>
      </c>
      <c r="Q68" t="s">
        <v>355</v>
      </c>
      <c r="R68">
        <v>20</v>
      </c>
      <c r="T68" t="s">
        <v>346</v>
      </c>
      <c r="U68" s="453">
        <f>U61/$S$69</f>
        <v>1.7408349392535647</v>
      </c>
      <c r="V68" s="453">
        <f t="shared" ref="V68:Y68" si="30">V61/$S$69</f>
        <v>1.9149184331789213</v>
      </c>
      <c r="W68" s="453">
        <f t="shared" si="30"/>
        <v>1.5667514453282083</v>
      </c>
      <c r="X68" s="453">
        <f t="shared" si="30"/>
        <v>1.3926679514028517</v>
      </c>
      <c r="Y68" s="453">
        <f t="shared" si="30"/>
        <v>0.15667514453282083</v>
      </c>
    </row>
    <row r="69" spans="16:27" x14ac:dyDescent="0.45">
      <c r="P69">
        <v>430</v>
      </c>
      <c r="Q69">
        <f>P69*ASSUMPTIONS!B53</f>
        <v>786.9</v>
      </c>
      <c r="R69" t="s">
        <v>350</v>
      </c>
      <c r="S69">
        <f>R68*Q69</f>
        <v>15738</v>
      </c>
      <c r="T69" t="s">
        <v>347</v>
      </c>
      <c r="U69" s="453">
        <f>U62/$S$71</f>
        <v>0</v>
      </c>
      <c r="V69" s="453">
        <f t="shared" ref="V69:Y69" si="31">V62/$S$71</f>
        <v>0.29942360955161312</v>
      </c>
      <c r="W69" s="453">
        <f t="shared" si="31"/>
        <v>1.7965416573096789</v>
      </c>
      <c r="X69" s="453">
        <f t="shared" si="31"/>
        <v>1.4222621453701625</v>
      </c>
      <c r="Y69" s="453">
        <f t="shared" si="31"/>
        <v>0.52399131671532306</v>
      </c>
    </row>
    <row r="70" spans="16:27" x14ac:dyDescent="0.45">
      <c r="P70">
        <v>280</v>
      </c>
      <c r="Q70">
        <f>P70*ASSUMPTIONS!B53</f>
        <v>512.4</v>
      </c>
      <c r="R70" t="s">
        <v>351</v>
      </c>
      <c r="S70">
        <f>R68*Q70</f>
        <v>10248</v>
      </c>
    </row>
    <row r="71" spans="16:27" x14ac:dyDescent="0.45">
      <c r="P71">
        <v>100</v>
      </c>
      <c r="Q71">
        <f>P71*ASSUMPTIONS!B53</f>
        <v>183</v>
      </c>
      <c r="R71" t="s">
        <v>352</v>
      </c>
      <c r="S71">
        <f>R68*Q71</f>
        <v>3660</v>
      </c>
      <c r="T71" t="s">
        <v>348</v>
      </c>
      <c r="U71" s="453">
        <f>U64/$S$70</f>
        <v>1.3367125426411302</v>
      </c>
      <c r="V71" s="453">
        <f t="shared" ref="V71:Y71" si="32">V64/$S$70</f>
        <v>1.7377263054334693</v>
      </c>
      <c r="W71" s="453">
        <f t="shared" si="32"/>
        <v>1.5505865494637108</v>
      </c>
      <c r="X71" s="453">
        <f t="shared" si="32"/>
        <v>1.7377263054334693</v>
      </c>
      <c r="Y71" s="453">
        <f t="shared" si="32"/>
        <v>5.3468501705645202E-3</v>
      </c>
    </row>
    <row r="72" spans="16:27" x14ac:dyDescent="0.45">
      <c r="T72" t="s">
        <v>349</v>
      </c>
      <c r="U72" s="453">
        <f>U65/$S$71</f>
        <v>0</v>
      </c>
      <c r="V72" s="453">
        <f t="shared" ref="V72:Y72" si="33">V65/$S$71</f>
        <v>0.37427951193951642</v>
      </c>
      <c r="W72" s="453">
        <f t="shared" si="33"/>
        <v>0.37427951193951642</v>
      </c>
      <c r="X72" s="453">
        <f t="shared" si="33"/>
        <v>1.1976944382064525</v>
      </c>
      <c r="Y72" s="453">
        <f t="shared" si="33"/>
        <v>0.14971180477580656</v>
      </c>
    </row>
    <row r="76" spans="16:27" x14ac:dyDescent="0.45">
      <c r="T76" t="s">
        <v>222</v>
      </c>
      <c r="U76" t="s">
        <v>216</v>
      </c>
      <c r="V76" t="s">
        <v>353</v>
      </c>
      <c r="W76" t="s">
        <v>354</v>
      </c>
      <c r="Y76" t="s">
        <v>355</v>
      </c>
      <c r="Z76" t="s">
        <v>357</v>
      </c>
      <c r="AA76" t="s">
        <v>356</v>
      </c>
    </row>
    <row r="77" spans="16:27" x14ac:dyDescent="0.45">
      <c r="S77" t="s">
        <v>350</v>
      </c>
      <c r="T77">
        <v>6</v>
      </c>
      <c r="U77">
        <f>T77*1.83</f>
        <v>10.98</v>
      </c>
      <c r="V77">
        <f>80/U77</f>
        <v>7.285974499089253</v>
      </c>
      <c r="W77">
        <v>6</v>
      </c>
      <c r="X77" s="617">
        <f>60/W77</f>
        <v>10</v>
      </c>
      <c r="Y77" s="617">
        <f>X77*80</f>
        <v>800</v>
      </c>
      <c r="Z77" s="617">
        <f>Y77*R68</f>
        <v>16000</v>
      </c>
      <c r="AA77" s="617">
        <f>Y77/ASSUMPTIONS!B53</f>
        <v>437.15846994535519</v>
      </c>
    </row>
    <row r="78" spans="16:27" x14ac:dyDescent="0.45">
      <c r="S78" t="s">
        <v>351</v>
      </c>
    </row>
  </sheetData>
  <mergeCells count="12">
    <mergeCell ref="C2:K3"/>
    <mergeCell ref="C16:K17"/>
    <mergeCell ref="H4:K4"/>
    <mergeCell ref="H18:K18"/>
    <mergeCell ref="D18:G18"/>
    <mergeCell ref="M18:N18"/>
    <mergeCell ref="O18:P18"/>
    <mergeCell ref="B31:C31"/>
    <mergeCell ref="E31:F31"/>
    <mergeCell ref="D4:G4"/>
    <mergeCell ref="M4:N4"/>
    <mergeCell ref="O4:P4"/>
  </mergeCells>
  <phoneticPr fontId="2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98"/>
  <sheetViews>
    <sheetView zoomScale="131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85" sqref="M85"/>
    </sheetView>
  </sheetViews>
  <sheetFormatPr defaultColWidth="8.86328125" defaultRowHeight="14.25" outlineLevelRow="1" x14ac:dyDescent="0.45"/>
  <cols>
    <col min="1" max="1" width="6.86328125" customWidth="1"/>
    <col min="2" max="2" width="24.3984375" customWidth="1"/>
    <col min="3" max="3" width="6.86328125" customWidth="1"/>
    <col min="4" max="4" width="12.1328125" bestFit="1" customWidth="1"/>
    <col min="5" max="5" width="6.3984375" customWidth="1"/>
    <col min="6" max="6" width="19.06640625" bestFit="1" customWidth="1"/>
    <col min="7" max="7" width="6.3984375" customWidth="1"/>
    <col min="8" max="9" width="18.06640625" bestFit="1" customWidth="1"/>
    <col min="10" max="10" width="12" bestFit="1" customWidth="1"/>
    <col min="11" max="11" width="14.3984375" bestFit="1" customWidth="1"/>
    <col min="12" max="12" width="14.3984375" style="396" bestFit="1" customWidth="1"/>
    <col min="13" max="13" width="15.3984375" bestFit="1" customWidth="1"/>
    <col min="14" max="14" width="12" bestFit="1" customWidth="1"/>
    <col min="15" max="15" width="10.3984375" customWidth="1"/>
    <col min="16" max="16" width="11" bestFit="1" customWidth="1"/>
    <col min="17" max="17" width="11.3984375" customWidth="1"/>
    <col min="18" max="18" width="9" style="119" customWidth="1"/>
    <col min="19" max="19" width="9" style="307" customWidth="1"/>
    <col min="21" max="22" width="10.86328125" customWidth="1"/>
    <col min="23" max="23" width="9.86328125" style="307" bestFit="1" customWidth="1"/>
    <col min="24" max="24" width="10" customWidth="1"/>
    <col min="25" max="26" width="15" customWidth="1"/>
    <col min="27" max="27" width="3.73046875" style="341" customWidth="1"/>
    <col min="28" max="29" width="15" customWidth="1"/>
    <col min="30" max="30" width="3.73046875" style="341" customWidth="1"/>
    <col min="31" max="32" width="15" customWidth="1"/>
    <col min="33" max="33" width="4.265625" style="341" customWidth="1"/>
    <col min="34" max="36" width="15" customWidth="1"/>
    <col min="37" max="37" width="3.265625" style="341" customWidth="1"/>
    <col min="38" max="38" width="9.1328125" customWidth="1"/>
    <col min="39" max="39" width="9" customWidth="1"/>
    <col min="40" max="40" width="15.3984375" customWidth="1"/>
    <col min="41" max="41" width="12" customWidth="1"/>
    <col min="42" max="43" width="12.3984375" customWidth="1"/>
    <col min="44" max="44" width="11.265625" bestFit="1" customWidth="1"/>
    <col min="45" max="45" width="12.1328125" customWidth="1"/>
  </cols>
  <sheetData>
    <row r="1" spans="1:42" s="3" customFormat="1" ht="62.25" customHeight="1" thickBot="1" x14ac:dyDescent="0.5">
      <c r="A1" s="633"/>
      <c r="B1" s="634"/>
      <c r="C1" s="319"/>
      <c r="D1" s="319"/>
      <c r="E1" s="319"/>
      <c r="F1" s="319"/>
      <c r="G1" s="319"/>
      <c r="H1" s="319"/>
      <c r="I1" s="319"/>
      <c r="J1" s="319"/>
      <c r="K1" s="319"/>
      <c r="L1" s="394"/>
      <c r="M1" s="320"/>
      <c r="N1" s="118"/>
      <c r="R1" s="120"/>
      <c r="S1" s="176"/>
      <c r="W1" s="176"/>
      <c r="AA1" s="340"/>
      <c r="AD1" s="340"/>
      <c r="AG1" s="340"/>
      <c r="AK1" s="340"/>
    </row>
    <row r="2" spans="1:42" s="3" customFormat="1" ht="16.149999999999999" thickBot="1" x14ac:dyDescent="0.5">
      <c r="A2" s="130">
        <v>1</v>
      </c>
      <c r="B2" s="130">
        <v>2</v>
      </c>
      <c r="C2" s="130">
        <v>3</v>
      </c>
      <c r="D2" s="130">
        <v>4</v>
      </c>
      <c r="E2" s="130">
        <v>5</v>
      </c>
      <c r="F2" s="130">
        <v>6</v>
      </c>
      <c r="G2" s="130">
        <v>7</v>
      </c>
      <c r="H2" s="130">
        <v>8</v>
      </c>
      <c r="I2" s="130">
        <v>9</v>
      </c>
      <c r="J2" s="130">
        <v>10</v>
      </c>
      <c r="K2" s="130">
        <v>11</v>
      </c>
      <c r="L2" s="130">
        <v>12</v>
      </c>
      <c r="M2" s="130">
        <v>13</v>
      </c>
      <c r="N2" s="130">
        <v>14</v>
      </c>
      <c r="O2" s="130">
        <v>15</v>
      </c>
      <c r="P2" s="130">
        <v>16</v>
      </c>
      <c r="Q2" s="130">
        <v>17</v>
      </c>
      <c r="R2" s="130">
        <v>18</v>
      </c>
      <c r="S2" s="130">
        <v>19</v>
      </c>
      <c r="T2" s="130">
        <v>20</v>
      </c>
      <c r="U2" s="130">
        <v>21</v>
      </c>
      <c r="V2" s="130">
        <v>22</v>
      </c>
      <c r="W2" s="130">
        <v>23</v>
      </c>
      <c r="X2" s="130">
        <v>24</v>
      </c>
      <c r="Y2" s="130">
        <v>25</v>
      </c>
      <c r="Z2" s="130">
        <v>26</v>
      </c>
      <c r="AA2" s="130">
        <v>27</v>
      </c>
      <c r="AB2" s="130">
        <v>28</v>
      </c>
      <c r="AC2" s="130">
        <v>29</v>
      </c>
      <c r="AD2" s="130">
        <v>30</v>
      </c>
      <c r="AE2" s="130">
        <v>31</v>
      </c>
      <c r="AF2" s="130">
        <v>32</v>
      </c>
      <c r="AG2" s="130">
        <v>33</v>
      </c>
      <c r="AH2" s="130">
        <v>34</v>
      </c>
      <c r="AI2" s="130">
        <v>35</v>
      </c>
      <c r="AJ2" s="130">
        <v>36</v>
      </c>
      <c r="AK2" s="130">
        <v>37</v>
      </c>
      <c r="AL2" s="130">
        <v>38</v>
      </c>
      <c r="AM2" s="130">
        <v>39</v>
      </c>
      <c r="AN2" s="130">
        <v>40</v>
      </c>
      <c r="AO2" s="130">
        <v>41</v>
      </c>
      <c r="AP2" s="130">
        <v>42</v>
      </c>
    </row>
    <row r="3" spans="1:42" s="3" customFormat="1" ht="46.15" customHeight="1" outlineLevel="1" thickBot="1" x14ac:dyDescent="0.5">
      <c r="A3" s="631" t="s">
        <v>80</v>
      </c>
      <c r="B3" s="632"/>
      <c r="C3" s="373"/>
      <c r="D3" s="3" t="s">
        <v>62</v>
      </c>
      <c r="H3" s="147"/>
      <c r="I3" s="155"/>
      <c r="L3" s="337"/>
      <c r="N3" s="407"/>
      <c r="O3" s="155"/>
      <c r="P3" s="145"/>
      <c r="AA3" s="340"/>
      <c r="AD3" s="340"/>
      <c r="AG3" s="340"/>
      <c r="AK3" s="340"/>
      <c r="AL3" s="170">
        <v>0</v>
      </c>
      <c r="AM3" s="170">
        <v>0</v>
      </c>
      <c r="AN3" s="170">
        <v>0</v>
      </c>
    </row>
    <row r="4" spans="1:42" s="144" customFormat="1" ht="57.4" outlineLevel="1" thickBot="1" x14ac:dyDescent="0.5">
      <c r="A4" s="134" t="s">
        <v>0</v>
      </c>
      <c r="B4" s="135" t="s">
        <v>1</v>
      </c>
      <c r="C4" s="142" t="s">
        <v>64</v>
      </c>
      <c r="D4" s="142" t="s">
        <v>64</v>
      </c>
      <c r="E4" s="142"/>
      <c r="F4" s="142" t="s">
        <v>65</v>
      </c>
      <c r="G4" s="142"/>
      <c r="H4" s="142" t="s">
        <v>66</v>
      </c>
      <c r="I4" s="142" t="s">
        <v>102</v>
      </c>
      <c r="J4" s="142" t="s">
        <v>83</v>
      </c>
      <c r="K4" s="142" t="s">
        <v>103</v>
      </c>
      <c r="L4" s="395" t="s">
        <v>104</v>
      </c>
      <c r="M4" s="142" t="s">
        <v>28</v>
      </c>
      <c r="N4" s="142" t="s">
        <v>67</v>
      </c>
      <c r="O4" s="142" t="s">
        <v>63</v>
      </c>
      <c r="P4" s="142" t="s">
        <v>63</v>
      </c>
      <c r="Q4" s="142" t="s">
        <v>68</v>
      </c>
      <c r="R4" s="142" t="s">
        <v>72</v>
      </c>
      <c r="S4" s="142" t="s">
        <v>73</v>
      </c>
      <c r="T4" s="142" t="s">
        <v>74</v>
      </c>
      <c r="U4" s="142" t="s">
        <v>12</v>
      </c>
      <c r="V4" s="142" t="s">
        <v>75</v>
      </c>
      <c r="W4" s="142" t="s">
        <v>76</v>
      </c>
      <c r="X4" s="142" t="s">
        <v>86</v>
      </c>
      <c r="Y4" s="142" t="s">
        <v>87</v>
      </c>
      <c r="Z4" s="142" t="s">
        <v>88</v>
      </c>
      <c r="AA4" s="365"/>
      <c r="AB4" s="142" t="s">
        <v>94</v>
      </c>
      <c r="AC4" s="142" t="s">
        <v>95</v>
      </c>
      <c r="AD4" s="365"/>
      <c r="AE4" s="142" t="s">
        <v>92</v>
      </c>
      <c r="AF4" s="142" t="s">
        <v>93</v>
      </c>
      <c r="AG4" s="365"/>
      <c r="AH4" s="142" t="s">
        <v>89</v>
      </c>
      <c r="AI4" s="142" t="s">
        <v>90</v>
      </c>
      <c r="AJ4" s="142" t="s">
        <v>91</v>
      </c>
      <c r="AK4" s="365"/>
      <c r="AL4" s="343" t="s">
        <v>77</v>
      </c>
      <c r="AM4" s="343" t="s">
        <v>78</v>
      </c>
      <c r="AN4" s="366" t="s">
        <v>79</v>
      </c>
    </row>
    <row r="5" spans="1:42" ht="28.5" outlineLevel="1" x14ac:dyDescent="0.45">
      <c r="A5" s="15"/>
      <c r="B5" s="122"/>
      <c r="C5" s="377" t="s">
        <v>100</v>
      </c>
      <c r="D5" s="356" t="s">
        <v>101</v>
      </c>
      <c r="E5" s="377" t="s">
        <v>100</v>
      </c>
      <c r="F5" s="356"/>
      <c r="G5" s="377" t="s">
        <v>100</v>
      </c>
      <c r="H5" s="357"/>
      <c r="I5" s="363"/>
      <c r="J5" s="356"/>
      <c r="K5" s="377" t="s">
        <v>100</v>
      </c>
      <c r="L5" s="362"/>
      <c r="M5" s="358"/>
      <c r="N5" s="358"/>
      <c r="O5" s="359"/>
      <c r="P5" s="358"/>
      <c r="Q5" s="358"/>
      <c r="R5" s="360"/>
      <c r="S5" s="361"/>
      <c r="T5" s="361"/>
      <c r="U5" s="361"/>
      <c r="V5" s="362"/>
      <c r="W5" s="362"/>
      <c r="X5" s="361"/>
      <c r="Y5" s="363"/>
      <c r="Z5" s="363"/>
      <c r="AA5" s="364"/>
      <c r="AB5" s="357"/>
      <c r="AC5" s="357"/>
      <c r="AD5" s="364"/>
      <c r="AE5" s="357"/>
      <c r="AF5" s="363"/>
      <c r="AG5" s="364"/>
      <c r="AH5" s="357"/>
      <c r="AI5" s="357"/>
      <c r="AJ5" s="357"/>
      <c r="AK5" s="364"/>
      <c r="AL5" s="171">
        <f>+$AL$3</f>
        <v>0</v>
      </c>
      <c r="AM5" s="171">
        <f>+$AM$3</f>
        <v>0</v>
      </c>
      <c r="AN5" s="171">
        <f>+$AN$3</f>
        <v>0</v>
      </c>
    </row>
    <row r="6" spans="1:42" outlineLevel="1" x14ac:dyDescent="0.45">
      <c r="A6" s="14">
        <f>+A34</f>
        <v>1</v>
      </c>
      <c r="B6" s="406" t="s">
        <v>262</v>
      </c>
      <c r="C6" s="165">
        <v>1</v>
      </c>
      <c r="D6" s="344">
        <v>0</v>
      </c>
      <c r="E6" s="378">
        <f>+C6</f>
        <v>1</v>
      </c>
      <c r="F6" s="344">
        <f>J6*ASSUMPTIONS!$B$48</f>
        <v>18073.170731707316</v>
      </c>
      <c r="G6" s="165">
        <v>0</v>
      </c>
      <c r="H6" s="348">
        <f>ASSUMPTIONS!$B$5</f>
        <v>0</v>
      </c>
      <c r="I6" s="390">
        <f>+C6*D6+E6*F6+G6*H6*J6</f>
        <v>18073.170731707316</v>
      </c>
      <c r="J6" s="408">
        <f>3705000/ASSUMPTIONS!B3</f>
        <v>361463.41463414632</v>
      </c>
      <c r="K6" s="165">
        <v>1</v>
      </c>
      <c r="L6" s="346">
        <v>7</v>
      </c>
      <c r="M6" s="349">
        <f>+I6+J6</f>
        <v>379536.58536585362</v>
      </c>
      <c r="N6" s="349">
        <f>+M6*(1+ASSUMPTIONS!$B$7)</f>
        <v>379536.58536585362</v>
      </c>
      <c r="O6" s="345">
        <f>ASSUMPTIONS!$B$9</f>
        <v>0</v>
      </c>
      <c r="P6" s="349">
        <f t="shared" ref="P6:P18" si="0">+O6*J6</f>
        <v>0</v>
      </c>
      <c r="Q6" s="349">
        <f t="shared" ref="Q6:Q18" si="1">+J6-P6</f>
        <v>361463.41463414632</v>
      </c>
      <c r="R6" s="350">
        <f>ASSUMPTIONS!$B$8</f>
        <v>5.2999999999999999E-2</v>
      </c>
      <c r="S6" s="348">
        <f>ASSUMPTIONS!$B$10</f>
        <v>2.5000000000000001E-2</v>
      </c>
      <c r="T6" s="351">
        <f>ASSUMPTIONS!$B$6</f>
        <v>0.05</v>
      </c>
      <c r="U6" s="351">
        <f>ASSUMPTIONS!$B$11</f>
        <v>0.01</v>
      </c>
      <c r="V6" s="346">
        <f>ASSUMPTIONS!$B$12</f>
        <v>60</v>
      </c>
      <c r="W6" s="409">
        <f>ASSUMPTIONS!B24</f>
        <v>20000</v>
      </c>
      <c r="X6" s="351">
        <f>ASSUMPTIONS!$B$15</f>
        <v>0.9</v>
      </c>
      <c r="Y6" s="127">
        <f t="shared" ref="Y6:Y15" si="2">+W6*X6</f>
        <v>18000</v>
      </c>
      <c r="Z6" s="352">
        <f t="shared" ref="Z6:Z15" si="3">+Y6/V6</f>
        <v>300</v>
      </c>
      <c r="AA6" s="353"/>
      <c r="AB6" s="367">
        <f>(365*19*0.9)</f>
        <v>6241.5</v>
      </c>
      <c r="AC6" s="346">
        <f>+AB6/12</f>
        <v>520.125</v>
      </c>
      <c r="AD6" s="353"/>
      <c r="AE6" s="345">
        <f>ASSUMPTIONS!$B$35</f>
        <v>0.8</v>
      </c>
      <c r="AF6" s="354">
        <f>1-AE6</f>
        <v>0.19999999999999996</v>
      </c>
      <c r="AG6" s="355"/>
      <c r="AH6" s="345">
        <f>ASSUMPTIONS!$B$38</f>
        <v>0.5</v>
      </c>
      <c r="AI6" s="345">
        <f>ASSUMPTIONS!$B$39</f>
        <v>0.15</v>
      </c>
      <c r="AJ6" s="345">
        <f>ASSUMPTIONS!$B$40</f>
        <v>0.03</v>
      </c>
      <c r="AK6" s="355"/>
      <c r="AL6" s="171">
        <f t="shared" ref="AL6:AL29" si="4">+$AL$3</f>
        <v>0</v>
      </c>
      <c r="AM6" s="171">
        <f t="shared" ref="AM6:AM29" si="5">+$AM$3</f>
        <v>0</v>
      </c>
      <c r="AN6" s="171">
        <f t="shared" ref="AN6:AN29" si="6">+$AN$3</f>
        <v>0</v>
      </c>
    </row>
    <row r="7" spans="1:42" outlineLevel="1" x14ac:dyDescent="0.45">
      <c r="A7" s="14">
        <f>+A35</f>
        <v>2</v>
      </c>
      <c r="B7" s="406" t="s">
        <v>312</v>
      </c>
      <c r="C7" s="165">
        <v>1</v>
      </c>
      <c r="D7" s="344">
        <v>0</v>
      </c>
      <c r="E7" s="378">
        <f t="shared" ref="E7:E30" si="7">+C7</f>
        <v>1</v>
      </c>
      <c r="F7" s="344">
        <f>J7*ASSUMPTIONS!$B$48</f>
        <v>50000</v>
      </c>
      <c r="G7" s="165">
        <v>0</v>
      </c>
      <c r="H7" s="348">
        <f>ASSUMPTIONS!$B$5</f>
        <v>0</v>
      </c>
      <c r="I7" s="390">
        <f t="shared" ref="I7:I19" si="8">+C7*D7+E7*F7+G7*H7*J7</f>
        <v>50000</v>
      </c>
      <c r="J7" s="408">
        <v>1000000</v>
      </c>
      <c r="K7" s="165">
        <v>1</v>
      </c>
      <c r="L7" s="346">
        <v>7</v>
      </c>
      <c r="M7" s="349">
        <f t="shared" ref="M7:M19" si="9">+I7+J7</f>
        <v>1050000</v>
      </c>
      <c r="N7" s="349">
        <f>+M7*(1+ASSUMPTIONS!$B$7)</f>
        <v>1050000</v>
      </c>
      <c r="O7" s="345">
        <f>ASSUMPTIONS!$B$9</f>
        <v>0</v>
      </c>
      <c r="P7" s="349">
        <f t="shared" si="0"/>
        <v>0</v>
      </c>
      <c r="Q7" s="349">
        <f t="shared" si="1"/>
        <v>1000000</v>
      </c>
      <c r="R7" s="350">
        <f>ASSUMPTIONS!$B$8</f>
        <v>5.2999999999999999E-2</v>
      </c>
      <c r="S7" s="348">
        <f>ASSUMPTIONS!$B$10</f>
        <v>2.5000000000000001E-2</v>
      </c>
      <c r="T7" s="351">
        <f>ASSUMPTIONS!$B$6</f>
        <v>0.05</v>
      </c>
      <c r="U7" s="351">
        <f>ASSUMPTIONS!$B$11</f>
        <v>0.01</v>
      </c>
      <c r="V7" s="346">
        <f>ASSUMPTIONS!$B$12</f>
        <v>60</v>
      </c>
      <c r="W7" s="409">
        <f>ASSUMPTIONS!B24</f>
        <v>20000</v>
      </c>
      <c r="X7" s="351">
        <f>ASSUMPTIONS!$B$15</f>
        <v>0.9</v>
      </c>
      <c r="Y7" s="127">
        <f t="shared" si="2"/>
        <v>18000</v>
      </c>
      <c r="Z7" s="352">
        <f t="shared" si="3"/>
        <v>300</v>
      </c>
      <c r="AA7" s="353"/>
      <c r="AB7" s="367">
        <f>+AB6</f>
        <v>6241.5</v>
      </c>
      <c r="AC7" s="346">
        <f t="shared" ref="AC7:AC19" si="10">+AB7/12</f>
        <v>520.125</v>
      </c>
      <c r="AD7" s="353"/>
      <c r="AE7" s="345">
        <f>ASSUMPTIONS!$B$35</f>
        <v>0.8</v>
      </c>
      <c r="AF7" s="354">
        <f t="shared" ref="AF7:AF28" si="11">1-AE7</f>
        <v>0.19999999999999996</v>
      </c>
      <c r="AG7" s="355"/>
      <c r="AH7" s="345">
        <f>ASSUMPTIONS!$B$38</f>
        <v>0.5</v>
      </c>
      <c r="AI7" s="345">
        <f>ASSUMPTIONS!$B$39</f>
        <v>0.15</v>
      </c>
      <c r="AJ7" s="345">
        <f>ASSUMPTIONS!$B$40</f>
        <v>0.03</v>
      </c>
      <c r="AK7" s="355"/>
      <c r="AL7" s="171">
        <f t="shared" si="4"/>
        <v>0</v>
      </c>
      <c r="AM7" s="171">
        <f t="shared" si="5"/>
        <v>0</v>
      </c>
      <c r="AN7" s="171">
        <f t="shared" si="6"/>
        <v>0</v>
      </c>
    </row>
    <row r="8" spans="1:42" outlineLevel="1" x14ac:dyDescent="0.45">
      <c r="A8" s="582"/>
      <c r="B8" s="583" t="s">
        <v>318</v>
      </c>
      <c r="C8" s="584">
        <v>1</v>
      </c>
      <c r="D8" s="344">
        <v>1</v>
      </c>
      <c r="E8" s="378">
        <f t="shared" ref="E8" si="12">+C8</f>
        <v>1</v>
      </c>
      <c r="F8" s="344">
        <f>J8*ASSUMPTIONS!$B$48</f>
        <v>35095.25</v>
      </c>
      <c r="G8" s="165">
        <v>1</v>
      </c>
      <c r="H8" s="348">
        <f>ASSUMPTIONS!$B$5</f>
        <v>0</v>
      </c>
      <c r="I8" s="390">
        <f t="shared" ref="I8" si="13">+C8*D8+E8*F8+G8*H8*J8</f>
        <v>35096.25</v>
      </c>
      <c r="J8" s="586">
        <v>701905</v>
      </c>
      <c r="K8" s="584">
        <v>1</v>
      </c>
      <c r="L8" s="587">
        <v>7</v>
      </c>
      <c r="M8" s="349">
        <f t="shared" ref="M8" si="14">+I8+J8</f>
        <v>737001.25</v>
      </c>
      <c r="N8" s="349">
        <f>+M8*(1+ASSUMPTIONS!$B$7)</f>
        <v>737001.25</v>
      </c>
      <c r="O8" s="345">
        <f>ASSUMPTIONS!$B$9</f>
        <v>0</v>
      </c>
      <c r="P8" s="349">
        <f t="shared" ref="P8" si="15">+O8*J8</f>
        <v>0</v>
      </c>
      <c r="Q8" s="349">
        <f t="shared" ref="Q8" si="16">+J8-P8</f>
        <v>701905</v>
      </c>
      <c r="R8" s="350">
        <f>ASSUMPTIONS!$B$8</f>
        <v>5.2999999999999999E-2</v>
      </c>
      <c r="S8" s="348">
        <f>ASSUMPTIONS!$B$10</f>
        <v>2.5000000000000001E-2</v>
      </c>
      <c r="T8" s="351">
        <f>ASSUMPTIONS!$B$6</f>
        <v>0.05</v>
      </c>
      <c r="U8" s="351">
        <f>ASSUMPTIONS!$B$11</f>
        <v>0.01</v>
      </c>
      <c r="V8" s="346">
        <f>ASSUMPTIONS!$B$12</f>
        <v>60</v>
      </c>
      <c r="W8" s="409">
        <f>ASSUMPTIONS!B25</f>
        <v>18000</v>
      </c>
      <c r="X8" s="351">
        <f>ASSUMPTIONS!$B$15</f>
        <v>0.9</v>
      </c>
      <c r="Y8" s="127">
        <f t="shared" ref="Y8" si="17">+W8*X8</f>
        <v>16200</v>
      </c>
      <c r="Z8" s="352">
        <f t="shared" ref="Z8" si="18">+Y8/V8</f>
        <v>270</v>
      </c>
      <c r="AA8" s="353"/>
      <c r="AB8" s="367">
        <f>+AB7</f>
        <v>6241.5</v>
      </c>
      <c r="AC8" s="346">
        <f t="shared" ref="AC8" si="19">+AB8/12</f>
        <v>520.125</v>
      </c>
      <c r="AD8" s="353"/>
      <c r="AE8" s="345">
        <f>ASSUMPTIONS!$B$35</f>
        <v>0.8</v>
      </c>
      <c r="AF8" s="354">
        <f t="shared" ref="AF8" si="20">1-AE8</f>
        <v>0.19999999999999996</v>
      </c>
      <c r="AG8" s="355"/>
      <c r="AH8" s="345">
        <f>ASSUMPTIONS!$B$38</f>
        <v>0.5</v>
      </c>
      <c r="AI8" s="345">
        <f>ASSUMPTIONS!$B$39</f>
        <v>0.15</v>
      </c>
      <c r="AJ8" s="345">
        <f>ASSUMPTIONS!$B$40</f>
        <v>0.03</v>
      </c>
      <c r="AK8" s="593"/>
      <c r="AL8" s="171"/>
      <c r="AM8" s="171"/>
      <c r="AN8" s="171"/>
    </row>
    <row r="9" spans="1:42" outlineLevel="1" x14ac:dyDescent="0.45">
      <c r="A9" s="14">
        <f>+A37</f>
        <v>3</v>
      </c>
      <c r="B9" s="406" t="s">
        <v>264</v>
      </c>
      <c r="C9" s="165">
        <v>1</v>
      </c>
      <c r="D9" s="344">
        <v>0</v>
      </c>
      <c r="E9" s="378">
        <f t="shared" si="7"/>
        <v>1</v>
      </c>
      <c r="F9" s="344">
        <f>J9*ASSUMPTIONS!$B$48</f>
        <v>5450</v>
      </c>
      <c r="G9" s="165">
        <v>0</v>
      </c>
      <c r="H9" s="348">
        <f>ASSUMPTIONS!$B$5</f>
        <v>0</v>
      </c>
      <c r="I9" s="390">
        <f t="shared" si="8"/>
        <v>5450</v>
      </c>
      <c r="J9" s="408">
        <v>109000</v>
      </c>
      <c r="K9" s="165">
        <v>1</v>
      </c>
      <c r="L9" s="346">
        <v>7</v>
      </c>
      <c r="M9" s="349">
        <f t="shared" si="9"/>
        <v>114450</v>
      </c>
      <c r="N9" s="349">
        <f>+M9*(1+ASSUMPTIONS!$B$7)</f>
        <v>114450</v>
      </c>
      <c r="O9" s="345">
        <f>ASSUMPTIONS!$B$9</f>
        <v>0</v>
      </c>
      <c r="P9" s="349">
        <f t="shared" si="0"/>
        <v>0</v>
      </c>
      <c r="Q9" s="349">
        <f t="shared" si="1"/>
        <v>109000</v>
      </c>
      <c r="R9" s="350">
        <f>ASSUMPTIONS!$B$8</f>
        <v>5.2999999999999999E-2</v>
      </c>
      <c r="S9" s="348">
        <f>ASSUMPTIONS!$B$10</f>
        <v>2.5000000000000001E-2</v>
      </c>
      <c r="T9" s="351">
        <f>ASSUMPTIONS!$B$6</f>
        <v>0.05</v>
      </c>
      <c r="U9" s="351">
        <f>ASSUMPTIONS!$B$11</f>
        <v>0.01</v>
      </c>
      <c r="V9" s="346">
        <f>ASSUMPTIONS!$B$12</f>
        <v>60</v>
      </c>
      <c r="W9" s="409">
        <f>ASSUMPTIONS!B25</f>
        <v>18000</v>
      </c>
      <c r="X9" s="351">
        <f>ASSUMPTIONS!$B$15</f>
        <v>0.9</v>
      </c>
      <c r="Y9" s="127">
        <f t="shared" si="2"/>
        <v>16200</v>
      </c>
      <c r="Z9" s="352">
        <f t="shared" si="3"/>
        <v>270</v>
      </c>
      <c r="AA9" s="353"/>
      <c r="AB9" s="367">
        <f>+AB7</f>
        <v>6241.5</v>
      </c>
      <c r="AC9" s="346">
        <f t="shared" si="10"/>
        <v>520.125</v>
      </c>
      <c r="AD9" s="353"/>
      <c r="AE9" s="345">
        <f>ASSUMPTIONS!$B$35</f>
        <v>0.8</v>
      </c>
      <c r="AF9" s="354">
        <f t="shared" si="11"/>
        <v>0.19999999999999996</v>
      </c>
      <c r="AG9" s="355"/>
      <c r="AH9" s="345">
        <f>ASSUMPTIONS!$B$38</f>
        <v>0.5</v>
      </c>
      <c r="AI9" s="345">
        <f>ASSUMPTIONS!$B$39</f>
        <v>0.15</v>
      </c>
      <c r="AJ9" s="345">
        <f>ASSUMPTIONS!$B$40</f>
        <v>0.03</v>
      </c>
      <c r="AK9" s="355"/>
      <c r="AL9" s="171">
        <f t="shared" si="4"/>
        <v>0</v>
      </c>
      <c r="AM9" s="171">
        <f t="shared" si="5"/>
        <v>0</v>
      </c>
      <c r="AN9" s="171">
        <f t="shared" si="6"/>
        <v>0</v>
      </c>
    </row>
    <row r="10" spans="1:42" outlineLevel="1" x14ac:dyDescent="0.45">
      <c r="A10" s="14">
        <f>+A38</f>
        <v>4</v>
      </c>
      <c r="B10" s="406" t="s">
        <v>313</v>
      </c>
      <c r="C10" s="165">
        <v>1</v>
      </c>
      <c r="D10" s="344">
        <v>0</v>
      </c>
      <c r="E10" s="378">
        <f t="shared" si="7"/>
        <v>1</v>
      </c>
      <c r="F10" s="344">
        <f>J10*ASSUMPTIONS!$B$48</f>
        <v>11000</v>
      </c>
      <c r="G10" s="165">
        <v>0</v>
      </c>
      <c r="H10" s="348">
        <f>ASSUMPTIONS!$B$5</f>
        <v>0</v>
      </c>
      <c r="I10" s="390">
        <f t="shared" si="8"/>
        <v>11000</v>
      </c>
      <c r="J10" s="408">
        <v>220000</v>
      </c>
      <c r="K10" s="165">
        <v>1</v>
      </c>
      <c r="L10" s="346">
        <v>7</v>
      </c>
      <c r="M10" s="349">
        <f t="shared" si="9"/>
        <v>231000</v>
      </c>
      <c r="N10" s="349">
        <f>+M10*(1+ASSUMPTIONS!$B$7)</f>
        <v>231000</v>
      </c>
      <c r="O10" s="345">
        <f>ASSUMPTIONS!$B$9</f>
        <v>0</v>
      </c>
      <c r="P10" s="349">
        <f>+O10*J10</f>
        <v>0</v>
      </c>
      <c r="Q10" s="349">
        <f>+J10-P10</f>
        <v>220000</v>
      </c>
      <c r="R10" s="350">
        <f>ASSUMPTIONS!$B$8</f>
        <v>5.2999999999999999E-2</v>
      </c>
      <c r="S10" s="348">
        <f>ASSUMPTIONS!$B$10</f>
        <v>2.5000000000000001E-2</v>
      </c>
      <c r="T10" s="351">
        <f>ASSUMPTIONS!$B$6</f>
        <v>0.05</v>
      </c>
      <c r="U10" s="351">
        <f>ASSUMPTIONS!$B$11</f>
        <v>0.01</v>
      </c>
      <c r="V10" s="346">
        <f>ASSUMPTIONS!$B$12</f>
        <v>60</v>
      </c>
      <c r="W10" s="409">
        <f>ASSUMPTIONS!B26</f>
        <v>12000</v>
      </c>
      <c r="X10" s="351">
        <f>ASSUMPTIONS!$B$15</f>
        <v>0.9</v>
      </c>
      <c r="Y10" s="127">
        <f t="shared" si="2"/>
        <v>10800</v>
      </c>
      <c r="Z10" s="352">
        <f t="shared" si="3"/>
        <v>180</v>
      </c>
      <c r="AA10" s="353"/>
      <c r="AB10" s="367">
        <f t="shared" ref="AB10:AB30" si="21">+AB9</f>
        <v>6241.5</v>
      </c>
      <c r="AC10" s="346">
        <f t="shared" si="10"/>
        <v>520.125</v>
      </c>
      <c r="AD10" s="353"/>
      <c r="AE10" s="345">
        <f>ASSUMPTIONS!$B$35</f>
        <v>0.8</v>
      </c>
      <c r="AF10" s="354">
        <f t="shared" si="11"/>
        <v>0.19999999999999996</v>
      </c>
      <c r="AG10" s="355"/>
      <c r="AH10" s="345">
        <f>ASSUMPTIONS!$B$38</f>
        <v>0.5</v>
      </c>
      <c r="AI10" s="345">
        <f>ASSUMPTIONS!$B$39</f>
        <v>0.15</v>
      </c>
      <c r="AJ10" s="345">
        <f>ASSUMPTIONS!$B$40</f>
        <v>0.03</v>
      </c>
      <c r="AK10" s="355"/>
      <c r="AL10" s="171">
        <f t="shared" si="4"/>
        <v>0</v>
      </c>
      <c r="AM10" s="171">
        <f t="shared" si="5"/>
        <v>0</v>
      </c>
      <c r="AN10" s="171">
        <f t="shared" si="6"/>
        <v>0</v>
      </c>
    </row>
    <row r="11" spans="1:42" outlineLevel="1" x14ac:dyDescent="0.45">
      <c r="A11" s="582"/>
      <c r="B11" s="583" t="s">
        <v>317</v>
      </c>
      <c r="C11" s="584">
        <v>1</v>
      </c>
      <c r="D11" s="344">
        <v>0</v>
      </c>
      <c r="E11" s="585">
        <f t="shared" si="7"/>
        <v>1</v>
      </c>
      <c r="F11" s="344">
        <f>J11*ASSUMPTIONS!$B$48</f>
        <v>14250</v>
      </c>
      <c r="G11" s="165">
        <v>1</v>
      </c>
      <c r="H11" s="348">
        <f>ASSUMPTIONS!$B$5</f>
        <v>0</v>
      </c>
      <c r="I11" s="390">
        <f t="shared" ref="I11" si="22">+C11*D11+E11*F11+G11*H11*J11</f>
        <v>14250</v>
      </c>
      <c r="J11" s="586">
        <v>285000</v>
      </c>
      <c r="K11" s="584">
        <v>1</v>
      </c>
      <c r="L11" s="587">
        <v>7</v>
      </c>
      <c r="M11" s="349">
        <f t="shared" ref="M11" si="23">+I11+J11</f>
        <v>299250</v>
      </c>
      <c r="N11" s="349">
        <f>+M11*(1+ASSUMPTIONS!$B$7)</f>
        <v>299250</v>
      </c>
      <c r="O11" s="345">
        <f>ASSUMPTIONS!$B$9</f>
        <v>0</v>
      </c>
      <c r="P11" s="349">
        <f>+O11*J11</f>
        <v>0</v>
      </c>
      <c r="Q11" s="349">
        <f>+J11-P11</f>
        <v>285000</v>
      </c>
      <c r="R11" s="350">
        <f>ASSUMPTIONS!$B$8</f>
        <v>5.2999999999999999E-2</v>
      </c>
      <c r="S11" s="348">
        <f>ASSUMPTIONS!$B$10</f>
        <v>2.5000000000000001E-2</v>
      </c>
      <c r="T11" s="351">
        <f>ASSUMPTIONS!$B$6</f>
        <v>0.05</v>
      </c>
      <c r="U11" s="351">
        <f>ASSUMPTIONS!$B$11</f>
        <v>0.01</v>
      </c>
      <c r="V11" s="346">
        <f>ASSUMPTIONS!$B$12</f>
        <v>60</v>
      </c>
      <c r="W11" s="589">
        <v>12000</v>
      </c>
      <c r="X11" s="351">
        <f>ASSUMPTIONS!$B$15</f>
        <v>0.9</v>
      </c>
      <c r="Y11" s="127">
        <f t="shared" ref="Y11" si="24">+W11*X11</f>
        <v>10800</v>
      </c>
      <c r="Z11" s="352">
        <f t="shared" ref="Z11" si="25">+Y11/V11</f>
        <v>180</v>
      </c>
      <c r="AA11" s="590"/>
      <c r="AB11" s="591"/>
      <c r="AC11" s="587"/>
      <c r="AD11" s="590"/>
      <c r="AE11" s="588"/>
      <c r="AF11" s="592"/>
      <c r="AG11" s="593"/>
      <c r="AH11" s="588"/>
      <c r="AI11" s="588"/>
      <c r="AJ11" s="588"/>
      <c r="AK11" s="593"/>
      <c r="AL11" s="171"/>
      <c r="AM11" s="171"/>
      <c r="AN11" s="171"/>
    </row>
    <row r="12" spans="1:42" outlineLevel="1" x14ac:dyDescent="0.45">
      <c r="A12" s="14">
        <f t="shared" ref="A12:A17" si="26">+A40</f>
        <v>5</v>
      </c>
      <c r="B12" s="406" t="s">
        <v>134</v>
      </c>
      <c r="C12" s="165">
        <v>1</v>
      </c>
      <c r="D12" s="344">
        <v>0</v>
      </c>
      <c r="E12" s="378">
        <f t="shared" si="7"/>
        <v>1</v>
      </c>
      <c r="F12" s="344">
        <f>J12*ASSUMPTIONS!$B$48</f>
        <v>97560.975609756104</v>
      </c>
      <c r="G12" s="165">
        <v>0</v>
      </c>
      <c r="H12" s="348">
        <f>ASSUMPTIONS!$B$5</f>
        <v>0</v>
      </c>
      <c r="I12" s="390">
        <f t="shared" si="8"/>
        <v>97560.975609756104</v>
      </c>
      <c r="J12" s="408">
        <f>20000000/ASSUMPTIONS!B3</f>
        <v>1951219.512195122</v>
      </c>
      <c r="K12" s="165">
        <v>1</v>
      </c>
      <c r="L12" s="346">
        <v>7</v>
      </c>
      <c r="M12" s="349">
        <f t="shared" si="9"/>
        <v>2048780.487804878</v>
      </c>
      <c r="N12" s="349">
        <f>+M12*(1+ASSUMPTIONS!$B$7)</f>
        <v>2048780.487804878</v>
      </c>
      <c r="O12" s="345">
        <f>ASSUMPTIONS!$B$9</f>
        <v>0</v>
      </c>
      <c r="P12" s="349">
        <f t="shared" si="0"/>
        <v>0</v>
      </c>
      <c r="Q12" s="349">
        <f t="shared" si="1"/>
        <v>1951219.512195122</v>
      </c>
      <c r="R12" s="350">
        <f>ASSUMPTIONS!$B$8</f>
        <v>5.2999999999999999E-2</v>
      </c>
      <c r="S12" s="348">
        <f>ASSUMPTIONS!$B$10</f>
        <v>2.5000000000000001E-2</v>
      </c>
      <c r="T12" s="351">
        <f>ASSUMPTIONS!$B$6</f>
        <v>0.05</v>
      </c>
      <c r="U12" s="351">
        <f>ASSUMPTIONS!$B$11</f>
        <v>0.01</v>
      </c>
      <c r="V12" s="346">
        <f>ASSUMPTIONS!$B$12</f>
        <v>60</v>
      </c>
      <c r="W12" s="409">
        <f>ASSUMPTIONS!B27</f>
        <v>20000</v>
      </c>
      <c r="X12" s="351">
        <f>ASSUMPTIONS!$B$15</f>
        <v>0.9</v>
      </c>
      <c r="Y12" s="127">
        <f t="shared" si="2"/>
        <v>18000</v>
      </c>
      <c r="Z12" s="352">
        <f t="shared" si="3"/>
        <v>300</v>
      </c>
      <c r="AA12" s="347"/>
      <c r="AB12" s="367">
        <f>+AB10</f>
        <v>6241.5</v>
      </c>
      <c r="AC12" s="346">
        <f t="shared" si="10"/>
        <v>520.125</v>
      </c>
      <c r="AD12" s="347"/>
      <c r="AE12" s="345">
        <f>ASSUMPTIONS!$B$35</f>
        <v>0.8</v>
      </c>
      <c r="AF12" s="354">
        <f t="shared" si="11"/>
        <v>0.19999999999999996</v>
      </c>
      <c r="AG12" s="347"/>
      <c r="AH12" s="345">
        <f>ASSUMPTIONS!$B$38</f>
        <v>0.5</v>
      </c>
      <c r="AI12" s="345">
        <f>ASSUMPTIONS!$B$39</f>
        <v>0.15</v>
      </c>
      <c r="AJ12" s="345">
        <f>ASSUMPTIONS!$B$40</f>
        <v>0.03</v>
      </c>
      <c r="AK12" s="347"/>
      <c r="AL12" s="171">
        <f t="shared" si="4"/>
        <v>0</v>
      </c>
      <c r="AM12" s="171">
        <f t="shared" si="5"/>
        <v>0</v>
      </c>
      <c r="AN12" s="171">
        <f t="shared" si="6"/>
        <v>0</v>
      </c>
    </row>
    <row r="13" spans="1:42" s="298" customFormat="1" outlineLevel="1" x14ac:dyDescent="0.45">
      <c r="A13" s="14">
        <f t="shared" si="26"/>
        <v>6</v>
      </c>
      <c r="B13" s="406" t="s">
        <v>137</v>
      </c>
      <c r="C13" s="165">
        <v>1</v>
      </c>
      <c r="D13" s="344">
        <v>0</v>
      </c>
      <c r="E13" s="378">
        <f t="shared" si="7"/>
        <v>1</v>
      </c>
      <c r="F13" s="344">
        <f>J13*ASSUMPTIONS!$B$48</f>
        <v>12682.926829268294</v>
      </c>
      <c r="G13" s="165">
        <v>0</v>
      </c>
      <c r="H13" s="348">
        <f>ASSUMPTIONS!$B$5</f>
        <v>0</v>
      </c>
      <c r="I13" s="390">
        <f t="shared" si="8"/>
        <v>12682.926829268294</v>
      </c>
      <c r="J13" s="408">
        <f>2600000/ASSUMPTIONS!B3</f>
        <v>253658.53658536586</v>
      </c>
      <c r="K13" s="165">
        <v>1</v>
      </c>
      <c r="L13" s="346">
        <v>7</v>
      </c>
      <c r="M13" s="349">
        <f t="shared" si="9"/>
        <v>266341.46341463417</v>
      </c>
      <c r="N13" s="349">
        <f>+M13*(1+ASSUMPTIONS!$B$7)</f>
        <v>266341.46341463417</v>
      </c>
      <c r="O13" s="345">
        <f>ASSUMPTIONS!$B$9</f>
        <v>0</v>
      </c>
      <c r="P13" s="349">
        <f t="shared" si="0"/>
        <v>0</v>
      </c>
      <c r="Q13" s="349">
        <f t="shared" si="1"/>
        <v>253658.53658536586</v>
      </c>
      <c r="R13" s="350">
        <f>ASSUMPTIONS!$B$8</f>
        <v>5.2999999999999999E-2</v>
      </c>
      <c r="S13" s="348">
        <f>ASSUMPTIONS!$B$10</f>
        <v>2.5000000000000001E-2</v>
      </c>
      <c r="T13" s="351">
        <f>ASSUMPTIONS!$B$6</f>
        <v>0.05</v>
      </c>
      <c r="U13" s="351">
        <f>ASSUMPTIONS!$B$11</f>
        <v>0.01</v>
      </c>
      <c r="V13" s="346">
        <f>ASSUMPTIONS!$B$12</f>
        <v>60</v>
      </c>
      <c r="W13" s="409">
        <f>ASSUMPTIONS!B28</f>
        <v>20000</v>
      </c>
      <c r="X13" s="351">
        <f>ASSUMPTIONS!$B$15</f>
        <v>0.9</v>
      </c>
      <c r="Y13" s="127">
        <f t="shared" si="2"/>
        <v>18000</v>
      </c>
      <c r="Z13" s="352">
        <f t="shared" si="3"/>
        <v>300</v>
      </c>
      <c r="AA13" s="347"/>
      <c r="AB13" s="367">
        <f t="shared" si="21"/>
        <v>6241.5</v>
      </c>
      <c r="AC13" s="346">
        <f t="shared" si="10"/>
        <v>520.125</v>
      </c>
      <c r="AD13" s="347"/>
      <c r="AE13" s="345">
        <f>ASSUMPTIONS!$B$35</f>
        <v>0.8</v>
      </c>
      <c r="AF13" s="354">
        <f t="shared" si="11"/>
        <v>0.19999999999999996</v>
      </c>
      <c r="AG13" s="347"/>
      <c r="AH13" s="345">
        <f>ASSUMPTIONS!$B$38</f>
        <v>0.5</v>
      </c>
      <c r="AI13" s="345">
        <f>ASSUMPTIONS!$B$39</f>
        <v>0.15</v>
      </c>
      <c r="AJ13" s="345">
        <f>ASSUMPTIONS!$B$40</f>
        <v>0.03</v>
      </c>
      <c r="AK13" s="347"/>
      <c r="AL13" s="299">
        <f t="shared" si="4"/>
        <v>0</v>
      </c>
      <c r="AM13" s="299">
        <f t="shared" si="5"/>
        <v>0</v>
      </c>
      <c r="AN13" s="299">
        <f t="shared" si="6"/>
        <v>0</v>
      </c>
    </row>
    <row r="14" spans="1:42" outlineLevel="1" x14ac:dyDescent="0.45">
      <c r="A14" s="14">
        <f t="shared" si="26"/>
        <v>7</v>
      </c>
      <c r="B14" s="406" t="s">
        <v>138</v>
      </c>
      <c r="C14" s="165">
        <v>1</v>
      </c>
      <c r="D14" s="344">
        <v>0</v>
      </c>
      <c r="E14" s="378">
        <f t="shared" si="7"/>
        <v>1</v>
      </c>
      <c r="F14" s="344">
        <f>J14*ASSUMPTIONS!$B$48</f>
        <v>7804.8780487804879</v>
      </c>
      <c r="G14" s="165">
        <v>0</v>
      </c>
      <c r="H14" s="348">
        <f>ASSUMPTIONS!$B$5</f>
        <v>0</v>
      </c>
      <c r="I14" s="390">
        <f t="shared" si="8"/>
        <v>7804.8780487804879</v>
      </c>
      <c r="J14" s="408">
        <f>1600000/ASSUMPTIONS!B3</f>
        <v>156097.56097560975</v>
      </c>
      <c r="K14" s="165">
        <v>1</v>
      </c>
      <c r="L14" s="346">
        <v>7</v>
      </c>
      <c r="M14" s="349">
        <f t="shared" si="9"/>
        <v>163902.43902439025</v>
      </c>
      <c r="N14" s="349">
        <f>+M14*(1+ASSUMPTIONS!$B$7)</f>
        <v>163902.43902439025</v>
      </c>
      <c r="O14" s="345">
        <f>ASSUMPTIONS!$B$9</f>
        <v>0</v>
      </c>
      <c r="P14" s="349">
        <f t="shared" si="0"/>
        <v>0</v>
      </c>
      <c r="Q14" s="349">
        <f t="shared" si="1"/>
        <v>156097.56097560975</v>
      </c>
      <c r="R14" s="350">
        <f>ASSUMPTIONS!$B$8</f>
        <v>5.2999999999999999E-2</v>
      </c>
      <c r="S14" s="348">
        <f>ASSUMPTIONS!$B$10</f>
        <v>2.5000000000000001E-2</v>
      </c>
      <c r="T14" s="351">
        <f>ASSUMPTIONS!$B$6</f>
        <v>0.05</v>
      </c>
      <c r="U14" s="351">
        <f>ASSUMPTIONS!$B$11</f>
        <v>0.01</v>
      </c>
      <c r="V14" s="346">
        <f>ASSUMPTIONS!$B$12</f>
        <v>60</v>
      </c>
      <c r="W14" s="409">
        <f>ASSUMPTIONS!B29</f>
        <v>15000</v>
      </c>
      <c r="X14" s="351">
        <f>ASSUMPTIONS!$B$15</f>
        <v>0.9</v>
      </c>
      <c r="Y14" s="127">
        <f t="shared" si="2"/>
        <v>13500</v>
      </c>
      <c r="Z14" s="352">
        <f t="shared" si="3"/>
        <v>225</v>
      </c>
      <c r="AA14" s="347"/>
      <c r="AB14" s="367">
        <f t="shared" si="21"/>
        <v>6241.5</v>
      </c>
      <c r="AC14" s="346">
        <v>375</v>
      </c>
      <c r="AD14" s="347"/>
      <c r="AE14" s="345">
        <f>ASSUMPTIONS!$B$35</f>
        <v>0.8</v>
      </c>
      <c r="AF14" s="354">
        <f t="shared" si="11"/>
        <v>0.19999999999999996</v>
      </c>
      <c r="AG14" s="347"/>
      <c r="AH14" s="345">
        <f>ASSUMPTIONS!$B$38</f>
        <v>0.5</v>
      </c>
      <c r="AI14" s="345">
        <f>ASSUMPTIONS!$B$39</f>
        <v>0.15</v>
      </c>
      <c r="AJ14" s="345">
        <f>ASSUMPTIONS!$B$40</f>
        <v>0.03</v>
      </c>
      <c r="AK14" s="347"/>
      <c r="AL14" s="304">
        <f t="shared" si="4"/>
        <v>0</v>
      </c>
      <c r="AM14" s="304">
        <f t="shared" si="5"/>
        <v>0</v>
      </c>
      <c r="AN14" s="304">
        <f t="shared" si="6"/>
        <v>0</v>
      </c>
    </row>
    <row r="15" spans="1:42" s="298" customFormat="1" outlineLevel="1" x14ac:dyDescent="0.45">
      <c r="A15" s="14">
        <f t="shared" si="26"/>
        <v>8</v>
      </c>
      <c r="B15" s="406" t="s">
        <v>263</v>
      </c>
      <c r="C15" s="165">
        <v>1</v>
      </c>
      <c r="D15" s="344">
        <v>0</v>
      </c>
      <c r="E15" s="378">
        <f t="shared" si="7"/>
        <v>1</v>
      </c>
      <c r="F15" s="344">
        <f>J15*ASSUMPTIONS!$B$48</f>
        <v>9000</v>
      </c>
      <c r="G15" s="165">
        <v>0</v>
      </c>
      <c r="H15" s="348">
        <f>ASSUMPTIONS!$B$5</f>
        <v>0</v>
      </c>
      <c r="I15" s="390">
        <f t="shared" si="8"/>
        <v>9000</v>
      </c>
      <c r="J15" s="408">
        <v>180000</v>
      </c>
      <c r="K15" s="165">
        <v>1</v>
      </c>
      <c r="L15" s="346">
        <v>7</v>
      </c>
      <c r="M15" s="349">
        <f t="shared" si="9"/>
        <v>189000</v>
      </c>
      <c r="N15" s="349">
        <f>+M15*(1+ASSUMPTIONS!$B$7)</f>
        <v>189000</v>
      </c>
      <c r="O15" s="345">
        <f>ASSUMPTIONS!$B$9</f>
        <v>0</v>
      </c>
      <c r="P15" s="349">
        <f t="shared" si="0"/>
        <v>0</v>
      </c>
      <c r="Q15" s="349">
        <f t="shared" si="1"/>
        <v>180000</v>
      </c>
      <c r="R15" s="350">
        <f>ASSUMPTIONS!$B$8</f>
        <v>5.2999999999999999E-2</v>
      </c>
      <c r="S15" s="348">
        <f>ASSUMPTIONS!$B$10</f>
        <v>2.5000000000000001E-2</v>
      </c>
      <c r="T15" s="351">
        <f>ASSUMPTIONS!$B$6</f>
        <v>0.05</v>
      </c>
      <c r="U15" s="351">
        <f>ASSUMPTIONS!$B$11</f>
        <v>0.01</v>
      </c>
      <c r="V15" s="346">
        <f>ASSUMPTIONS!$B$12</f>
        <v>60</v>
      </c>
      <c r="W15" s="409">
        <f>ASSUMPTIONS!B24</f>
        <v>20000</v>
      </c>
      <c r="X15" s="351">
        <f>ASSUMPTIONS!$B$15</f>
        <v>0.9</v>
      </c>
      <c r="Y15" s="127">
        <f t="shared" si="2"/>
        <v>18000</v>
      </c>
      <c r="Z15" s="352">
        <f t="shared" si="3"/>
        <v>300</v>
      </c>
      <c r="AA15" s="347"/>
      <c r="AB15" s="367">
        <f t="shared" si="21"/>
        <v>6241.5</v>
      </c>
      <c r="AC15" s="346">
        <f t="shared" si="10"/>
        <v>520.125</v>
      </c>
      <c r="AD15" s="347"/>
      <c r="AE15" s="345">
        <f>ASSUMPTIONS!$B$35</f>
        <v>0.8</v>
      </c>
      <c r="AF15" s="354">
        <f t="shared" si="11"/>
        <v>0.19999999999999996</v>
      </c>
      <c r="AG15" s="347"/>
      <c r="AH15" s="345">
        <f>ASSUMPTIONS!$B$38</f>
        <v>0.5</v>
      </c>
      <c r="AI15" s="345">
        <f>ASSUMPTIONS!$B$39</f>
        <v>0.15</v>
      </c>
      <c r="AJ15" s="345">
        <f>ASSUMPTIONS!$B$40</f>
        <v>0.03</v>
      </c>
      <c r="AK15" s="347"/>
      <c r="AL15" s="299">
        <f t="shared" si="4"/>
        <v>0</v>
      </c>
      <c r="AM15" s="299">
        <f t="shared" si="5"/>
        <v>0</v>
      </c>
      <c r="AN15" s="299">
        <f t="shared" si="6"/>
        <v>0</v>
      </c>
    </row>
    <row r="16" spans="1:42" outlineLevel="1" x14ac:dyDescent="0.45">
      <c r="A16" s="14">
        <f t="shared" si="26"/>
        <v>9</v>
      </c>
      <c r="B16" s="406" t="s">
        <v>141</v>
      </c>
      <c r="C16" s="165">
        <v>1</v>
      </c>
      <c r="D16" s="344">
        <v>0</v>
      </c>
      <c r="E16" s="378">
        <f t="shared" si="7"/>
        <v>1</v>
      </c>
      <c r="F16" s="344">
        <f>J16*ASSUMPTIONS!$B$48</f>
        <v>5450</v>
      </c>
      <c r="G16" s="165">
        <v>0</v>
      </c>
      <c r="H16" s="348">
        <f>ASSUMPTIONS!$B$5</f>
        <v>0</v>
      </c>
      <c r="I16" s="390">
        <f t="shared" si="8"/>
        <v>5450</v>
      </c>
      <c r="J16" s="408">
        <v>109000</v>
      </c>
      <c r="K16" s="165">
        <v>1</v>
      </c>
      <c r="L16" s="346">
        <v>7</v>
      </c>
      <c r="M16" s="349">
        <f t="shared" si="9"/>
        <v>114450</v>
      </c>
      <c r="N16" s="349">
        <f>+M16*(1+ASSUMPTIONS!$B$7)</f>
        <v>114450</v>
      </c>
      <c r="O16" s="345">
        <f>ASSUMPTIONS!$B$9</f>
        <v>0</v>
      </c>
      <c r="P16" s="349">
        <f>+O16*J16</f>
        <v>0</v>
      </c>
      <c r="Q16" s="349">
        <f>+J16-P16</f>
        <v>109000</v>
      </c>
      <c r="R16" s="350">
        <f>ASSUMPTIONS!$B$8</f>
        <v>5.2999999999999999E-2</v>
      </c>
      <c r="S16" s="348">
        <f>ASSUMPTIONS!$B$10</f>
        <v>2.5000000000000001E-2</v>
      </c>
      <c r="T16" s="351">
        <f>ASSUMPTIONS!$B$6</f>
        <v>0.05</v>
      </c>
      <c r="U16" s="351">
        <f>ASSUMPTIONS!$B$11</f>
        <v>0.01</v>
      </c>
      <c r="V16" s="346">
        <f>ASSUMPTIONS!$B$12</f>
        <v>60</v>
      </c>
      <c r="W16" s="409">
        <f>+ASSUMPTIONS!B30</f>
        <v>18000</v>
      </c>
      <c r="X16" s="351">
        <f>ASSUMPTIONS!$B$15</f>
        <v>0.9</v>
      </c>
      <c r="Y16" s="127">
        <f t="shared" ref="Y16:Y19" si="27">+W16*X16</f>
        <v>16200</v>
      </c>
      <c r="Z16" s="352">
        <f t="shared" ref="Z16:Z19" si="28">+Y16/V16</f>
        <v>270</v>
      </c>
      <c r="AA16" s="347"/>
      <c r="AB16" s="367">
        <f t="shared" si="21"/>
        <v>6241.5</v>
      </c>
      <c r="AC16" s="346">
        <f t="shared" si="10"/>
        <v>520.125</v>
      </c>
      <c r="AD16" s="347"/>
      <c r="AE16" s="345">
        <f>ASSUMPTIONS!$B$35</f>
        <v>0.8</v>
      </c>
      <c r="AF16" s="354">
        <f t="shared" si="11"/>
        <v>0.19999999999999996</v>
      </c>
      <c r="AG16" s="347"/>
      <c r="AH16" s="345">
        <f>ASSUMPTIONS!$B$38</f>
        <v>0.5</v>
      </c>
      <c r="AI16" s="345">
        <f>ASSUMPTIONS!$B$39</f>
        <v>0.15</v>
      </c>
      <c r="AJ16" s="345">
        <f>ASSUMPTIONS!$B$40</f>
        <v>0.03</v>
      </c>
      <c r="AK16" s="347"/>
      <c r="AL16" s="171">
        <f t="shared" si="4"/>
        <v>0</v>
      </c>
      <c r="AM16" s="171">
        <f t="shared" si="5"/>
        <v>0</v>
      </c>
      <c r="AN16" s="171">
        <f t="shared" si="6"/>
        <v>0</v>
      </c>
    </row>
    <row r="17" spans="1:40" s="298" customFormat="1" outlineLevel="1" x14ac:dyDescent="0.45">
      <c r="A17" s="14">
        <f t="shared" si="26"/>
        <v>10</v>
      </c>
      <c r="B17" s="406" t="s">
        <v>143</v>
      </c>
      <c r="C17" s="165">
        <v>1</v>
      </c>
      <c r="D17" s="344">
        <v>0</v>
      </c>
      <c r="E17" s="378">
        <f t="shared" si="7"/>
        <v>1</v>
      </c>
      <c r="F17" s="344">
        <f>J17*ASSUMPTIONS!$B$48</f>
        <v>15275</v>
      </c>
      <c r="G17" s="165">
        <v>0</v>
      </c>
      <c r="H17" s="348">
        <f>ASSUMPTIONS!$B$5</f>
        <v>0</v>
      </c>
      <c r="I17" s="390">
        <f t="shared" si="8"/>
        <v>15275</v>
      </c>
      <c r="J17" s="408">
        <v>305500</v>
      </c>
      <c r="K17" s="165">
        <v>1</v>
      </c>
      <c r="L17" s="346">
        <v>7</v>
      </c>
      <c r="M17" s="349">
        <f t="shared" si="9"/>
        <v>320775</v>
      </c>
      <c r="N17" s="349">
        <f>+M17*(1+ASSUMPTIONS!$B$7)</f>
        <v>320775</v>
      </c>
      <c r="O17" s="345">
        <f>ASSUMPTIONS!$B$9</f>
        <v>0</v>
      </c>
      <c r="P17" s="349">
        <f>+P15</f>
        <v>0</v>
      </c>
      <c r="Q17" s="349">
        <f>+Q15</f>
        <v>180000</v>
      </c>
      <c r="R17" s="350">
        <f>ASSUMPTIONS!$B$8</f>
        <v>5.2999999999999999E-2</v>
      </c>
      <c r="S17" s="348">
        <f>ASSUMPTIONS!$B$10</f>
        <v>2.5000000000000001E-2</v>
      </c>
      <c r="T17" s="351">
        <f>ASSUMPTIONS!$B$6</f>
        <v>0.05</v>
      </c>
      <c r="U17" s="351">
        <f>ASSUMPTIONS!$B$11</f>
        <v>0.01</v>
      </c>
      <c r="V17" s="346">
        <f>ASSUMPTIONS!$B$12</f>
        <v>60</v>
      </c>
      <c r="W17" s="409">
        <f>+ASSUMPTIONS!$B$32</f>
        <v>10000</v>
      </c>
      <c r="X17" s="351">
        <f>ASSUMPTIONS!$B$15</f>
        <v>0.9</v>
      </c>
      <c r="Y17" s="127">
        <f t="shared" si="27"/>
        <v>9000</v>
      </c>
      <c r="Z17" s="352">
        <f t="shared" si="28"/>
        <v>150</v>
      </c>
      <c r="AA17" s="347"/>
      <c r="AB17" s="367">
        <f t="shared" si="21"/>
        <v>6241.5</v>
      </c>
      <c r="AC17" s="346">
        <v>375</v>
      </c>
      <c r="AD17" s="347"/>
      <c r="AE17" s="414">
        <v>0.5</v>
      </c>
      <c r="AF17" s="354">
        <f t="shared" si="11"/>
        <v>0.5</v>
      </c>
      <c r="AG17" s="347"/>
      <c r="AH17" s="414">
        <v>0.65</v>
      </c>
      <c r="AI17" s="414">
        <v>0.25</v>
      </c>
      <c r="AJ17" s="414">
        <v>7.0000000000000007E-2</v>
      </c>
      <c r="AK17" s="347"/>
      <c r="AL17" s="299">
        <f t="shared" si="4"/>
        <v>0</v>
      </c>
      <c r="AM17" s="299">
        <f t="shared" si="5"/>
        <v>0</v>
      </c>
      <c r="AN17" s="299">
        <f t="shared" si="6"/>
        <v>0</v>
      </c>
    </row>
    <row r="18" spans="1:40" s="298" customFormat="1" outlineLevel="1" x14ac:dyDescent="0.45">
      <c r="A18" s="14">
        <f t="shared" ref="A18:A30" si="29">+A46</f>
        <v>11</v>
      </c>
      <c r="B18" s="406" t="s">
        <v>142</v>
      </c>
      <c r="C18" s="165">
        <v>1</v>
      </c>
      <c r="D18" s="344">
        <v>0</v>
      </c>
      <c r="E18" s="378">
        <f t="shared" si="7"/>
        <v>1</v>
      </c>
      <c r="F18" s="344">
        <f>J18*ASSUMPTIONS!$B$48</f>
        <v>21825</v>
      </c>
      <c r="G18" s="165">
        <v>0</v>
      </c>
      <c r="H18" s="348">
        <f>ASSUMPTIONS!$B$5</f>
        <v>0</v>
      </c>
      <c r="I18" s="390">
        <f t="shared" si="8"/>
        <v>21825</v>
      </c>
      <c r="J18" s="408">
        <v>436500</v>
      </c>
      <c r="K18" s="165">
        <v>1</v>
      </c>
      <c r="L18" s="346">
        <v>7</v>
      </c>
      <c r="M18" s="349">
        <f t="shared" si="9"/>
        <v>458325</v>
      </c>
      <c r="N18" s="349">
        <f>+M18*(1+ASSUMPTIONS!$B$7)</f>
        <v>458325</v>
      </c>
      <c r="O18" s="345">
        <f>ASSUMPTIONS!$B$9</f>
        <v>0</v>
      </c>
      <c r="P18" s="349">
        <f t="shared" si="0"/>
        <v>0</v>
      </c>
      <c r="Q18" s="349">
        <f t="shared" si="1"/>
        <v>436500</v>
      </c>
      <c r="R18" s="350">
        <f>ASSUMPTIONS!$B$8</f>
        <v>5.2999999999999999E-2</v>
      </c>
      <c r="S18" s="348">
        <f>ASSUMPTIONS!$B$10</f>
        <v>2.5000000000000001E-2</v>
      </c>
      <c r="T18" s="351">
        <f>ASSUMPTIONS!$B$6</f>
        <v>0.05</v>
      </c>
      <c r="U18" s="351">
        <f>ASSUMPTIONS!$B$11</f>
        <v>0.01</v>
      </c>
      <c r="V18" s="346">
        <f>ASSUMPTIONS!$B$12</f>
        <v>60</v>
      </c>
      <c r="W18" s="409">
        <f>+ASSUMPTIONS!$B$32</f>
        <v>10000</v>
      </c>
      <c r="X18" s="351">
        <f>ASSUMPTIONS!$B$15</f>
        <v>0.9</v>
      </c>
      <c r="Y18" s="127">
        <f t="shared" si="27"/>
        <v>9000</v>
      </c>
      <c r="Z18" s="352">
        <f t="shared" si="28"/>
        <v>150</v>
      </c>
      <c r="AA18" s="347"/>
      <c r="AB18" s="367">
        <f t="shared" si="21"/>
        <v>6241.5</v>
      </c>
      <c r="AC18" s="346">
        <f t="shared" si="10"/>
        <v>520.125</v>
      </c>
      <c r="AD18" s="347"/>
      <c r="AE18" s="414">
        <v>0.5</v>
      </c>
      <c r="AF18" s="354">
        <f t="shared" si="11"/>
        <v>0.5</v>
      </c>
      <c r="AG18" s="347"/>
      <c r="AH18" s="414">
        <v>0.65</v>
      </c>
      <c r="AI18" s="414">
        <v>0.25</v>
      </c>
      <c r="AJ18" s="414">
        <v>7.0000000000000007E-2</v>
      </c>
      <c r="AK18" s="347"/>
      <c r="AL18" s="299">
        <f t="shared" si="4"/>
        <v>0</v>
      </c>
      <c r="AM18" s="299">
        <f t="shared" si="5"/>
        <v>0</v>
      </c>
      <c r="AN18" s="299">
        <f t="shared" si="6"/>
        <v>0</v>
      </c>
    </row>
    <row r="19" spans="1:40" s="298" customFormat="1" outlineLevel="1" x14ac:dyDescent="0.45">
      <c r="A19" s="14">
        <f t="shared" si="29"/>
        <v>12</v>
      </c>
      <c r="B19" s="406" t="s">
        <v>231</v>
      </c>
      <c r="C19" s="165">
        <v>1</v>
      </c>
      <c r="D19" s="344"/>
      <c r="E19" s="378">
        <v>1</v>
      </c>
      <c r="F19" s="344">
        <f>J19*ASSUMPTIONS!$B$48</f>
        <v>6800</v>
      </c>
      <c r="G19" s="165">
        <v>0</v>
      </c>
      <c r="H19" s="348">
        <f>ASSUMPTIONS!$B$5</f>
        <v>0</v>
      </c>
      <c r="I19" s="390">
        <f t="shared" si="8"/>
        <v>6800</v>
      </c>
      <c r="J19" s="408">
        <v>136000</v>
      </c>
      <c r="K19" s="165">
        <v>1</v>
      </c>
      <c r="L19" s="346">
        <v>7</v>
      </c>
      <c r="M19" s="349">
        <f t="shared" si="9"/>
        <v>142800</v>
      </c>
      <c r="N19" s="349">
        <f>+M19*(1+ASSUMPTIONS!$B$7)</f>
        <v>142800</v>
      </c>
      <c r="O19" s="345">
        <f>ASSUMPTIONS!$B$9</f>
        <v>0</v>
      </c>
      <c r="P19" s="349">
        <f t="shared" ref="P19" si="30">+O19*J19</f>
        <v>0</v>
      </c>
      <c r="Q19" s="349">
        <f t="shared" ref="Q19" si="31">+J19-P19</f>
        <v>136000</v>
      </c>
      <c r="R19" s="350">
        <f>ASSUMPTIONS!$B$8</f>
        <v>5.2999999999999999E-2</v>
      </c>
      <c r="S19" s="348">
        <f>ASSUMPTIONS!$B$10</f>
        <v>2.5000000000000001E-2</v>
      </c>
      <c r="T19" s="351">
        <f>ASSUMPTIONS!$B$6</f>
        <v>0.05</v>
      </c>
      <c r="U19" s="351">
        <f>ASSUMPTIONS!$B$11</f>
        <v>0.01</v>
      </c>
      <c r="V19" s="346">
        <f>ASSUMPTIONS!$B$12</f>
        <v>60</v>
      </c>
      <c r="W19" s="409">
        <f>+ASSUMPTIONS!B33</f>
        <v>18000</v>
      </c>
      <c r="X19" s="351">
        <f>ASSUMPTIONS!$B$15</f>
        <v>0.9</v>
      </c>
      <c r="Y19" s="127">
        <f t="shared" si="27"/>
        <v>16200</v>
      </c>
      <c r="Z19" s="352">
        <f t="shared" si="28"/>
        <v>270</v>
      </c>
      <c r="AA19" s="347"/>
      <c r="AB19" s="367">
        <f t="shared" si="21"/>
        <v>6241.5</v>
      </c>
      <c r="AC19" s="346">
        <f t="shared" si="10"/>
        <v>520.125</v>
      </c>
      <c r="AD19" s="347"/>
      <c r="AE19" s="345">
        <f>ASSUMPTIONS!$B$35</f>
        <v>0.8</v>
      </c>
      <c r="AF19" s="354">
        <f t="shared" si="11"/>
        <v>0.19999999999999996</v>
      </c>
      <c r="AG19" s="347"/>
      <c r="AH19" s="345">
        <f>ASSUMPTIONS!$B$38</f>
        <v>0.5</v>
      </c>
      <c r="AI19" s="345">
        <f>ASSUMPTIONS!$B$39</f>
        <v>0.15</v>
      </c>
      <c r="AJ19" s="345">
        <f>ASSUMPTIONS!$B$40</f>
        <v>0.03</v>
      </c>
      <c r="AK19" s="347"/>
      <c r="AL19" s="299">
        <f t="shared" si="4"/>
        <v>0</v>
      </c>
      <c r="AM19" s="299">
        <f t="shared" si="5"/>
        <v>0</v>
      </c>
      <c r="AN19" s="299">
        <f t="shared" si="6"/>
        <v>0</v>
      </c>
    </row>
    <row r="20" spans="1:40" hidden="1" outlineLevel="1" x14ac:dyDescent="0.45">
      <c r="A20" s="14">
        <f t="shared" si="29"/>
        <v>13</v>
      </c>
      <c r="B20" s="406" t="s">
        <v>231</v>
      </c>
      <c r="C20" s="165">
        <v>0</v>
      </c>
      <c r="D20" s="344"/>
      <c r="E20" s="378">
        <f t="shared" si="7"/>
        <v>0</v>
      </c>
      <c r="F20" s="344">
        <f>J20*ASSUMPTIONS!$B$48</f>
        <v>0</v>
      </c>
      <c r="G20" s="165">
        <v>1</v>
      </c>
      <c r="H20" s="348">
        <f>ASSUMPTIONS!$B$5</f>
        <v>0</v>
      </c>
      <c r="I20" s="390">
        <f t="shared" ref="I20:I30" si="32">+C20*D20+E20*F20+G20*H20*J20</f>
        <v>0</v>
      </c>
      <c r="J20" s="344"/>
      <c r="K20" s="165">
        <v>1</v>
      </c>
      <c r="L20" s="346">
        <v>7</v>
      </c>
      <c r="M20" s="349">
        <f t="shared" ref="M20:M30" si="33">+I20+J20</f>
        <v>0</v>
      </c>
      <c r="N20" s="349">
        <f>+M20*(1+ASSUMPTIONS!$B$7)</f>
        <v>0</v>
      </c>
      <c r="O20" s="345">
        <f>ASSUMPTIONS!$B$9</f>
        <v>0</v>
      </c>
      <c r="P20" s="349">
        <f t="shared" ref="P20:P30" si="34">+O20*J20</f>
        <v>0</v>
      </c>
      <c r="Q20" s="349">
        <f t="shared" ref="Q20:Q30" si="35">+J20-P20</f>
        <v>0</v>
      </c>
      <c r="R20" s="350">
        <f>ASSUMPTIONS!$B$8</f>
        <v>5.2999999999999999E-2</v>
      </c>
      <c r="S20" s="348">
        <f>ASSUMPTIONS!$B$10</f>
        <v>2.5000000000000001E-2</v>
      </c>
      <c r="T20" s="351">
        <f>ASSUMPTIONS!$B$6</f>
        <v>0.05</v>
      </c>
      <c r="U20" s="351">
        <f>ASSUMPTIONS!$B$11</f>
        <v>0.01</v>
      </c>
      <c r="V20" s="346">
        <f>ASSUMPTIONS!$B$12</f>
        <v>60</v>
      </c>
      <c r="W20" s="346"/>
      <c r="X20" s="351">
        <f>ASSUMPTIONS!$B$15</f>
        <v>0.9</v>
      </c>
      <c r="Y20" s="127">
        <f t="shared" ref="Y20:Y30" si="36">+W20*X20</f>
        <v>0</v>
      </c>
      <c r="Z20" s="352">
        <f t="shared" ref="Z20:Z30" si="37">+Y20/V20</f>
        <v>0</v>
      </c>
      <c r="AA20" s="347"/>
      <c r="AB20" s="367">
        <f t="shared" si="21"/>
        <v>6241.5</v>
      </c>
      <c r="AC20" s="346">
        <f t="shared" ref="AC20:AC30" si="38">+AB20/12</f>
        <v>520.125</v>
      </c>
      <c r="AD20" s="347"/>
      <c r="AE20" s="345">
        <f>ASSUMPTIONS!$B$35</f>
        <v>0.8</v>
      </c>
      <c r="AF20" s="354">
        <f t="shared" si="11"/>
        <v>0.19999999999999996</v>
      </c>
      <c r="AG20" s="347"/>
      <c r="AH20" s="345">
        <f>ASSUMPTIONS!$B$38</f>
        <v>0.5</v>
      </c>
      <c r="AI20" s="345">
        <f>ASSUMPTIONS!$B$39</f>
        <v>0.15</v>
      </c>
      <c r="AJ20" s="345">
        <f>ASSUMPTIONS!$B$40</f>
        <v>0.03</v>
      </c>
      <c r="AK20" s="347"/>
      <c r="AL20" s="171">
        <f t="shared" si="4"/>
        <v>0</v>
      </c>
      <c r="AM20" s="171">
        <f t="shared" si="5"/>
        <v>0</v>
      </c>
      <c r="AN20" s="171">
        <f t="shared" si="6"/>
        <v>0</v>
      </c>
    </row>
    <row r="21" spans="1:40" hidden="1" outlineLevel="1" x14ac:dyDescent="0.45">
      <c r="A21" s="14">
        <f t="shared" si="29"/>
        <v>14</v>
      </c>
      <c r="B21" s="406" t="s">
        <v>231</v>
      </c>
      <c r="C21" s="165">
        <v>0</v>
      </c>
      <c r="D21" s="344"/>
      <c r="E21" s="378">
        <f t="shared" si="7"/>
        <v>0</v>
      </c>
      <c r="F21" s="344">
        <f>J21*ASSUMPTIONS!$B$48</f>
        <v>0</v>
      </c>
      <c r="G21" s="165">
        <v>2</v>
      </c>
      <c r="H21" s="348">
        <f>ASSUMPTIONS!$B$5</f>
        <v>0</v>
      </c>
      <c r="I21" s="390">
        <f t="shared" si="32"/>
        <v>0</v>
      </c>
      <c r="J21" s="344"/>
      <c r="K21" s="165">
        <v>1</v>
      </c>
      <c r="L21" s="346">
        <v>7</v>
      </c>
      <c r="M21" s="349">
        <f t="shared" si="33"/>
        <v>0</v>
      </c>
      <c r="N21" s="349">
        <f>+M21*(1+ASSUMPTIONS!$B$7)</f>
        <v>0</v>
      </c>
      <c r="O21" s="345">
        <f>ASSUMPTIONS!$B$9</f>
        <v>0</v>
      </c>
      <c r="P21" s="349">
        <f t="shared" si="34"/>
        <v>0</v>
      </c>
      <c r="Q21" s="349">
        <f t="shared" si="35"/>
        <v>0</v>
      </c>
      <c r="R21" s="350">
        <f>ASSUMPTIONS!$B$8</f>
        <v>5.2999999999999999E-2</v>
      </c>
      <c r="S21" s="348">
        <f>ASSUMPTIONS!$B$10</f>
        <v>2.5000000000000001E-2</v>
      </c>
      <c r="T21" s="351">
        <f>ASSUMPTIONS!$B$6</f>
        <v>0.05</v>
      </c>
      <c r="U21" s="351">
        <f>ASSUMPTIONS!$B$11</f>
        <v>0.01</v>
      </c>
      <c r="V21" s="346">
        <f>ASSUMPTIONS!$B$12</f>
        <v>60</v>
      </c>
      <c r="W21" s="346"/>
      <c r="X21" s="351">
        <f>ASSUMPTIONS!$B$15</f>
        <v>0.9</v>
      </c>
      <c r="Y21" s="127">
        <f t="shared" si="36"/>
        <v>0</v>
      </c>
      <c r="Z21" s="352">
        <f t="shared" si="37"/>
        <v>0</v>
      </c>
      <c r="AA21" s="347"/>
      <c r="AB21" s="367">
        <f t="shared" si="21"/>
        <v>6241.5</v>
      </c>
      <c r="AC21" s="346">
        <f t="shared" si="38"/>
        <v>520.125</v>
      </c>
      <c r="AD21" s="347"/>
      <c r="AE21" s="345">
        <f>ASSUMPTIONS!$B$35</f>
        <v>0.8</v>
      </c>
      <c r="AF21" s="354">
        <f t="shared" si="11"/>
        <v>0.19999999999999996</v>
      </c>
      <c r="AG21" s="347"/>
      <c r="AH21" s="345">
        <f>ASSUMPTIONS!$B$38</f>
        <v>0.5</v>
      </c>
      <c r="AI21" s="345">
        <f>ASSUMPTIONS!$B$39</f>
        <v>0.15</v>
      </c>
      <c r="AJ21" s="345">
        <f>ASSUMPTIONS!$B$40</f>
        <v>0.03</v>
      </c>
      <c r="AK21" s="347"/>
      <c r="AL21" s="171">
        <f t="shared" si="4"/>
        <v>0</v>
      </c>
      <c r="AM21" s="171">
        <f t="shared" si="5"/>
        <v>0</v>
      </c>
      <c r="AN21" s="171">
        <f t="shared" si="6"/>
        <v>0</v>
      </c>
    </row>
    <row r="22" spans="1:40" hidden="1" outlineLevel="1" x14ac:dyDescent="0.45">
      <c r="A22" s="14">
        <f t="shared" si="29"/>
        <v>15</v>
      </c>
      <c r="B22" s="406" t="s">
        <v>231</v>
      </c>
      <c r="C22" s="165">
        <v>0</v>
      </c>
      <c r="D22" s="344"/>
      <c r="E22" s="378">
        <f t="shared" si="7"/>
        <v>0</v>
      </c>
      <c r="F22" s="344">
        <f>J22*ASSUMPTIONS!$B$48</f>
        <v>0</v>
      </c>
      <c r="G22" s="165">
        <v>3</v>
      </c>
      <c r="H22" s="348">
        <f>ASSUMPTIONS!$B$5</f>
        <v>0</v>
      </c>
      <c r="I22" s="390">
        <f t="shared" si="32"/>
        <v>0</v>
      </c>
      <c r="J22" s="344"/>
      <c r="K22" s="165">
        <v>1</v>
      </c>
      <c r="L22" s="346">
        <v>7</v>
      </c>
      <c r="M22" s="349">
        <f t="shared" si="33"/>
        <v>0</v>
      </c>
      <c r="N22" s="349">
        <f>+M22*(1+ASSUMPTIONS!$B$7)</f>
        <v>0</v>
      </c>
      <c r="O22" s="345">
        <f>ASSUMPTIONS!$B$9</f>
        <v>0</v>
      </c>
      <c r="P22" s="349">
        <f t="shared" si="34"/>
        <v>0</v>
      </c>
      <c r="Q22" s="349">
        <f t="shared" si="35"/>
        <v>0</v>
      </c>
      <c r="R22" s="350">
        <f>ASSUMPTIONS!$B$8</f>
        <v>5.2999999999999999E-2</v>
      </c>
      <c r="S22" s="348">
        <f>ASSUMPTIONS!$B$10</f>
        <v>2.5000000000000001E-2</v>
      </c>
      <c r="T22" s="351">
        <f>ASSUMPTIONS!$B$6</f>
        <v>0.05</v>
      </c>
      <c r="U22" s="351">
        <f>ASSUMPTIONS!$B$11</f>
        <v>0.01</v>
      </c>
      <c r="V22" s="346">
        <f>ASSUMPTIONS!$B$12</f>
        <v>60</v>
      </c>
      <c r="W22" s="346"/>
      <c r="X22" s="351">
        <f>ASSUMPTIONS!$B$15</f>
        <v>0.9</v>
      </c>
      <c r="Y22" s="127">
        <f t="shared" si="36"/>
        <v>0</v>
      </c>
      <c r="Z22" s="352">
        <f t="shared" si="37"/>
        <v>0</v>
      </c>
      <c r="AA22" s="347"/>
      <c r="AB22" s="367">
        <f t="shared" si="21"/>
        <v>6241.5</v>
      </c>
      <c r="AC22" s="346">
        <f t="shared" si="38"/>
        <v>520.125</v>
      </c>
      <c r="AD22" s="347"/>
      <c r="AE22" s="345">
        <f>ASSUMPTIONS!$B$35</f>
        <v>0.8</v>
      </c>
      <c r="AF22" s="354">
        <f t="shared" si="11"/>
        <v>0.19999999999999996</v>
      </c>
      <c r="AG22" s="347"/>
      <c r="AH22" s="345">
        <f>ASSUMPTIONS!$B$38</f>
        <v>0.5</v>
      </c>
      <c r="AI22" s="345">
        <f>ASSUMPTIONS!$B$39</f>
        <v>0.15</v>
      </c>
      <c r="AJ22" s="345">
        <f>ASSUMPTIONS!$B$40</f>
        <v>0.03</v>
      </c>
      <c r="AK22" s="347"/>
      <c r="AL22" s="171">
        <f t="shared" si="4"/>
        <v>0</v>
      </c>
      <c r="AM22" s="171">
        <f t="shared" si="5"/>
        <v>0</v>
      </c>
      <c r="AN22" s="171">
        <f t="shared" si="6"/>
        <v>0</v>
      </c>
    </row>
    <row r="23" spans="1:40" s="298" customFormat="1" hidden="1" outlineLevel="1" x14ac:dyDescent="0.45">
      <c r="A23" s="14">
        <f t="shared" si="29"/>
        <v>16</v>
      </c>
      <c r="B23" s="406" t="s">
        <v>231</v>
      </c>
      <c r="C23" s="165">
        <v>0</v>
      </c>
      <c r="D23" s="344"/>
      <c r="E23" s="378">
        <f t="shared" si="7"/>
        <v>0</v>
      </c>
      <c r="F23" s="344">
        <f>J23*ASSUMPTIONS!$B$48</f>
        <v>0</v>
      </c>
      <c r="G23" s="165">
        <v>4</v>
      </c>
      <c r="H23" s="348">
        <f>ASSUMPTIONS!$B$5</f>
        <v>0</v>
      </c>
      <c r="I23" s="390">
        <f t="shared" si="32"/>
        <v>0</v>
      </c>
      <c r="J23" s="344"/>
      <c r="K23" s="165">
        <v>1</v>
      </c>
      <c r="L23" s="346">
        <v>7</v>
      </c>
      <c r="M23" s="349">
        <f t="shared" si="33"/>
        <v>0</v>
      </c>
      <c r="N23" s="349">
        <f>+M23*(1+ASSUMPTIONS!$B$7)</f>
        <v>0</v>
      </c>
      <c r="O23" s="345">
        <f>ASSUMPTIONS!$B$9</f>
        <v>0</v>
      </c>
      <c r="P23" s="349">
        <f t="shared" si="34"/>
        <v>0</v>
      </c>
      <c r="Q23" s="349">
        <f t="shared" si="35"/>
        <v>0</v>
      </c>
      <c r="R23" s="350">
        <f>ASSUMPTIONS!$B$8</f>
        <v>5.2999999999999999E-2</v>
      </c>
      <c r="S23" s="348">
        <f>ASSUMPTIONS!$B$10</f>
        <v>2.5000000000000001E-2</v>
      </c>
      <c r="T23" s="351">
        <f>ASSUMPTIONS!$B$6</f>
        <v>0.05</v>
      </c>
      <c r="U23" s="351">
        <f>ASSUMPTIONS!$B$11</f>
        <v>0.01</v>
      </c>
      <c r="V23" s="346">
        <f>ASSUMPTIONS!$B$12</f>
        <v>60</v>
      </c>
      <c r="W23" s="346"/>
      <c r="X23" s="351">
        <f>ASSUMPTIONS!$B$15</f>
        <v>0.9</v>
      </c>
      <c r="Y23" s="127">
        <f t="shared" si="36"/>
        <v>0</v>
      </c>
      <c r="Z23" s="352">
        <f t="shared" si="37"/>
        <v>0</v>
      </c>
      <c r="AA23" s="347"/>
      <c r="AB23" s="367">
        <f t="shared" si="21"/>
        <v>6241.5</v>
      </c>
      <c r="AC23" s="346">
        <f t="shared" si="38"/>
        <v>520.125</v>
      </c>
      <c r="AD23" s="347"/>
      <c r="AE23" s="345">
        <f>ASSUMPTIONS!$B$35</f>
        <v>0.8</v>
      </c>
      <c r="AF23" s="354">
        <f t="shared" si="11"/>
        <v>0.19999999999999996</v>
      </c>
      <c r="AG23" s="347"/>
      <c r="AH23" s="345">
        <f>ASSUMPTIONS!$B$38</f>
        <v>0.5</v>
      </c>
      <c r="AI23" s="345">
        <f>ASSUMPTIONS!$B$39</f>
        <v>0.15</v>
      </c>
      <c r="AJ23" s="345">
        <f>ASSUMPTIONS!$B$40</f>
        <v>0.03</v>
      </c>
      <c r="AK23" s="347"/>
      <c r="AL23" s="299">
        <f t="shared" si="4"/>
        <v>0</v>
      </c>
      <c r="AM23" s="299">
        <f t="shared" si="5"/>
        <v>0</v>
      </c>
      <c r="AN23" s="299">
        <f t="shared" si="6"/>
        <v>0</v>
      </c>
    </row>
    <row r="24" spans="1:40" hidden="1" outlineLevel="1" x14ac:dyDescent="0.45">
      <c r="A24" s="14">
        <f t="shared" si="29"/>
        <v>17</v>
      </c>
      <c r="B24" s="406" t="s">
        <v>231</v>
      </c>
      <c r="C24" s="165">
        <v>0</v>
      </c>
      <c r="D24" s="344"/>
      <c r="E24" s="378">
        <f t="shared" si="7"/>
        <v>0</v>
      </c>
      <c r="F24" s="344">
        <f>J24*ASSUMPTIONS!$B$48</f>
        <v>0</v>
      </c>
      <c r="G24" s="165">
        <v>5</v>
      </c>
      <c r="H24" s="348">
        <f>ASSUMPTIONS!$B$5</f>
        <v>0</v>
      </c>
      <c r="I24" s="390">
        <f t="shared" si="32"/>
        <v>0</v>
      </c>
      <c r="J24" s="344"/>
      <c r="K24" s="165">
        <v>1</v>
      </c>
      <c r="L24" s="346">
        <v>7</v>
      </c>
      <c r="M24" s="349">
        <f t="shared" si="33"/>
        <v>0</v>
      </c>
      <c r="N24" s="349">
        <f>+M24*(1+ASSUMPTIONS!$B$7)</f>
        <v>0</v>
      </c>
      <c r="O24" s="345">
        <f>ASSUMPTIONS!$B$9</f>
        <v>0</v>
      </c>
      <c r="P24" s="349">
        <f t="shared" si="34"/>
        <v>0</v>
      </c>
      <c r="Q24" s="349">
        <f t="shared" si="35"/>
        <v>0</v>
      </c>
      <c r="R24" s="350">
        <f>ASSUMPTIONS!$B$8</f>
        <v>5.2999999999999999E-2</v>
      </c>
      <c r="S24" s="348">
        <f>ASSUMPTIONS!$B$10</f>
        <v>2.5000000000000001E-2</v>
      </c>
      <c r="T24" s="351">
        <f>ASSUMPTIONS!$B$6</f>
        <v>0.05</v>
      </c>
      <c r="U24" s="351">
        <f>ASSUMPTIONS!$B$11</f>
        <v>0.01</v>
      </c>
      <c r="V24" s="346">
        <f>ASSUMPTIONS!$B$12</f>
        <v>60</v>
      </c>
      <c r="W24" s="346"/>
      <c r="X24" s="351">
        <f>ASSUMPTIONS!$B$15</f>
        <v>0.9</v>
      </c>
      <c r="Y24" s="127">
        <f t="shared" si="36"/>
        <v>0</v>
      </c>
      <c r="Z24" s="352">
        <f t="shared" si="37"/>
        <v>0</v>
      </c>
      <c r="AA24" s="347"/>
      <c r="AB24" s="367">
        <f t="shared" si="21"/>
        <v>6241.5</v>
      </c>
      <c r="AC24" s="346">
        <f t="shared" si="38"/>
        <v>520.125</v>
      </c>
      <c r="AD24" s="347"/>
      <c r="AE24" s="345">
        <f>ASSUMPTIONS!$B$35</f>
        <v>0.8</v>
      </c>
      <c r="AF24" s="354">
        <f t="shared" si="11"/>
        <v>0.19999999999999996</v>
      </c>
      <c r="AG24" s="347"/>
      <c r="AH24" s="345">
        <f>ASSUMPTIONS!$B$38</f>
        <v>0.5</v>
      </c>
      <c r="AI24" s="345">
        <f>ASSUMPTIONS!$B$39</f>
        <v>0.15</v>
      </c>
      <c r="AJ24" s="345">
        <f>ASSUMPTIONS!$B$40</f>
        <v>0.03</v>
      </c>
      <c r="AK24" s="347"/>
      <c r="AL24" s="171">
        <f t="shared" si="4"/>
        <v>0</v>
      </c>
      <c r="AM24" s="171">
        <f t="shared" si="5"/>
        <v>0</v>
      </c>
      <c r="AN24" s="171">
        <f t="shared" si="6"/>
        <v>0</v>
      </c>
    </row>
    <row r="25" spans="1:40" s="298" customFormat="1" hidden="1" outlineLevel="1" x14ac:dyDescent="0.45">
      <c r="A25" s="14">
        <f t="shared" si="29"/>
        <v>18</v>
      </c>
      <c r="B25" s="406" t="s">
        <v>231</v>
      </c>
      <c r="C25" s="165">
        <v>0</v>
      </c>
      <c r="D25" s="344"/>
      <c r="E25" s="378">
        <f t="shared" si="7"/>
        <v>0</v>
      </c>
      <c r="F25" s="344">
        <f>J25*ASSUMPTIONS!$B$48</f>
        <v>0</v>
      </c>
      <c r="G25" s="165">
        <v>6</v>
      </c>
      <c r="H25" s="348">
        <f>ASSUMPTIONS!$B$5</f>
        <v>0</v>
      </c>
      <c r="I25" s="390">
        <f t="shared" si="32"/>
        <v>0</v>
      </c>
      <c r="J25" s="344"/>
      <c r="K25" s="165">
        <v>1</v>
      </c>
      <c r="L25" s="346">
        <v>7</v>
      </c>
      <c r="M25" s="349">
        <f t="shared" si="33"/>
        <v>0</v>
      </c>
      <c r="N25" s="349">
        <f>+M25*(1+ASSUMPTIONS!$B$7)</f>
        <v>0</v>
      </c>
      <c r="O25" s="345">
        <f>ASSUMPTIONS!$B$9</f>
        <v>0</v>
      </c>
      <c r="P25" s="349">
        <f t="shared" si="34"/>
        <v>0</v>
      </c>
      <c r="Q25" s="349">
        <f t="shared" si="35"/>
        <v>0</v>
      </c>
      <c r="R25" s="350">
        <f>ASSUMPTIONS!$B$8</f>
        <v>5.2999999999999999E-2</v>
      </c>
      <c r="S25" s="348">
        <f>ASSUMPTIONS!$B$10</f>
        <v>2.5000000000000001E-2</v>
      </c>
      <c r="T25" s="351">
        <f>ASSUMPTIONS!$B$6</f>
        <v>0.05</v>
      </c>
      <c r="U25" s="351">
        <f>ASSUMPTIONS!$B$11</f>
        <v>0.01</v>
      </c>
      <c r="V25" s="346">
        <f>ASSUMPTIONS!$B$12</f>
        <v>60</v>
      </c>
      <c r="W25" s="346"/>
      <c r="X25" s="351">
        <f>ASSUMPTIONS!$B$15</f>
        <v>0.9</v>
      </c>
      <c r="Y25" s="127">
        <f t="shared" si="36"/>
        <v>0</v>
      </c>
      <c r="Z25" s="352">
        <f t="shared" si="37"/>
        <v>0</v>
      </c>
      <c r="AA25" s="347"/>
      <c r="AB25" s="367">
        <f t="shared" si="21"/>
        <v>6241.5</v>
      </c>
      <c r="AC25" s="346">
        <f t="shared" si="38"/>
        <v>520.125</v>
      </c>
      <c r="AD25" s="347"/>
      <c r="AE25" s="345">
        <f>ASSUMPTIONS!$B$35</f>
        <v>0.8</v>
      </c>
      <c r="AF25" s="354">
        <f t="shared" si="11"/>
        <v>0.19999999999999996</v>
      </c>
      <c r="AG25" s="347"/>
      <c r="AH25" s="345">
        <f>ASSUMPTIONS!$B$38</f>
        <v>0.5</v>
      </c>
      <c r="AI25" s="345">
        <f>ASSUMPTIONS!$B$39</f>
        <v>0.15</v>
      </c>
      <c r="AJ25" s="345">
        <f>ASSUMPTIONS!$B$40</f>
        <v>0.03</v>
      </c>
      <c r="AK25" s="347"/>
      <c r="AL25" s="299">
        <f t="shared" si="4"/>
        <v>0</v>
      </c>
      <c r="AM25" s="299">
        <f t="shared" si="5"/>
        <v>0</v>
      </c>
      <c r="AN25" s="299">
        <f t="shared" si="6"/>
        <v>0</v>
      </c>
    </row>
    <row r="26" spans="1:40" hidden="1" outlineLevel="1" x14ac:dyDescent="0.45">
      <c r="A26" s="14">
        <f t="shared" si="29"/>
        <v>19</v>
      </c>
      <c r="B26" s="406" t="s">
        <v>231</v>
      </c>
      <c r="C26" s="165">
        <v>0</v>
      </c>
      <c r="D26" s="344"/>
      <c r="E26" s="378">
        <f t="shared" si="7"/>
        <v>0</v>
      </c>
      <c r="F26" s="344">
        <f>J26*ASSUMPTIONS!$B$48</f>
        <v>0</v>
      </c>
      <c r="G26" s="165">
        <v>7</v>
      </c>
      <c r="H26" s="348">
        <f>ASSUMPTIONS!$B$5</f>
        <v>0</v>
      </c>
      <c r="I26" s="390">
        <f t="shared" si="32"/>
        <v>0</v>
      </c>
      <c r="J26" s="344"/>
      <c r="K26" s="165">
        <v>1</v>
      </c>
      <c r="L26" s="346">
        <v>7</v>
      </c>
      <c r="M26" s="349">
        <f t="shared" si="33"/>
        <v>0</v>
      </c>
      <c r="N26" s="349">
        <f>+M26*(1+ASSUMPTIONS!$B$7)</f>
        <v>0</v>
      </c>
      <c r="O26" s="345">
        <f>ASSUMPTIONS!$B$9</f>
        <v>0</v>
      </c>
      <c r="P26" s="349">
        <f t="shared" si="34"/>
        <v>0</v>
      </c>
      <c r="Q26" s="349">
        <f t="shared" si="35"/>
        <v>0</v>
      </c>
      <c r="R26" s="350">
        <f>ASSUMPTIONS!$B$8</f>
        <v>5.2999999999999999E-2</v>
      </c>
      <c r="S26" s="348">
        <f>ASSUMPTIONS!$B$10</f>
        <v>2.5000000000000001E-2</v>
      </c>
      <c r="T26" s="351">
        <f>ASSUMPTIONS!$B$6</f>
        <v>0.05</v>
      </c>
      <c r="U26" s="351">
        <f>ASSUMPTIONS!$B$11</f>
        <v>0.01</v>
      </c>
      <c r="V26" s="346">
        <f>ASSUMPTIONS!$B$12</f>
        <v>60</v>
      </c>
      <c r="W26" s="346"/>
      <c r="X26" s="351">
        <f>ASSUMPTIONS!$B$15</f>
        <v>0.9</v>
      </c>
      <c r="Y26" s="127">
        <f t="shared" si="36"/>
        <v>0</v>
      </c>
      <c r="Z26" s="352">
        <f t="shared" si="37"/>
        <v>0</v>
      </c>
      <c r="AA26" s="347"/>
      <c r="AB26" s="367">
        <f t="shared" si="21"/>
        <v>6241.5</v>
      </c>
      <c r="AC26" s="346">
        <f t="shared" si="38"/>
        <v>520.125</v>
      </c>
      <c r="AD26" s="347"/>
      <c r="AE26" s="345">
        <f>ASSUMPTIONS!$B$35</f>
        <v>0.8</v>
      </c>
      <c r="AF26" s="354">
        <f t="shared" si="11"/>
        <v>0.19999999999999996</v>
      </c>
      <c r="AG26" s="347"/>
      <c r="AH26" s="345">
        <f>ASSUMPTIONS!$B$38</f>
        <v>0.5</v>
      </c>
      <c r="AI26" s="345">
        <f>ASSUMPTIONS!$B$39</f>
        <v>0.15</v>
      </c>
      <c r="AJ26" s="345">
        <f>ASSUMPTIONS!$B$40</f>
        <v>0.03</v>
      </c>
      <c r="AK26" s="347"/>
      <c r="AL26" s="171">
        <f t="shared" si="4"/>
        <v>0</v>
      </c>
      <c r="AM26" s="171">
        <f t="shared" si="5"/>
        <v>0</v>
      </c>
      <c r="AN26" s="171">
        <f t="shared" si="6"/>
        <v>0</v>
      </c>
    </row>
    <row r="27" spans="1:40" s="298" customFormat="1" hidden="1" outlineLevel="1" x14ac:dyDescent="0.45">
      <c r="A27" s="14">
        <f t="shared" si="29"/>
        <v>20</v>
      </c>
      <c r="B27" s="406" t="s">
        <v>231</v>
      </c>
      <c r="C27" s="165">
        <v>0</v>
      </c>
      <c r="D27" s="344"/>
      <c r="E27" s="378">
        <f t="shared" si="7"/>
        <v>0</v>
      </c>
      <c r="F27" s="344">
        <f>J27*ASSUMPTIONS!$B$48</f>
        <v>0</v>
      </c>
      <c r="G27" s="165">
        <v>8</v>
      </c>
      <c r="H27" s="348">
        <f>ASSUMPTIONS!$B$5</f>
        <v>0</v>
      </c>
      <c r="I27" s="390">
        <f t="shared" si="32"/>
        <v>0</v>
      </c>
      <c r="J27" s="344"/>
      <c r="K27" s="165">
        <v>1</v>
      </c>
      <c r="L27" s="346">
        <v>7</v>
      </c>
      <c r="M27" s="349">
        <f t="shared" si="33"/>
        <v>0</v>
      </c>
      <c r="N27" s="349">
        <f>+M27*(1+ASSUMPTIONS!$B$7)</f>
        <v>0</v>
      </c>
      <c r="O27" s="345">
        <f>ASSUMPTIONS!$B$9</f>
        <v>0</v>
      </c>
      <c r="P27" s="349">
        <f t="shared" si="34"/>
        <v>0</v>
      </c>
      <c r="Q27" s="349">
        <f t="shared" si="35"/>
        <v>0</v>
      </c>
      <c r="R27" s="350">
        <f>ASSUMPTIONS!$B$8</f>
        <v>5.2999999999999999E-2</v>
      </c>
      <c r="S27" s="348">
        <f>ASSUMPTIONS!$B$10</f>
        <v>2.5000000000000001E-2</v>
      </c>
      <c r="T27" s="351">
        <f>ASSUMPTIONS!$B$6</f>
        <v>0.05</v>
      </c>
      <c r="U27" s="351">
        <f>ASSUMPTIONS!$B$11</f>
        <v>0.01</v>
      </c>
      <c r="V27" s="346">
        <f>ASSUMPTIONS!$B$12</f>
        <v>60</v>
      </c>
      <c r="W27" s="346"/>
      <c r="X27" s="351">
        <f>ASSUMPTIONS!$B$15</f>
        <v>0.9</v>
      </c>
      <c r="Y27" s="127">
        <f t="shared" si="36"/>
        <v>0</v>
      </c>
      <c r="Z27" s="352">
        <f t="shared" si="37"/>
        <v>0</v>
      </c>
      <c r="AA27" s="347"/>
      <c r="AB27" s="367">
        <f t="shared" si="21"/>
        <v>6241.5</v>
      </c>
      <c r="AC27" s="346">
        <f t="shared" si="38"/>
        <v>520.125</v>
      </c>
      <c r="AD27" s="347"/>
      <c r="AE27" s="345">
        <f>ASSUMPTIONS!$B$35</f>
        <v>0.8</v>
      </c>
      <c r="AF27" s="354">
        <f t="shared" si="11"/>
        <v>0.19999999999999996</v>
      </c>
      <c r="AG27" s="347"/>
      <c r="AH27" s="345">
        <f>ASSUMPTIONS!$B$38</f>
        <v>0.5</v>
      </c>
      <c r="AI27" s="345">
        <f>ASSUMPTIONS!$B$39</f>
        <v>0.15</v>
      </c>
      <c r="AJ27" s="345">
        <f>ASSUMPTIONS!$B$40</f>
        <v>0.03</v>
      </c>
      <c r="AK27" s="347"/>
      <c r="AL27" s="299">
        <f t="shared" si="4"/>
        <v>0</v>
      </c>
      <c r="AM27" s="299">
        <f t="shared" si="5"/>
        <v>0</v>
      </c>
      <c r="AN27" s="299">
        <f t="shared" si="6"/>
        <v>0</v>
      </c>
    </row>
    <row r="28" spans="1:40" s="298" customFormat="1" hidden="1" outlineLevel="1" x14ac:dyDescent="0.45">
      <c r="A28" s="14">
        <f t="shared" si="29"/>
        <v>21</v>
      </c>
      <c r="B28" s="406" t="s">
        <v>231</v>
      </c>
      <c r="C28" s="165">
        <v>0</v>
      </c>
      <c r="D28" s="344"/>
      <c r="E28" s="378">
        <f t="shared" si="7"/>
        <v>0</v>
      </c>
      <c r="F28" s="344">
        <f>J28*ASSUMPTIONS!$B$48</f>
        <v>0</v>
      </c>
      <c r="G28" s="165">
        <v>9</v>
      </c>
      <c r="H28" s="348">
        <f>ASSUMPTIONS!$B$5</f>
        <v>0</v>
      </c>
      <c r="I28" s="390">
        <f t="shared" si="32"/>
        <v>0</v>
      </c>
      <c r="J28" s="344"/>
      <c r="K28" s="165">
        <v>1</v>
      </c>
      <c r="L28" s="346">
        <v>7</v>
      </c>
      <c r="M28" s="349">
        <f t="shared" si="33"/>
        <v>0</v>
      </c>
      <c r="N28" s="349">
        <f>+M28*(1+ASSUMPTIONS!$B$7)</f>
        <v>0</v>
      </c>
      <c r="O28" s="345">
        <f>ASSUMPTIONS!$B$9</f>
        <v>0</v>
      </c>
      <c r="P28" s="349">
        <f t="shared" si="34"/>
        <v>0</v>
      </c>
      <c r="Q28" s="349">
        <f t="shared" si="35"/>
        <v>0</v>
      </c>
      <c r="R28" s="350">
        <f>ASSUMPTIONS!$B$8</f>
        <v>5.2999999999999999E-2</v>
      </c>
      <c r="S28" s="348">
        <f>ASSUMPTIONS!$B$10</f>
        <v>2.5000000000000001E-2</v>
      </c>
      <c r="T28" s="351">
        <f>ASSUMPTIONS!$B$6</f>
        <v>0.05</v>
      </c>
      <c r="U28" s="351">
        <f>ASSUMPTIONS!$B$11</f>
        <v>0.01</v>
      </c>
      <c r="V28" s="346">
        <f>ASSUMPTIONS!$B$12</f>
        <v>60</v>
      </c>
      <c r="W28" s="346"/>
      <c r="X28" s="351">
        <f>ASSUMPTIONS!$B$15</f>
        <v>0.9</v>
      </c>
      <c r="Y28" s="127">
        <f t="shared" si="36"/>
        <v>0</v>
      </c>
      <c r="Z28" s="352">
        <f t="shared" si="37"/>
        <v>0</v>
      </c>
      <c r="AA28" s="347"/>
      <c r="AB28" s="367">
        <f t="shared" si="21"/>
        <v>6241.5</v>
      </c>
      <c r="AC28" s="346">
        <f t="shared" si="38"/>
        <v>520.125</v>
      </c>
      <c r="AD28" s="347"/>
      <c r="AE28" s="345">
        <f>ASSUMPTIONS!$B$35</f>
        <v>0.8</v>
      </c>
      <c r="AF28" s="354">
        <f t="shared" si="11"/>
        <v>0.19999999999999996</v>
      </c>
      <c r="AG28" s="347"/>
      <c r="AH28" s="345">
        <f>ASSUMPTIONS!$B$38</f>
        <v>0.5</v>
      </c>
      <c r="AI28" s="345">
        <f>ASSUMPTIONS!$B$39</f>
        <v>0.15</v>
      </c>
      <c r="AJ28" s="345">
        <f>ASSUMPTIONS!$B$40</f>
        <v>0.03</v>
      </c>
      <c r="AK28" s="347"/>
      <c r="AL28" s="299">
        <f t="shared" si="4"/>
        <v>0</v>
      </c>
      <c r="AM28" s="299">
        <f t="shared" si="5"/>
        <v>0</v>
      </c>
      <c r="AN28" s="299">
        <f t="shared" si="6"/>
        <v>0</v>
      </c>
    </row>
    <row r="29" spans="1:40" hidden="1" outlineLevel="1" x14ac:dyDescent="0.45">
      <c r="A29" s="14">
        <f t="shared" si="29"/>
        <v>22</v>
      </c>
      <c r="B29" s="406" t="s">
        <v>231</v>
      </c>
      <c r="C29" s="165">
        <v>0</v>
      </c>
      <c r="D29" s="344"/>
      <c r="E29" s="378">
        <f t="shared" si="7"/>
        <v>0</v>
      </c>
      <c r="F29" s="344">
        <f>J29*ASSUMPTIONS!$B$48</f>
        <v>0</v>
      </c>
      <c r="G29" s="165">
        <v>10</v>
      </c>
      <c r="H29" s="348">
        <f>ASSUMPTIONS!$B$5</f>
        <v>0</v>
      </c>
      <c r="I29" s="390">
        <f t="shared" si="32"/>
        <v>0</v>
      </c>
      <c r="J29" s="344"/>
      <c r="K29" s="165">
        <v>1</v>
      </c>
      <c r="L29" s="346">
        <v>7</v>
      </c>
      <c r="M29" s="349">
        <f t="shared" si="33"/>
        <v>0</v>
      </c>
      <c r="N29" s="349">
        <f>+M29*(1+ASSUMPTIONS!$B$7)</f>
        <v>0</v>
      </c>
      <c r="O29" s="345">
        <f>ASSUMPTIONS!$B$9</f>
        <v>0</v>
      </c>
      <c r="P29" s="349">
        <f t="shared" si="34"/>
        <v>0</v>
      </c>
      <c r="Q29" s="349">
        <f t="shared" si="35"/>
        <v>0</v>
      </c>
      <c r="R29" s="350">
        <f>ASSUMPTIONS!$B$8</f>
        <v>5.2999999999999999E-2</v>
      </c>
      <c r="S29" s="348">
        <f>ASSUMPTIONS!$B$10</f>
        <v>2.5000000000000001E-2</v>
      </c>
      <c r="T29" s="351">
        <f>ASSUMPTIONS!$B$6</f>
        <v>0.05</v>
      </c>
      <c r="U29" s="351">
        <f>ASSUMPTIONS!$B$11</f>
        <v>0.01</v>
      </c>
      <c r="V29" s="346">
        <f>ASSUMPTIONS!$B$12</f>
        <v>60</v>
      </c>
      <c r="W29" s="346"/>
      <c r="X29" s="351">
        <f>ASSUMPTIONS!$B$15</f>
        <v>0.9</v>
      </c>
      <c r="Y29" s="127">
        <f t="shared" si="36"/>
        <v>0</v>
      </c>
      <c r="Z29" s="352">
        <f t="shared" si="37"/>
        <v>0</v>
      </c>
      <c r="AA29" s="347"/>
      <c r="AB29" s="367">
        <f t="shared" si="21"/>
        <v>6241.5</v>
      </c>
      <c r="AC29" s="346">
        <f t="shared" si="38"/>
        <v>520.125</v>
      </c>
      <c r="AD29" s="347"/>
      <c r="AE29" s="345">
        <f>ASSUMPTIONS!$B$35</f>
        <v>0.8</v>
      </c>
      <c r="AF29" s="354"/>
      <c r="AG29" s="347"/>
      <c r="AH29" s="345">
        <f>ASSUMPTIONS!$B$38</f>
        <v>0.5</v>
      </c>
      <c r="AI29" s="345">
        <f>ASSUMPTIONS!$B$39</f>
        <v>0.15</v>
      </c>
      <c r="AJ29" s="345">
        <f>ASSUMPTIONS!$B$40</f>
        <v>0.03</v>
      </c>
      <c r="AK29" s="347"/>
      <c r="AL29" s="171">
        <f t="shared" si="4"/>
        <v>0</v>
      </c>
      <c r="AM29" s="171">
        <f t="shared" si="5"/>
        <v>0</v>
      </c>
      <c r="AN29" s="171">
        <f t="shared" si="6"/>
        <v>0</v>
      </c>
    </row>
    <row r="30" spans="1:40" outlineLevel="1" x14ac:dyDescent="0.45">
      <c r="A30" s="14">
        <f t="shared" si="29"/>
        <v>13</v>
      </c>
      <c r="B30" s="406" t="s">
        <v>224</v>
      </c>
      <c r="C30" s="553">
        <v>1</v>
      </c>
      <c r="D30" s="344"/>
      <c r="E30" s="554">
        <f t="shared" si="7"/>
        <v>1</v>
      </c>
      <c r="F30" s="344">
        <f>J30*ASSUMPTIONS!$B$48</f>
        <v>18074.55</v>
      </c>
      <c r="G30" s="165">
        <v>11</v>
      </c>
      <c r="H30" s="348">
        <f>ASSUMPTIONS!$B$5</f>
        <v>0</v>
      </c>
      <c r="I30" s="390">
        <f t="shared" si="32"/>
        <v>18074.55</v>
      </c>
      <c r="J30" s="303">
        <f>F75</f>
        <v>361491</v>
      </c>
      <c r="K30" s="165">
        <v>1</v>
      </c>
      <c r="L30" s="346">
        <v>21</v>
      </c>
      <c r="M30" s="349">
        <f t="shared" si="33"/>
        <v>379565.55</v>
      </c>
      <c r="N30" s="349">
        <f>+M30*(1+ASSUMPTIONS!$B$7)</f>
        <v>379565.55</v>
      </c>
      <c r="O30" s="345">
        <f>ASSUMPTIONS!$B$9</f>
        <v>0</v>
      </c>
      <c r="P30" s="349">
        <f t="shared" si="34"/>
        <v>0</v>
      </c>
      <c r="Q30" s="349">
        <f t="shared" si="35"/>
        <v>361491</v>
      </c>
      <c r="R30" s="350">
        <f>ASSUMPTIONS!$B$8</f>
        <v>5.2999999999999999E-2</v>
      </c>
      <c r="S30" s="348">
        <f>ASSUMPTIONS!$B$10</f>
        <v>2.5000000000000001E-2</v>
      </c>
      <c r="T30" s="351">
        <f>ASSUMPTIONS!$B$6</f>
        <v>0.05</v>
      </c>
      <c r="U30" s="351">
        <f>ASSUMPTIONS!$B$11</f>
        <v>0.01</v>
      </c>
      <c r="V30" s="346">
        <f>ASSUMPTIONS!$B$12</f>
        <v>60</v>
      </c>
      <c r="W30" s="396">
        <v>20000</v>
      </c>
      <c r="X30" s="351">
        <f>ASSUMPTIONS!$B$15</f>
        <v>0.9</v>
      </c>
      <c r="Y30" s="127">
        <f t="shared" si="36"/>
        <v>18000</v>
      </c>
      <c r="Z30" s="352">
        <f t="shared" si="37"/>
        <v>300</v>
      </c>
      <c r="AB30" s="367">
        <f t="shared" si="21"/>
        <v>6241.5</v>
      </c>
      <c r="AC30" s="346">
        <f t="shared" si="38"/>
        <v>520.125</v>
      </c>
      <c r="AE30" s="555">
        <v>1</v>
      </c>
      <c r="AF30" s="555">
        <v>0</v>
      </c>
      <c r="AH30" s="410">
        <v>0</v>
      </c>
      <c r="AI30" s="410">
        <v>0</v>
      </c>
      <c r="AJ30" s="410">
        <v>0</v>
      </c>
    </row>
    <row r="31" spans="1:40" ht="14.65" thickBot="1" x14ac:dyDescent="0.5">
      <c r="Q31" s="403">
        <f>1/P33/Q33</f>
        <v>1</v>
      </c>
    </row>
    <row r="32" spans="1:40" ht="57.4" thickBot="1" x14ac:dyDescent="0.5">
      <c r="A32" s="626" t="s">
        <v>80</v>
      </c>
      <c r="B32" s="627"/>
      <c r="C32" s="374"/>
      <c r="D32" s="628" t="s">
        <v>49</v>
      </c>
      <c r="E32" s="629"/>
      <c r="F32" s="629"/>
      <c r="G32" s="629"/>
      <c r="H32" s="629"/>
      <c r="I32" s="629"/>
      <c r="J32" s="629"/>
      <c r="K32" s="629"/>
      <c r="L32" s="629"/>
      <c r="M32" s="630"/>
      <c r="N32" s="31"/>
      <c r="O32" s="32" t="s">
        <v>53</v>
      </c>
      <c r="P32" s="32" t="s">
        <v>84</v>
      </c>
      <c r="Q32" s="402" t="s">
        <v>46</v>
      </c>
      <c r="R32" s="121" t="s">
        <v>54</v>
      </c>
      <c r="S32" s="305" t="s">
        <v>96</v>
      </c>
      <c r="T32" s="31" t="s">
        <v>57</v>
      </c>
      <c r="U32" s="32" t="s">
        <v>58</v>
      </c>
      <c r="V32" s="126" t="s">
        <v>56</v>
      </c>
      <c r="W32" s="305" t="s">
        <v>97</v>
      </c>
      <c r="X32" s="341"/>
      <c r="Y32" s="8" t="s">
        <v>98</v>
      </c>
      <c r="Z32" s="370" t="s">
        <v>99</v>
      </c>
    </row>
    <row r="33" spans="1:38" ht="28.9" thickBot="1" x14ac:dyDescent="0.5">
      <c r="A33" s="134" t="s">
        <v>0</v>
      </c>
      <c r="B33" s="135" t="s">
        <v>1</v>
      </c>
      <c r="C33" s="135"/>
      <c r="D33" s="135" t="s">
        <v>50</v>
      </c>
      <c r="E33" s="135"/>
      <c r="F33" s="135" t="s">
        <v>25</v>
      </c>
      <c r="G33" s="135"/>
      <c r="H33" s="136" t="s">
        <v>51</v>
      </c>
      <c r="I33" s="389"/>
      <c r="J33" s="137"/>
      <c r="K33" s="391"/>
      <c r="L33" s="397"/>
      <c r="M33" s="138"/>
      <c r="N33" s="139" t="s">
        <v>55</v>
      </c>
      <c r="O33" s="404">
        <v>0.85</v>
      </c>
      <c r="P33" s="405">
        <v>1</v>
      </c>
      <c r="Q33" s="415">
        <v>1</v>
      </c>
      <c r="R33" s="140"/>
      <c r="S33" s="306" t="s">
        <v>60</v>
      </c>
      <c r="T33" s="141" t="s">
        <v>59</v>
      </c>
      <c r="U33" s="142">
        <v>1.05</v>
      </c>
      <c r="V33" s="143">
        <f>+ASSUMPTIONS!$B$14</f>
        <v>1.4</v>
      </c>
      <c r="W33" s="306" t="s">
        <v>60</v>
      </c>
      <c r="X33" s="341"/>
      <c r="Y33" s="371" t="str">
        <f>+S33</f>
        <v>$.hour</v>
      </c>
      <c r="Z33" s="372" t="str">
        <f>+W33</f>
        <v>$.hour</v>
      </c>
    </row>
    <row r="34" spans="1:38" x14ac:dyDescent="0.45">
      <c r="A34" s="384">
        <v>1</v>
      </c>
      <c r="B34" s="406" t="str">
        <f>B6</f>
        <v>CAT 350 - 50t Excav</v>
      </c>
      <c r="C34" s="122"/>
      <c r="D34" s="63">
        <f>+'CAT350'!F42</f>
        <v>7410.3863757592317</v>
      </c>
      <c r="E34" s="63"/>
      <c r="F34" s="63">
        <f>+'CAT350'!G42</f>
        <v>18.559349593495938</v>
      </c>
      <c r="G34" s="63"/>
      <c r="H34" s="114">
        <f>+'CAT350'!G43</f>
        <v>43.260637512693378</v>
      </c>
      <c r="I34" s="385"/>
      <c r="J34" s="115"/>
      <c r="K34" s="392"/>
      <c r="L34" s="398"/>
      <c r="M34" s="116"/>
      <c r="N34" s="330">
        <f>+'CAT350'!D14</f>
        <v>300</v>
      </c>
      <c r="O34" s="123">
        <f>+((F34*N34)/O$33+D34)/N34</f>
        <v>46.535816852722071</v>
      </c>
      <c r="P34" s="123">
        <f>+O34/P$33</f>
        <v>46.535816852722071</v>
      </c>
      <c r="Q34" s="124">
        <f>+P34/Q$33</f>
        <v>46.535816852722071</v>
      </c>
      <c r="R34" s="125">
        <f>+ASSUMPTIONS!$B$55</f>
        <v>4</v>
      </c>
      <c r="S34" s="333">
        <f>+Q34</f>
        <v>46.535816852722071</v>
      </c>
      <c r="T34" s="175">
        <v>40</v>
      </c>
      <c r="U34" s="172">
        <f>T34*$U$33</f>
        <v>42</v>
      </c>
      <c r="V34" s="173">
        <f>+U34*V$33</f>
        <v>58.8</v>
      </c>
      <c r="W34" s="333">
        <f>+S34+V34</f>
        <v>105.33581685272208</v>
      </c>
      <c r="X34" s="341"/>
      <c r="Y34" s="369">
        <f>+S34+R34</f>
        <v>50.535816852722071</v>
      </c>
      <c r="Z34" s="369">
        <f>+W34+R34</f>
        <v>109.33581685272208</v>
      </c>
      <c r="AB34" s="119"/>
      <c r="AC34" s="119"/>
      <c r="AE34" s="119"/>
      <c r="AH34" s="119"/>
      <c r="AL34" s="146">
        <v>8900</v>
      </c>
    </row>
    <row r="35" spans="1:38" x14ac:dyDescent="0.45">
      <c r="A35" s="384">
        <v>2</v>
      </c>
      <c r="B35" s="406" t="str">
        <f>B7</f>
        <v>EXC 90t</v>
      </c>
      <c r="C35" s="122"/>
      <c r="D35" s="63">
        <f>+'EXC90'!F42</f>
        <v>18419.606765554363</v>
      </c>
      <c r="E35" s="63"/>
      <c r="F35" s="63">
        <f>+'EXC90'!G42</f>
        <v>51.345029239766085</v>
      </c>
      <c r="G35" s="63"/>
      <c r="H35" s="114">
        <f>+'EXC90'!G43</f>
        <v>112.74371845828064</v>
      </c>
      <c r="I35" s="385"/>
      <c r="J35" s="115"/>
      <c r="K35" s="392"/>
      <c r="L35" s="398"/>
      <c r="M35" s="116"/>
      <c r="N35" s="330">
        <f>+'EXC90'!D14</f>
        <v>300</v>
      </c>
      <c r="O35" s="123">
        <f t="shared" ref="O35:O54" si="39">+((F35*N35)/O$33+D35)/N35</f>
        <v>121.80460597118052</v>
      </c>
      <c r="P35" s="123">
        <f t="shared" ref="P35:Q56" si="40">+O35/P$33</f>
        <v>121.80460597118052</v>
      </c>
      <c r="Q35" s="124">
        <f t="shared" si="40"/>
        <v>121.80460597118052</v>
      </c>
      <c r="R35" s="125">
        <f>+ASSUMPTIONS!$B$55</f>
        <v>4</v>
      </c>
      <c r="S35" s="333">
        <f t="shared" ref="S35:S57" si="41">+Q35</f>
        <v>121.80460597118052</v>
      </c>
      <c r="T35" s="581">
        <v>100</v>
      </c>
      <c r="U35" s="172">
        <f t="shared" ref="U35:U57" si="42">T35*$U$33</f>
        <v>105</v>
      </c>
      <c r="V35" s="173">
        <f>+U35*V$33</f>
        <v>147</v>
      </c>
      <c r="W35" s="333">
        <f>+S35+V35</f>
        <v>268.80460597118054</v>
      </c>
      <c r="X35" s="341"/>
      <c r="Y35" s="123">
        <f t="shared" ref="Y35:Y57" si="43">+S35+R35</f>
        <v>125.80460597118052</v>
      </c>
      <c r="Z35" s="123">
        <f t="shared" ref="Z35:Z57" si="44">+W35+R35</f>
        <v>272.80460597118054</v>
      </c>
      <c r="AL35" s="146">
        <v>8900</v>
      </c>
    </row>
    <row r="36" spans="1:38" x14ac:dyDescent="0.45">
      <c r="A36" s="384"/>
      <c r="B36" s="406" t="str">
        <f>B8</f>
        <v>EXC 374</v>
      </c>
      <c r="C36" s="122"/>
      <c r="D36" s="594">
        <f>'EXC374'!F42</f>
        <v>12928.814086776436</v>
      </c>
      <c r="E36" s="594"/>
      <c r="F36" s="594">
        <f>'EXC374'!G42</f>
        <v>36.039332748538015</v>
      </c>
      <c r="G36" s="594"/>
      <c r="H36" s="595">
        <f>'EXC374'!G43</f>
        <v>79.135379704459467</v>
      </c>
      <c r="I36" s="596"/>
      <c r="J36" s="597"/>
      <c r="K36" s="598"/>
      <c r="L36" s="599"/>
      <c r="M36" s="600"/>
      <c r="N36" s="601">
        <f>'EXC374'!D14</f>
        <v>300</v>
      </c>
      <c r="O36" s="123">
        <f t="shared" ref="O36" si="45">+((F36*N36)/O$33+D36)/N36</f>
        <v>85.495261954201482</v>
      </c>
      <c r="P36" s="123">
        <f t="shared" ref="P36" si="46">+O36/P$33</f>
        <v>85.495261954201482</v>
      </c>
      <c r="Q36" s="124">
        <f t="shared" ref="Q36" si="47">+P36/Q$33</f>
        <v>85.495261954201482</v>
      </c>
      <c r="R36" s="125">
        <f>+ASSUMPTIONS!$B$55</f>
        <v>4</v>
      </c>
      <c r="S36" s="333">
        <f t="shared" ref="S36" si="48">+Q36</f>
        <v>85.495261954201482</v>
      </c>
      <c r="T36" s="606">
        <v>50</v>
      </c>
      <c r="U36" s="172">
        <f t="shared" ref="U36" si="49">T36*$U$33</f>
        <v>52.5</v>
      </c>
      <c r="V36" s="173">
        <f>+U36*V$33</f>
        <v>73.5</v>
      </c>
      <c r="W36" s="333">
        <f>+S36+V36</f>
        <v>158.99526195420148</v>
      </c>
      <c r="X36" s="341"/>
      <c r="Y36" s="123">
        <f t="shared" ref="Y36" si="50">+S36+R36</f>
        <v>89.495261954201482</v>
      </c>
      <c r="Z36" s="123">
        <f t="shared" ref="Z36" si="51">+W36+R36</f>
        <v>162.99526195420148</v>
      </c>
      <c r="AL36" s="146"/>
    </row>
    <row r="37" spans="1:38" x14ac:dyDescent="0.45">
      <c r="A37" s="384">
        <v>3</v>
      </c>
      <c r="B37" s="406" t="str">
        <f>B9</f>
        <v>Ore Truck 50t</v>
      </c>
      <c r="C37" s="122"/>
      <c r="D37" s="63">
        <f>+'Ore Truck'!F42</f>
        <v>2236.1309324442354</v>
      </c>
      <c r="E37" s="63"/>
      <c r="F37" s="63">
        <f>+'Ore Truck'!G42</f>
        <v>6.5725795971410008</v>
      </c>
      <c r="G37" s="63"/>
      <c r="H37" s="114">
        <f>+'Ore Truck'!G43</f>
        <v>14.854546013601132</v>
      </c>
      <c r="I37" s="385"/>
      <c r="J37" s="115"/>
      <c r="K37" s="392"/>
      <c r="L37" s="398"/>
      <c r="M37" s="116"/>
      <c r="N37" s="330">
        <f>+'Ore Truck'!D14</f>
        <v>270</v>
      </c>
      <c r="O37" s="123">
        <f t="shared" si="39"/>
        <v>16.014413001331896</v>
      </c>
      <c r="P37" s="123">
        <f t="shared" si="40"/>
        <v>16.014413001331896</v>
      </c>
      <c r="Q37" s="124">
        <f t="shared" si="40"/>
        <v>16.014413001331896</v>
      </c>
      <c r="R37" s="125">
        <f>+ASSUMPTIONS!$B$55</f>
        <v>4</v>
      </c>
      <c r="S37" s="333">
        <f t="shared" si="41"/>
        <v>16.014413001331896</v>
      </c>
      <c r="T37" s="175">
        <v>25</v>
      </c>
      <c r="U37" s="172">
        <f t="shared" si="42"/>
        <v>26.25</v>
      </c>
      <c r="V37" s="173">
        <f t="shared" ref="V37:V57" si="52">+U37*V$33</f>
        <v>36.75</v>
      </c>
      <c r="W37" s="333">
        <f t="shared" ref="W37:W57" si="53">+S37+V37</f>
        <v>52.764413001331896</v>
      </c>
      <c r="X37" s="341"/>
      <c r="Y37" s="123">
        <f t="shared" si="43"/>
        <v>20.014413001331896</v>
      </c>
      <c r="Z37" s="123">
        <f t="shared" si="44"/>
        <v>56.764413001331896</v>
      </c>
      <c r="AL37" s="146">
        <v>8900</v>
      </c>
    </row>
    <row r="38" spans="1:38" x14ac:dyDescent="0.45">
      <c r="A38" s="384">
        <v>4</v>
      </c>
      <c r="B38" s="406" t="str">
        <f>B10</f>
        <v>DT 80t</v>
      </c>
      <c r="C38" s="122"/>
      <c r="D38" s="63">
        <f>+DT80t!F42</f>
        <v>4502.5705426910672</v>
      </c>
      <c r="E38" s="63"/>
      <c r="F38" s="63">
        <f>+DT80t!G42</f>
        <v>18.826510721247562</v>
      </c>
      <c r="G38" s="63"/>
      <c r="H38" s="114">
        <f>+DT80t!G43</f>
        <v>43.840791513975709</v>
      </c>
      <c r="I38" s="385"/>
      <c r="J38" s="115"/>
      <c r="K38" s="392"/>
      <c r="L38" s="398"/>
      <c r="M38" s="116"/>
      <c r="N38" s="330">
        <f>+DT80t!D14</f>
        <v>180</v>
      </c>
      <c r="O38" s="123">
        <f t="shared" si="39"/>
        <v>47.163116935372344</v>
      </c>
      <c r="P38" s="123">
        <f t="shared" si="40"/>
        <v>47.163116935372344</v>
      </c>
      <c r="Q38" s="124">
        <f t="shared" si="40"/>
        <v>47.163116935372344</v>
      </c>
      <c r="R38" s="125">
        <f>+ASSUMPTIONS!$B$55</f>
        <v>4</v>
      </c>
      <c r="S38" s="333">
        <f t="shared" si="41"/>
        <v>47.163116935372344</v>
      </c>
      <c r="T38" s="175">
        <v>53</v>
      </c>
      <c r="U38" s="172">
        <f t="shared" si="42"/>
        <v>55.650000000000006</v>
      </c>
      <c r="V38" s="173">
        <f t="shared" si="52"/>
        <v>77.91</v>
      </c>
      <c r="W38" s="333">
        <f>+S38+V38</f>
        <v>125.07311693537234</v>
      </c>
      <c r="X38" s="341"/>
      <c r="Y38" s="123">
        <f t="shared" si="43"/>
        <v>51.163116935372344</v>
      </c>
      <c r="Z38" s="123">
        <f t="shared" si="44"/>
        <v>129.07311693537235</v>
      </c>
      <c r="AL38" s="146">
        <v>8900</v>
      </c>
    </row>
    <row r="39" spans="1:38" x14ac:dyDescent="0.45">
      <c r="A39" s="384"/>
      <c r="B39" s="406" t="str">
        <f t="shared" ref="B39:B40" si="54">B11</f>
        <v>Tonly 6X4</v>
      </c>
      <c r="C39" s="122"/>
      <c r="D39" s="594">
        <f>Tonly6X4!F42</f>
        <v>5832.875475758884</v>
      </c>
      <c r="E39" s="594"/>
      <c r="F39" s="594">
        <f>Tonly6X4!G42</f>
        <v>24.388888888888886</v>
      </c>
      <c r="G39" s="594"/>
      <c r="H39" s="595">
        <f>Tonly6X4!G43</f>
        <v>56.793752643104902</v>
      </c>
      <c r="I39" s="596"/>
      <c r="J39" s="597"/>
      <c r="K39" s="598"/>
      <c r="L39" s="599"/>
      <c r="M39" s="600"/>
      <c r="N39" s="601">
        <f>Tonly6X4!D14</f>
        <v>180</v>
      </c>
      <c r="O39" s="123">
        <f t="shared" ref="O39" si="55">+((F39*N39)/O$33+D39)/N39</f>
        <v>61.097674211732354</v>
      </c>
      <c r="P39" s="123">
        <f t="shared" ref="P39" si="56">+O39/P$33</f>
        <v>61.097674211732354</v>
      </c>
      <c r="Q39" s="124">
        <f t="shared" ref="Q39" si="57">+P39/Q$33</f>
        <v>61.097674211732354</v>
      </c>
      <c r="R39" s="125">
        <f>+ASSUMPTIONS!$B$55</f>
        <v>4</v>
      </c>
      <c r="S39" s="333">
        <f t="shared" ref="S39" si="58">+Q39</f>
        <v>61.097674211732354</v>
      </c>
      <c r="T39" s="603">
        <v>25</v>
      </c>
      <c r="U39" s="604">
        <f t="shared" si="42"/>
        <v>26.25</v>
      </c>
      <c r="V39" s="605">
        <f t="shared" si="52"/>
        <v>36.75</v>
      </c>
      <c r="W39" s="602">
        <f>+S39+V39</f>
        <v>97.847674211732354</v>
      </c>
      <c r="X39" s="341"/>
      <c r="Y39" s="123">
        <f t="shared" ref="Y39" si="59">+S39+R39</f>
        <v>65.097674211732354</v>
      </c>
      <c r="Z39" s="123">
        <f t="shared" ref="Z39" si="60">+W39+R39</f>
        <v>101.84767421173235</v>
      </c>
      <c r="AL39" s="146"/>
    </row>
    <row r="40" spans="1:38" x14ac:dyDescent="0.45">
      <c r="A40" s="384">
        <v>5</v>
      </c>
      <c r="B40" s="406" t="str">
        <f t="shared" si="54"/>
        <v>CAT D10 Dozer</v>
      </c>
      <c r="C40" s="321"/>
      <c r="D40" s="300">
        <f>+'CAT D10'!F42</f>
        <v>9609.4227133564018</v>
      </c>
      <c r="E40" s="300"/>
      <c r="F40" s="300">
        <f>+'CAT D10'!G42</f>
        <v>23.6187134502924</v>
      </c>
      <c r="G40" s="300"/>
      <c r="H40" s="301">
        <f>+'CAT D10'!G43</f>
        <v>55.650122494813743</v>
      </c>
      <c r="I40" s="385"/>
      <c r="J40" s="115"/>
      <c r="K40" s="392"/>
      <c r="L40" s="399"/>
      <c r="M40" s="302"/>
      <c r="N40" s="330">
        <f>+'CAT D10'!D14</f>
        <v>300</v>
      </c>
      <c r="O40" s="123">
        <f>+((F40*N40)/O$33+D40)/N40</f>
        <v>59.818130750747699</v>
      </c>
      <c r="P40" s="123">
        <f t="shared" si="40"/>
        <v>59.818130750747699</v>
      </c>
      <c r="Q40" s="124">
        <f t="shared" si="40"/>
        <v>59.818130750747699</v>
      </c>
      <c r="R40" s="125">
        <f>+ASSUMPTIONS!$B$55</f>
        <v>4</v>
      </c>
      <c r="S40" s="333">
        <f t="shared" si="41"/>
        <v>59.818130750747699</v>
      </c>
      <c r="T40" s="322">
        <v>100</v>
      </c>
      <c r="U40" s="172">
        <f t="shared" si="42"/>
        <v>105</v>
      </c>
      <c r="V40" s="173">
        <f t="shared" si="52"/>
        <v>147</v>
      </c>
      <c r="W40" s="333">
        <f>+S40+V40</f>
        <v>206.81813075074768</v>
      </c>
      <c r="X40" s="341"/>
      <c r="Y40" s="123">
        <f t="shared" si="43"/>
        <v>63.818130750747699</v>
      </c>
      <c r="Z40" s="123">
        <f t="shared" si="44"/>
        <v>210.81813075074768</v>
      </c>
      <c r="AL40" s="303">
        <v>3890</v>
      </c>
    </row>
    <row r="41" spans="1:38" x14ac:dyDescent="0.45">
      <c r="A41" s="384">
        <v>6</v>
      </c>
      <c r="B41" s="406" t="str">
        <f t="shared" ref="B41:B58" si="61">B13</f>
        <v>CAT 14H Grader</v>
      </c>
      <c r="C41" s="321"/>
      <c r="D41" s="300">
        <f>+'CAT 14H'!F42</f>
        <v>5191.4338851426937</v>
      </c>
      <c r="E41" s="300"/>
      <c r="F41" s="300">
        <f>+'CAT 14H'!G42</f>
        <v>13.024104977891884</v>
      </c>
      <c r="G41" s="300"/>
      <c r="H41" s="301">
        <f>+'CAT 14H'!G43</f>
        <v>30.328884595034197</v>
      </c>
      <c r="I41" s="385"/>
      <c r="J41" s="115"/>
      <c r="K41" s="392"/>
      <c r="L41" s="399"/>
      <c r="M41" s="302"/>
      <c r="N41" s="331">
        <f>+'CAT 14H'!D14</f>
        <v>300</v>
      </c>
      <c r="O41" s="123">
        <f>+((F41*N41)/O$33+D41)/N41</f>
        <v>32.627256061720999</v>
      </c>
      <c r="P41" s="123">
        <f t="shared" si="40"/>
        <v>32.627256061720999</v>
      </c>
      <c r="Q41" s="124">
        <f t="shared" si="40"/>
        <v>32.627256061720999</v>
      </c>
      <c r="R41" s="125">
        <f>+ASSUMPTIONS!$B$55</f>
        <v>4</v>
      </c>
      <c r="S41" s="333">
        <f>+Q41</f>
        <v>32.627256061720999</v>
      </c>
      <c r="T41" s="322">
        <v>32</v>
      </c>
      <c r="U41" s="172">
        <f t="shared" si="42"/>
        <v>33.6</v>
      </c>
      <c r="V41" s="173">
        <f t="shared" si="52"/>
        <v>47.04</v>
      </c>
      <c r="W41" s="333">
        <f t="shared" si="53"/>
        <v>79.667256061720991</v>
      </c>
      <c r="X41" s="341"/>
      <c r="Y41" s="123">
        <f t="shared" si="43"/>
        <v>36.627256061720999</v>
      </c>
      <c r="Z41" s="123">
        <f t="shared" si="44"/>
        <v>83.667256061720991</v>
      </c>
      <c r="AL41" s="303">
        <v>3890</v>
      </c>
    </row>
    <row r="42" spans="1:38" x14ac:dyDescent="0.45">
      <c r="A42" s="384">
        <v>7</v>
      </c>
      <c r="B42" s="406" t="str">
        <f t="shared" si="61"/>
        <v>CAT 14t Compactor</v>
      </c>
      <c r="C42" s="321"/>
      <c r="D42" s="300">
        <f>+'CAT 14t comp'!F42</f>
        <v>3194.7285447031973</v>
      </c>
      <c r="E42" s="300"/>
      <c r="F42" s="300">
        <f>+'CAT 14t comp'!G42</f>
        <v>10.686445110065135</v>
      </c>
      <c r="G42" s="300"/>
      <c r="H42" s="323">
        <f>+'CAT 14t comp'!G43</f>
        <v>24.88523864207934</v>
      </c>
      <c r="I42" s="386"/>
      <c r="J42" s="115"/>
      <c r="K42" s="392"/>
      <c r="L42" s="399"/>
      <c r="M42" s="302"/>
      <c r="N42" s="331">
        <f>+'CAT 14t comp'!D14</f>
        <v>225</v>
      </c>
      <c r="O42" s="123">
        <f t="shared" si="39"/>
        <v>26.771081896796723</v>
      </c>
      <c r="P42" s="123">
        <f t="shared" si="40"/>
        <v>26.771081896796723</v>
      </c>
      <c r="Q42" s="124">
        <f t="shared" si="40"/>
        <v>26.771081896796723</v>
      </c>
      <c r="R42" s="125">
        <f>+ASSUMPTIONS!$B$55</f>
        <v>4</v>
      </c>
      <c r="S42" s="333">
        <f t="shared" si="41"/>
        <v>26.771081896796723</v>
      </c>
      <c r="T42" s="322">
        <v>13</v>
      </c>
      <c r="U42" s="172">
        <f t="shared" si="42"/>
        <v>13.65</v>
      </c>
      <c r="V42" s="173">
        <f t="shared" si="52"/>
        <v>19.11</v>
      </c>
      <c r="W42" s="333">
        <f>+S42+V42</f>
        <v>45.881081896796722</v>
      </c>
      <c r="X42" s="341"/>
      <c r="Y42" s="123">
        <f t="shared" si="43"/>
        <v>30.771081896796723</v>
      </c>
      <c r="Z42" s="123">
        <f t="shared" si="44"/>
        <v>49.881081896796722</v>
      </c>
      <c r="AL42" s="303">
        <v>500</v>
      </c>
    </row>
    <row r="43" spans="1:38" x14ac:dyDescent="0.45">
      <c r="A43" s="384">
        <v>8</v>
      </c>
      <c r="B43" s="406" t="str">
        <f t="shared" si="61"/>
        <v>CAT 950 WL</v>
      </c>
      <c r="C43" s="321"/>
      <c r="D43" s="300">
        <f>+CAT950WL!F42</f>
        <v>3683.9213531108735</v>
      </c>
      <c r="E43" s="300"/>
      <c r="F43" s="300">
        <f>+CAT950WL!G42</f>
        <v>9.2421052631578942</v>
      </c>
      <c r="G43" s="300"/>
      <c r="H43" s="323">
        <f>+CAT950WL!G43</f>
        <v>21.521843106860807</v>
      </c>
      <c r="I43" s="386"/>
      <c r="J43" s="115"/>
      <c r="K43" s="392"/>
      <c r="L43" s="399"/>
      <c r="M43" s="302"/>
      <c r="N43" s="331">
        <f>+CAT950WL!D14</f>
        <v>300</v>
      </c>
      <c r="O43" s="123">
        <f t="shared" si="39"/>
        <v>23.152802859182788</v>
      </c>
      <c r="P43" s="123">
        <f t="shared" si="40"/>
        <v>23.152802859182788</v>
      </c>
      <c r="Q43" s="124">
        <f t="shared" si="40"/>
        <v>23.152802859182788</v>
      </c>
      <c r="R43" s="125">
        <f>+ASSUMPTIONS!$B$55</f>
        <v>4</v>
      </c>
      <c r="S43" s="333">
        <f t="shared" si="41"/>
        <v>23.152802859182788</v>
      </c>
      <c r="T43" s="322">
        <v>43</v>
      </c>
      <c r="U43" s="172">
        <f t="shared" si="42"/>
        <v>45.15</v>
      </c>
      <c r="V43" s="173">
        <f t="shared" si="52"/>
        <v>63.209999999999994</v>
      </c>
      <c r="W43" s="333">
        <f t="shared" si="53"/>
        <v>86.362802859182779</v>
      </c>
      <c r="X43" s="341"/>
      <c r="Y43" s="123">
        <f t="shared" si="43"/>
        <v>27.152802859182788</v>
      </c>
      <c r="Z43" s="123">
        <f t="shared" si="44"/>
        <v>90.362802859182779</v>
      </c>
      <c r="AL43" s="303">
        <v>500</v>
      </c>
    </row>
    <row r="44" spans="1:38" x14ac:dyDescent="0.45">
      <c r="A44" s="384">
        <v>9</v>
      </c>
      <c r="B44" s="406" t="str">
        <f t="shared" si="61"/>
        <v xml:space="preserve">MERC Watercart </v>
      </c>
      <c r="C44" s="329"/>
      <c r="D44" s="63">
        <f>+'MERC WC'!F42</f>
        <v>2230.8190416060288</v>
      </c>
      <c r="E44" s="63"/>
      <c r="F44" s="63">
        <f>+'MERC WC'!G42</f>
        <v>6.2184535412605593</v>
      </c>
      <c r="G44" s="63"/>
      <c r="H44" s="324">
        <f>+'MERC WC'!G43</f>
        <v>14.480746287949552</v>
      </c>
      <c r="I44" s="386"/>
      <c r="J44" s="115"/>
      <c r="K44" s="392"/>
      <c r="L44" s="398"/>
      <c r="M44" s="116"/>
      <c r="N44" s="330">
        <f>+'MERC WC'!D14</f>
        <v>270</v>
      </c>
      <c r="O44" s="123">
        <f t="shared" si="39"/>
        <v>15.578120442289654</v>
      </c>
      <c r="P44" s="123">
        <f t="shared" si="40"/>
        <v>15.578120442289654</v>
      </c>
      <c r="Q44" s="124">
        <f t="shared" si="40"/>
        <v>15.578120442289654</v>
      </c>
      <c r="R44" s="125">
        <f>+ASSUMPTIONS!$B$55</f>
        <v>4</v>
      </c>
      <c r="S44" s="333">
        <f t="shared" si="41"/>
        <v>15.578120442289654</v>
      </c>
      <c r="T44" s="175">
        <v>25</v>
      </c>
      <c r="U44" s="172">
        <f t="shared" si="42"/>
        <v>26.25</v>
      </c>
      <c r="V44" s="173">
        <f t="shared" si="52"/>
        <v>36.75</v>
      </c>
      <c r="W44" s="333">
        <f>+S44+V44</f>
        <v>52.328120442289652</v>
      </c>
      <c r="X44" s="341"/>
      <c r="Y44" s="123">
        <f t="shared" si="43"/>
        <v>19.578120442289652</v>
      </c>
      <c r="Z44" s="123">
        <f t="shared" si="44"/>
        <v>56.328120442289652</v>
      </c>
      <c r="AL44" s="146">
        <v>1000</v>
      </c>
    </row>
    <row r="45" spans="1:38" x14ac:dyDescent="0.45">
      <c r="A45" s="384">
        <v>10</v>
      </c>
      <c r="B45" s="406" t="str">
        <f t="shared" si="61"/>
        <v>ATLAS T35 Drill</v>
      </c>
      <c r="C45" s="375"/>
      <c r="D45" s="325">
        <f>+'ATLAS T35'!F42</f>
        <v>3727.1942528417726</v>
      </c>
      <c r="E45" s="325"/>
      <c r="F45" s="325">
        <f>+'ATLAS T35'!G42</f>
        <v>47.111315789473686</v>
      </c>
      <c r="G45" s="325"/>
      <c r="H45" s="326">
        <f>+'ATLAS T35'!G43</f>
        <v>69.474481306524325</v>
      </c>
      <c r="I45" s="387"/>
      <c r="J45" s="168"/>
      <c r="K45" s="393"/>
      <c r="L45" s="400"/>
      <c r="M45" s="302"/>
      <c r="N45" s="332">
        <f>+'ATLAS T35'!D14</f>
        <v>208.33333333333334</v>
      </c>
      <c r="O45" s="123">
        <f t="shared" si="39"/>
        <v>73.315609813021311</v>
      </c>
      <c r="P45" s="123">
        <f t="shared" si="40"/>
        <v>73.315609813021311</v>
      </c>
      <c r="Q45" s="124">
        <f t="shared" si="40"/>
        <v>73.315609813021311</v>
      </c>
      <c r="R45" s="125">
        <f>+ASSUMPTIONS!$B$55</f>
        <v>4</v>
      </c>
      <c r="S45" s="333">
        <f t="shared" si="41"/>
        <v>73.315609813021311</v>
      </c>
      <c r="T45" s="322">
        <v>33</v>
      </c>
      <c r="U45" s="172">
        <f t="shared" si="42"/>
        <v>34.65</v>
      </c>
      <c r="V45" s="173">
        <f t="shared" si="52"/>
        <v>48.51</v>
      </c>
      <c r="W45" s="333">
        <f>+S45+V45</f>
        <v>121.82560981302132</v>
      </c>
      <c r="X45" s="341"/>
      <c r="Y45" s="123">
        <f t="shared" si="43"/>
        <v>77.315609813021311</v>
      </c>
      <c r="Z45" s="123">
        <f t="shared" si="44"/>
        <v>125.82560981302132</v>
      </c>
      <c r="AL45" s="303">
        <f>+AL33</f>
        <v>0</v>
      </c>
    </row>
    <row r="46" spans="1:38" x14ac:dyDescent="0.45">
      <c r="A46" s="384">
        <v>11</v>
      </c>
      <c r="B46" s="406" t="str">
        <f t="shared" si="61"/>
        <v>ATLAS T45 Drill</v>
      </c>
      <c r="C46" s="321"/>
      <c r="D46" s="300">
        <f>+'ATLAS T45'!F42</f>
        <v>5325.4346689539534</v>
      </c>
      <c r="E46" s="300"/>
      <c r="F46" s="300">
        <f>+'ATLAS T45'!G42</f>
        <v>67.312894736842111</v>
      </c>
      <c r="G46" s="300"/>
      <c r="H46" s="301">
        <f>+'ATLAS T45'!G43</f>
        <v>99.26550275056583</v>
      </c>
      <c r="I46" s="385"/>
      <c r="J46" s="115"/>
      <c r="K46" s="392"/>
      <c r="L46" s="399"/>
      <c r="M46" s="302"/>
      <c r="N46" s="331">
        <f>+'ATLAS T45'!D14</f>
        <v>208.33333333333334</v>
      </c>
      <c r="O46" s="123">
        <f t="shared" si="39"/>
        <v>104.75372727785204</v>
      </c>
      <c r="P46" s="123">
        <f t="shared" si="40"/>
        <v>104.75372727785204</v>
      </c>
      <c r="Q46" s="124">
        <f t="shared" si="40"/>
        <v>104.75372727785204</v>
      </c>
      <c r="R46" s="125">
        <f>+ASSUMPTIONS!$B$55</f>
        <v>4</v>
      </c>
      <c r="S46" s="333">
        <f t="shared" si="41"/>
        <v>104.75372727785204</v>
      </c>
      <c r="T46" s="322">
        <v>45</v>
      </c>
      <c r="U46" s="172">
        <f t="shared" si="42"/>
        <v>47.25</v>
      </c>
      <c r="V46" s="173">
        <f t="shared" si="52"/>
        <v>66.149999999999991</v>
      </c>
      <c r="W46" s="333">
        <f t="shared" si="53"/>
        <v>170.90372727785203</v>
      </c>
      <c r="X46" s="341"/>
      <c r="Y46" s="123">
        <f t="shared" si="43"/>
        <v>108.75372727785204</v>
      </c>
      <c r="Z46" s="123">
        <f t="shared" si="44"/>
        <v>174.90372727785203</v>
      </c>
      <c r="AL46" s="303">
        <v>3890</v>
      </c>
    </row>
    <row r="47" spans="1:38" x14ac:dyDescent="0.45">
      <c r="A47" s="384">
        <v>12</v>
      </c>
      <c r="B47" s="406" t="str">
        <f t="shared" si="61"/>
        <v>MERC SERVICE TRUCK</v>
      </c>
      <c r="C47" s="321"/>
      <c r="D47" s="300">
        <f>+'MERC STRUCK'!F42</f>
        <v>2783.4072445726601</v>
      </c>
      <c r="E47" s="300"/>
      <c r="F47" s="300">
        <f>+'MERC STRUCK'!G42</f>
        <v>7.7588044184535416</v>
      </c>
      <c r="G47" s="300"/>
      <c r="H47" s="301">
        <f>+'MERC STRUCK'!G43</f>
        <v>18.067720139093023</v>
      </c>
      <c r="I47" s="385"/>
      <c r="J47" s="115"/>
      <c r="K47" s="392"/>
      <c r="L47" s="399"/>
      <c r="M47" s="302"/>
      <c r="N47" s="331">
        <f>+'MERC STRUCK'!D14</f>
        <v>270</v>
      </c>
      <c r="O47" s="123">
        <f t="shared" si="39"/>
        <v>19.436920918820121</v>
      </c>
      <c r="P47" s="123">
        <f t="shared" si="40"/>
        <v>19.436920918820121</v>
      </c>
      <c r="Q47" s="124">
        <f t="shared" si="40"/>
        <v>19.436920918820121</v>
      </c>
      <c r="R47" s="125">
        <f>+ASSUMPTIONS!$B$55</f>
        <v>4</v>
      </c>
      <c r="S47" s="333">
        <f t="shared" si="41"/>
        <v>19.436920918820121</v>
      </c>
      <c r="T47" s="322">
        <v>18</v>
      </c>
      <c r="U47" s="172">
        <f t="shared" si="42"/>
        <v>18.900000000000002</v>
      </c>
      <c r="V47" s="173">
        <f t="shared" si="52"/>
        <v>26.46</v>
      </c>
      <c r="W47" s="333">
        <f t="shared" si="53"/>
        <v>45.896920918820122</v>
      </c>
      <c r="X47" s="341"/>
      <c r="Y47" s="123">
        <f t="shared" si="43"/>
        <v>23.436920918820121</v>
      </c>
      <c r="Z47" s="123">
        <f t="shared" si="44"/>
        <v>49.896920918820122</v>
      </c>
      <c r="AL47" s="303">
        <v>3890</v>
      </c>
    </row>
    <row r="48" spans="1:38" hidden="1" x14ac:dyDescent="0.45">
      <c r="A48" s="384">
        <v>13</v>
      </c>
      <c r="B48" s="406" t="str">
        <f t="shared" si="61"/>
        <v>MERC SERVICE TRUCK</v>
      </c>
      <c r="C48" s="122"/>
      <c r="D48" s="63"/>
      <c r="E48" s="63"/>
      <c r="F48" s="63"/>
      <c r="G48" s="63"/>
      <c r="H48" s="324"/>
      <c r="I48" s="386"/>
      <c r="J48" s="115"/>
      <c r="K48" s="392"/>
      <c r="L48" s="398"/>
      <c r="M48" s="116"/>
      <c r="N48" s="330"/>
      <c r="O48" s="123" t="e">
        <f t="shared" si="39"/>
        <v>#DIV/0!</v>
      </c>
      <c r="P48" s="123" t="e">
        <f t="shared" si="40"/>
        <v>#DIV/0!</v>
      </c>
      <c r="Q48" s="124" t="e">
        <f t="shared" si="40"/>
        <v>#DIV/0!</v>
      </c>
      <c r="R48" s="125">
        <f>+ASSUMPTIONS!$B$55</f>
        <v>4</v>
      </c>
      <c r="S48" s="333" t="e">
        <f t="shared" si="41"/>
        <v>#DIV/0!</v>
      </c>
      <c r="T48" s="175"/>
      <c r="U48" s="172">
        <f t="shared" si="42"/>
        <v>0</v>
      </c>
      <c r="V48" s="173">
        <f t="shared" si="52"/>
        <v>0</v>
      </c>
      <c r="W48" s="333" t="e">
        <f t="shared" si="53"/>
        <v>#DIV/0!</v>
      </c>
      <c r="X48" s="341"/>
      <c r="Y48" s="123" t="e">
        <f t="shared" si="43"/>
        <v>#DIV/0!</v>
      </c>
      <c r="Z48" s="123" t="e">
        <f t="shared" si="44"/>
        <v>#DIV/0!</v>
      </c>
      <c r="AL48" s="146">
        <v>3890</v>
      </c>
    </row>
    <row r="49" spans="1:38" hidden="1" x14ac:dyDescent="0.45">
      <c r="A49" s="384">
        <v>14</v>
      </c>
      <c r="B49" s="406" t="str">
        <f t="shared" si="61"/>
        <v>MERC SERVICE TRUCK</v>
      </c>
      <c r="C49" s="321"/>
      <c r="D49" s="300"/>
      <c r="E49" s="300"/>
      <c r="F49" s="300"/>
      <c r="G49" s="300"/>
      <c r="H49" s="323"/>
      <c r="I49" s="386"/>
      <c r="J49" s="115"/>
      <c r="K49" s="392"/>
      <c r="L49" s="399"/>
      <c r="M49" s="302"/>
      <c r="N49" s="331"/>
      <c r="O49" s="123" t="e">
        <f t="shared" si="39"/>
        <v>#DIV/0!</v>
      </c>
      <c r="P49" s="123" t="e">
        <f t="shared" si="40"/>
        <v>#DIV/0!</v>
      </c>
      <c r="Q49" s="124" t="e">
        <f t="shared" si="40"/>
        <v>#DIV/0!</v>
      </c>
      <c r="R49" s="125">
        <f>+ASSUMPTIONS!$B$55</f>
        <v>4</v>
      </c>
      <c r="S49" s="333" t="e">
        <f t="shared" si="41"/>
        <v>#DIV/0!</v>
      </c>
      <c r="T49" s="322"/>
      <c r="U49" s="172">
        <f t="shared" si="42"/>
        <v>0</v>
      </c>
      <c r="V49" s="173">
        <f t="shared" si="52"/>
        <v>0</v>
      </c>
      <c r="W49" s="333" t="e">
        <f>+S49+V49</f>
        <v>#DIV/0!</v>
      </c>
      <c r="X49" s="341"/>
      <c r="Y49" s="123" t="e">
        <f t="shared" si="43"/>
        <v>#DIV/0!</v>
      </c>
      <c r="Z49" s="123" t="e">
        <f t="shared" si="44"/>
        <v>#DIV/0!</v>
      </c>
      <c r="AL49" s="303">
        <v>3890</v>
      </c>
    </row>
    <row r="50" spans="1:38" hidden="1" x14ac:dyDescent="0.45">
      <c r="A50" s="384">
        <v>15</v>
      </c>
      <c r="B50" s="406" t="str">
        <f t="shared" si="61"/>
        <v>MERC SERVICE TRUCK</v>
      </c>
      <c r="C50" s="321"/>
      <c r="D50" s="300"/>
      <c r="E50" s="300"/>
      <c r="F50" s="300"/>
      <c r="G50" s="300"/>
      <c r="H50" s="323"/>
      <c r="I50" s="386"/>
      <c r="J50" s="115"/>
      <c r="K50" s="392"/>
      <c r="L50" s="399"/>
      <c r="M50" s="302"/>
      <c r="N50" s="331"/>
      <c r="O50" s="123" t="e">
        <f t="shared" si="39"/>
        <v>#DIV/0!</v>
      </c>
      <c r="P50" s="123" t="e">
        <f t="shared" si="40"/>
        <v>#DIV/0!</v>
      </c>
      <c r="Q50" s="124" t="e">
        <f t="shared" si="40"/>
        <v>#DIV/0!</v>
      </c>
      <c r="R50" s="125">
        <f>+ASSUMPTIONS!$B$55</f>
        <v>4</v>
      </c>
      <c r="S50" s="333" t="e">
        <f t="shared" si="41"/>
        <v>#DIV/0!</v>
      </c>
      <c r="T50" s="322"/>
      <c r="U50" s="172">
        <f t="shared" si="42"/>
        <v>0</v>
      </c>
      <c r="V50" s="173">
        <f t="shared" si="52"/>
        <v>0</v>
      </c>
      <c r="W50" s="333" t="e">
        <f t="shared" si="53"/>
        <v>#DIV/0!</v>
      </c>
      <c r="X50" s="341"/>
      <c r="Y50" s="123" t="e">
        <f t="shared" si="43"/>
        <v>#DIV/0!</v>
      </c>
      <c r="Z50" s="123" t="e">
        <f t="shared" si="44"/>
        <v>#DIV/0!</v>
      </c>
      <c r="AL50" s="303">
        <v>3890</v>
      </c>
    </row>
    <row r="51" spans="1:38" hidden="1" x14ac:dyDescent="0.45">
      <c r="A51" s="384">
        <v>16</v>
      </c>
      <c r="B51" s="406" t="str">
        <f t="shared" si="61"/>
        <v>MERC SERVICE TRUCK</v>
      </c>
      <c r="C51" s="321"/>
      <c r="D51" s="300"/>
      <c r="E51" s="300"/>
      <c r="F51" s="300"/>
      <c r="G51" s="300"/>
      <c r="H51" s="301"/>
      <c r="I51" s="385"/>
      <c r="J51" s="115"/>
      <c r="K51" s="392"/>
      <c r="L51" s="399"/>
      <c r="M51" s="302"/>
      <c r="N51" s="331"/>
      <c r="O51" s="123" t="e">
        <f t="shared" si="39"/>
        <v>#DIV/0!</v>
      </c>
      <c r="P51" s="123" t="e">
        <f t="shared" si="40"/>
        <v>#DIV/0!</v>
      </c>
      <c r="Q51" s="124" t="e">
        <f t="shared" si="40"/>
        <v>#DIV/0!</v>
      </c>
      <c r="R51" s="125">
        <f>+ASSUMPTIONS!$B$55</f>
        <v>4</v>
      </c>
      <c r="S51" s="333" t="e">
        <f t="shared" si="41"/>
        <v>#DIV/0!</v>
      </c>
      <c r="T51" s="322"/>
      <c r="U51" s="172">
        <f t="shared" si="42"/>
        <v>0</v>
      </c>
      <c r="V51" s="173">
        <f t="shared" si="52"/>
        <v>0</v>
      </c>
      <c r="W51" s="333" t="e">
        <f t="shared" si="53"/>
        <v>#DIV/0!</v>
      </c>
      <c r="X51" s="341"/>
      <c r="Y51" s="123" t="e">
        <f t="shared" si="43"/>
        <v>#DIV/0!</v>
      </c>
      <c r="Z51" s="123" t="e">
        <f t="shared" si="44"/>
        <v>#DIV/0!</v>
      </c>
      <c r="AL51" s="303">
        <v>20000</v>
      </c>
    </row>
    <row r="52" spans="1:38" hidden="1" x14ac:dyDescent="0.45">
      <c r="A52" s="384">
        <v>17</v>
      </c>
      <c r="B52" s="406" t="str">
        <f t="shared" si="61"/>
        <v>MERC SERVICE TRUCK</v>
      </c>
      <c r="C52" s="321"/>
      <c r="D52" s="300"/>
      <c r="E52" s="300"/>
      <c r="F52" s="300"/>
      <c r="G52" s="300"/>
      <c r="H52" s="323"/>
      <c r="I52" s="386"/>
      <c r="J52" s="115"/>
      <c r="K52" s="392"/>
      <c r="L52" s="399"/>
      <c r="M52" s="302"/>
      <c r="N52" s="331"/>
      <c r="O52" s="123" t="e">
        <f t="shared" si="39"/>
        <v>#DIV/0!</v>
      </c>
      <c r="P52" s="123" t="e">
        <f t="shared" si="40"/>
        <v>#DIV/0!</v>
      </c>
      <c r="Q52" s="124" t="e">
        <f t="shared" si="40"/>
        <v>#DIV/0!</v>
      </c>
      <c r="R52" s="125">
        <f>+ASSUMPTIONS!$B$55</f>
        <v>4</v>
      </c>
      <c r="S52" s="333" t="e">
        <f t="shared" si="41"/>
        <v>#DIV/0!</v>
      </c>
      <c r="T52" s="322"/>
      <c r="U52" s="172">
        <f t="shared" si="42"/>
        <v>0</v>
      </c>
      <c r="V52" s="173">
        <f t="shared" si="52"/>
        <v>0</v>
      </c>
      <c r="W52" s="333" t="e">
        <f>+S52+V52</f>
        <v>#DIV/0!</v>
      </c>
      <c r="X52" s="341"/>
      <c r="Y52" s="123" t="e">
        <f t="shared" si="43"/>
        <v>#DIV/0!</v>
      </c>
      <c r="Z52" s="123" t="e">
        <f t="shared" si="44"/>
        <v>#DIV/0!</v>
      </c>
      <c r="AL52" s="303">
        <v>10000</v>
      </c>
    </row>
    <row r="53" spans="1:38" hidden="1" x14ac:dyDescent="0.45">
      <c r="A53" s="384">
        <v>18</v>
      </c>
      <c r="B53" s="406" t="str">
        <f t="shared" si="61"/>
        <v>MERC SERVICE TRUCK</v>
      </c>
      <c r="C53" s="321"/>
      <c r="D53" s="300"/>
      <c r="E53" s="300"/>
      <c r="F53" s="300"/>
      <c r="G53" s="300"/>
      <c r="H53" s="323"/>
      <c r="I53" s="386"/>
      <c r="J53" s="115"/>
      <c r="K53" s="392"/>
      <c r="L53" s="399"/>
      <c r="M53" s="302"/>
      <c r="N53" s="331"/>
      <c r="O53" s="123" t="e">
        <f t="shared" si="39"/>
        <v>#DIV/0!</v>
      </c>
      <c r="P53" s="123" t="e">
        <f t="shared" si="40"/>
        <v>#DIV/0!</v>
      </c>
      <c r="Q53" s="124" t="e">
        <f t="shared" si="40"/>
        <v>#DIV/0!</v>
      </c>
      <c r="R53" s="125">
        <f>+ASSUMPTIONS!$B$55</f>
        <v>4</v>
      </c>
      <c r="S53" s="333" t="e">
        <f t="shared" si="41"/>
        <v>#DIV/0!</v>
      </c>
      <c r="T53" s="322"/>
      <c r="U53" s="172">
        <f t="shared" si="42"/>
        <v>0</v>
      </c>
      <c r="V53" s="173">
        <f t="shared" si="52"/>
        <v>0</v>
      </c>
      <c r="W53" s="333" t="e">
        <f>+S53+V53</f>
        <v>#DIV/0!</v>
      </c>
      <c r="X53" s="341"/>
      <c r="Y53" s="123" t="e">
        <f t="shared" si="43"/>
        <v>#DIV/0!</v>
      </c>
      <c r="Z53" s="123" t="e">
        <f t="shared" si="44"/>
        <v>#DIV/0!</v>
      </c>
      <c r="AL53" s="303">
        <v>10000</v>
      </c>
    </row>
    <row r="54" spans="1:38" hidden="1" x14ac:dyDescent="0.45">
      <c r="A54" s="384">
        <v>19</v>
      </c>
      <c r="B54" s="406" t="str">
        <f t="shared" si="61"/>
        <v>MERC SERVICE TRUCK</v>
      </c>
      <c r="C54" s="321"/>
      <c r="D54" s="300"/>
      <c r="E54" s="300"/>
      <c r="F54" s="300"/>
      <c r="G54" s="300"/>
      <c r="H54" s="323"/>
      <c r="I54" s="386"/>
      <c r="J54" s="115"/>
      <c r="K54" s="392"/>
      <c r="L54" s="399"/>
      <c r="M54" s="302"/>
      <c r="N54" s="331"/>
      <c r="O54" s="123" t="e">
        <f t="shared" si="39"/>
        <v>#DIV/0!</v>
      </c>
      <c r="P54" s="123" t="e">
        <f t="shared" si="40"/>
        <v>#DIV/0!</v>
      </c>
      <c r="Q54" s="124" t="e">
        <f t="shared" si="40"/>
        <v>#DIV/0!</v>
      </c>
      <c r="R54" s="125">
        <f>+ASSUMPTIONS!$B$55</f>
        <v>4</v>
      </c>
      <c r="S54" s="333" t="e">
        <f t="shared" si="41"/>
        <v>#DIV/0!</v>
      </c>
      <c r="T54" s="322"/>
      <c r="U54" s="172">
        <f t="shared" si="42"/>
        <v>0</v>
      </c>
      <c r="V54" s="173">
        <f t="shared" si="52"/>
        <v>0</v>
      </c>
      <c r="W54" s="333" t="e">
        <f t="shared" si="53"/>
        <v>#DIV/0!</v>
      </c>
      <c r="X54" s="341"/>
      <c r="Y54" s="123" t="e">
        <f t="shared" si="43"/>
        <v>#DIV/0!</v>
      </c>
      <c r="Z54" s="123" t="e">
        <f t="shared" si="44"/>
        <v>#DIV/0!</v>
      </c>
      <c r="AL54" s="303">
        <v>10000</v>
      </c>
    </row>
    <row r="55" spans="1:38" hidden="1" x14ac:dyDescent="0.45">
      <c r="A55" s="384">
        <v>20</v>
      </c>
      <c r="B55" s="406" t="str">
        <f t="shared" si="61"/>
        <v>MERC SERVICE TRUCK</v>
      </c>
      <c r="C55" s="375"/>
      <c r="D55" s="325"/>
      <c r="E55" s="325"/>
      <c r="F55" s="325"/>
      <c r="G55" s="325"/>
      <c r="H55" s="326"/>
      <c r="I55" s="387"/>
      <c r="J55" s="168"/>
      <c r="K55" s="393"/>
      <c r="L55" s="400"/>
      <c r="M55" s="328"/>
      <c r="N55" s="332"/>
      <c r="O55" s="123" t="e">
        <f>+((F55*N55)/O$33+D55)/N55</f>
        <v>#DIV/0!</v>
      </c>
      <c r="P55" s="123" t="e">
        <f t="shared" si="40"/>
        <v>#DIV/0!</v>
      </c>
      <c r="Q55" s="124" t="e">
        <f t="shared" si="40"/>
        <v>#DIV/0!</v>
      </c>
      <c r="R55" s="125">
        <f>+ASSUMPTIONS!$B$55</f>
        <v>4</v>
      </c>
      <c r="S55" s="333" t="e">
        <f t="shared" si="41"/>
        <v>#DIV/0!</v>
      </c>
      <c r="T55" s="322"/>
      <c r="U55" s="172">
        <f t="shared" si="42"/>
        <v>0</v>
      </c>
      <c r="V55" s="173">
        <f t="shared" si="52"/>
        <v>0</v>
      </c>
      <c r="W55" s="333" t="e">
        <f>+S55+V55</f>
        <v>#DIV/0!</v>
      </c>
      <c r="X55" s="341"/>
      <c r="Y55" s="123" t="e">
        <f t="shared" si="43"/>
        <v>#DIV/0!</v>
      </c>
      <c r="Z55" s="123" t="e">
        <f t="shared" si="44"/>
        <v>#DIV/0!</v>
      </c>
      <c r="AL55" s="303">
        <v>70000</v>
      </c>
    </row>
    <row r="56" spans="1:38" hidden="1" x14ac:dyDescent="0.45">
      <c r="A56" s="384">
        <v>21</v>
      </c>
      <c r="B56" s="406" t="str">
        <f t="shared" si="61"/>
        <v>MERC SERVICE TRUCK</v>
      </c>
      <c r="C56" s="375"/>
      <c r="D56" s="325"/>
      <c r="E56" s="325"/>
      <c r="F56" s="325"/>
      <c r="G56" s="325"/>
      <c r="H56" s="327"/>
      <c r="I56" s="388"/>
      <c r="J56" s="168"/>
      <c r="K56" s="393"/>
      <c r="L56" s="400"/>
      <c r="M56" s="328"/>
      <c r="N56" s="332"/>
      <c r="O56" s="123" t="e">
        <f>+((F56*N56)/O$33+D56)/N56</f>
        <v>#DIV/0!</v>
      </c>
      <c r="P56" s="123" t="e">
        <f t="shared" si="40"/>
        <v>#DIV/0!</v>
      </c>
      <c r="Q56" s="124" t="e">
        <f t="shared" si="40"/>
        <v>#DIV/0!</v>
      </c>
      <c r="R56" s="125">
        <f>+ASSUMPTIONS!$B$55</f>
        <v>4</v>
      </c>
      <c r="S56" s="333" t="e">
        <f t="shared" si="41"/>
        <v>#DIV/0!</v>
      </c>
      <c r="T56" s="322"/>
      <c r="U56" s="172">
        <f t="shared" si="42"/>
        <v>0</v>
      </c>
      <c r="V56" s="173">
        <f t="shared" si="52"/>
        <v>0</v>
      </c>
      <c r="W56" s="333" t="e">
        <f>+S56+V56</f>
        <v>#DIV/0!</v>
      </c>
      <c r="X56" s="341"/>
      <c r="Y56" s="123" t="e">
        <f t="shared" si="43"/>
        <v>#DIV/0!</v>
      </c>
      <c r="Z56" s="123" t="e">
        <f t="shared" si="44"/>
        <v>#DIV/0!</v>
      </c>
      <c r="AL56" s="303">
        <v>70000</v>
      </c>
    </row>
    <row r="57" spans="1:38" hidden="1" x14ac:dyDescent="0.45">
      <c r="A57" s="384">
        <v>22</v>
      </c>
      <c r="B57" s="406" t="str">
        <f t="shared" si="61"/>
        <v>MERC SERVICE TRUCK</v>
      </c>
      <c r="C57" s="376"/>
      <c r="D57" s="79"/>
      <c r="E57" s="79"/>
      <c r="F57" s="79"/>
      <c r="G57" s="79"/>
      <c r="H57" s="167"/>
      <c r="I57" s="388"/>
      <c r="J57" s="168"/>
      <c r="K57" s="393"/>
      <c r="L57" s="401"/>
      <c r="M57" s="169"/>
      <c r="N57" s="297"/>
      <c r="O57" s="123" t="e">
        <f>+((F57*N57)/O$33+D57)/N57</f>
        <v>#DIV/0!</v>
      </c>
      <c r="P57" s="123" t="e">
        <f>+O57/P$33</f>
        <v>#DIV/0!</v>
      </c>
      <c r="Q57" s="124" t="e">
        <f>+P57/Q$33</f>
        <v>#DIV/0!</v>
      </c>
      <c r="R57" s="125">
        <f>+ASSUMPTIONS!$B$55</f>
        <v>4</v>
      </c>
      <c r="S57" s="333" t="e">
        <f t="shared" si="41"/>
        <v>#DIV/0!</v>
      </c>
      <c r="T57" s="175"/>
      <c r="U57" s="172">
        <f t="shared" si="42"/>
        <v>0</v>
      </c>
      <c r="V57" s="173">
        <f t="shared" si="52"/>
        <v>0</v>
      </c>
      <c r="W57" s="333" t="e">
        <f t="shared" si="53"/>
        <v>#DIV/0!</v>
      </c>
      <c r="X57" s="341"/>
      <c r="Y57" s="123" t="e">
        <f t="shared" si="43"/>
        <v>#DIV/0!</v>
      </c>
      <c r="Z57" s="123" t="e">
        <f t="shared" si="44"/>
        <v>#DIV/0!</v>
      </c>
      <c r="AL57" s="146">
        <v>10000</v>
      </c>
    </row>
    <row r="58" spans="1:38" x14ac:dyDescent="0.45">
      <c r="A58" s="384">
        <v>13</v>
      </c>
      <c r="B58" s="406" t="str">
        <f t="shared" si="61"/>
        <v>NON Core</v>
      </c>
    </row>
    <row r="59" spans="1:38" ht="14.65" thickBot="1" x14ac:dyDescent="0.5">
      <c r="J59" s="396">
        <v>60</v>
      </c>
      <c r="K59">
        <v>80</v>
      </c>
      <c r="L59">
        <v>600</v>
      </c>
      <c r="N59" s="453"/>
    </row>
    <row r="60" spans="1:38" ht="28.9" thickBot="1" x14ac:dyDescent="0.5">
      <c r="A60" s="134" t="s">
        <v>0</v>
      </c>
      <c r="B60" s="569" t="s">
        <v>251</v>
      </c>
      <c r="C60" t="s">
        <v>223</v>
      </c>
      <c r="F60" s="470" t="s">
        <v>226</v>
      </c>
      <c r="G60" s="470"/>
      <c r="H60" s="470"/>
      <c r="I60" s="470" t="s">
        <v>225</v>
      </c>
      <c r="J60" s="396"/>
      <c r="K60" s="470" t="s">
        <v>245</v>
      </c>
    </row>
    <row r="61" spans="1:38" x14ac:dyDescent="0.45">
      <c r="A61" s="384">
        <v>1</v>
      </c>
      <c r="B61" s="406" t="str">
        <f t="shared" ref="B61:B72" si="62">B6</f>
        <v>CAT 350 - 50t Excav</v>
      </c>
      <c r="C61">
        <v>1</v>
      </c>
      <c r="D61" s="303">
        <f>+J6</f>
        <v>361463.41463414632</v>
      </c>
      <c r="F61" s="303">
        <f>(D61*C61)</f>
        <v>361463.41463414632</v>
      </c>
      <c r="H61" s="493">
        <f t="shared" ref="H61:H73" si="63">+D34</f>
        <v>7410.3863757592317</v>
      </c>
      <c r="I61" s="494">
        <f>H61*C61</f>
        <v>7410.3863757592317</v>
      </c>
      <c r="J61" s="493"/>
      <c r="K61" s="518">
        <f>(F6*C61)*ASSUMPTIONS!$B$3</f>
        <v>185250</v>
      </c>
      <c r="N61" s="562"/>
    </row>
    <row r="62" spans="1:38" x14ac:dyDescent="0.45">
      <c r="A62" s="384">
        <v>2</v>
      </c>
      <c r="B62" s="406" t="str">
        <f t="shared" si="62"/>
        <v>EXC 90t</v>
      </c>
      <c r="C62">
        <v>2</v>
      </c>
      <c r="D62" s="303">
        <f>+J7</f>
        <v>1000000</v>
      </c>
      <c r="F62" s="303">
        <f t="shared" ref="F62:F75" si="64">(D62*C62)</f>
        <v>2000000</v>
      </c>
      <c r="H62" s="493">
        <f t="shared" si="63"/>
        <v>18419.606765554363</v>
      </c>
      <c r="I62" s="494">
        <f t="shared" ref="I62:I75" si="65">H62*C62</f>
        <v>36839.213531108726</v>
      </c>
      <c r="K62" s="518">
        <f>(F7*C62)*ASSUMPTIONS!$B$3</f>
        <v>1025000</v>
      </c>
    </row>
    <row r="63" spans="1:38" x14ac:dyDescent="0.45">
      <c r="A63" s="384">
        <v>3</v>
      </c>
      <c r="B63" s="406" t="str">
        <f t="shared" si="62"/>
        <v>EXC 374</v>
      </c>
      <c r="C63">
        <v>0</v>
      </c>
      <c r="D63" s="303">
        <f>J8</f>
        <v>701905</v>
      </c>
      <c r="F63" s="303">
        <f t="shared" ref="F63" si="66">(D63*C63)</f>
        <v>0</v>
      </c>
      <c r="H63" s="493">
        <f t="shared" si="63"/>
        <v>12928.814086776436</v>
      </c>
      <c r="I63" s="494">
        <f t="shared" ref="I63" si="67">H63*C63</f>
        <v>0</v>
      </c>
      <c r="K63" s="518">
        <f>(F8*C63)*ASSUMPTIONS!$B$3</f>
        <v>0</v>
      </c>
    </row>
    <row r="64" spans="1:38" x14ac:dyDescent="0.45">
      <c r="A64" s="384">
        <v>4</v>
      </c>
      <c r="B64" s="406" t="str">
        <f t="shared" si="62"/>
        <v>Ore Truck 50t</v>
      </c>
      <c r="C64">
        <v>6</v>
      </c>
      <c r="D64" s="303">
        <f>+J9</f>
        <v>109000</v>
      </c>
      <c r="F64" s="303">
        <f t="shared" si="64"/>
        <v>654000</v>
      </c>
      <c r="H64" s="493">
        <f t="shared" si="63"/>
        <v>2236.1309324442354</v>
      </c>
      <c r="I64" s="494">
        <f t="shared" si="65"/>
        <v>13416.785594665413</v>
      </c>
      <c r="K64" s="518">
        <f>(F9*C64)*ASSUMPTIONS!$B$3</f>
        <v>335175</v>
      </c>
    </row>
    <row r="65" spans="1:13" x14ac:dyDescent="0.45">
      <c r="A65" s="384">
        <v>5</v>
      </c>
      <c r="B65" s="406" t="str">
        <f t="shared" si="62"/>
        <v>DT 80t</v>
      </c>
      <c r="C65">
        <v>9</v>
      </c>
      <c r="D65" s="303">
        <f>+J10</f>
        <v>220000</v>
      </c>
      <c r="F65" s="303">
        <f t="shared" si="64"/>
        <v>1980000</v>
      </c>
      <c r="H65" s="493">
        <f t="shared" si="63"/>
        <v>4502.5705426910672</v>
      </c>
      <c r="I65" s="494">
        <f t="shared" si="65"/>
        <v>40523.134884219602</v>
      </c>
      <c r="K65" s="518">
        <f>(F10*C65)*ASSUMPTIONS!$B$3</f>
        <v>1014750</v>
      </c>
    </row>
    <row r="66" spans="1:13" x14ac:dyDescent="0.45">
      <c r="A66" s="384">
        <v>6</v>
      </c>
      <c r="B66" s="406" t="str">
        <f t="shared" si="62"/>
        <v>Tonly 6X4</v>
      </c>
      <c r="C66">
        <v>0</v>
      </c>
      <c r="D66" s="303">
        <f>J11</f>
        <v>285000</v>
      </c>
      <c r="F66" s="303">
        <f t="shared" si="64"/>
        <v>0</v>
      </c>
      <c r="H66" s="493">
        <f t="shared" si="63"/>
        <v>5832.875475758884</v>
      </c>
      <c r="I66" s="494">
        <f t="shared" ref="I66" si="68">H66*C66</f>
        <v>0</v>
      </c>
      <c r="K66" s="518">
        <f>(F11*C66)*ASSUMPTIONS!$B$3</f>
        <v>0</v>
      </c>
    </row>
    <row r="67" spans="1:13" x14ac:dyDescent="0.45">
      <c r="A67" s="384">
        <v>7</v>
      </c>
      <c r="B67" s="406" t="str">
        <f t="shared" si="62"/>
        <v>CAT D10 Dozer</v>
      </c>
      <c r="C67">
        <v>1</v>
      </c>
      <c r="D67" s="303">
        <f t="shared" ref="D67:D73" si="69">+J12</f>
        <v>1951219.512195122</v>
      </c>
      <c r="F67" s="303">
        <f t="shared" si="64"/>
        <v>1951219.512195122</v>
      </c>
      <c r="H67" s="493">
        <f t="shared" si="63"/>
        <v>9609.4227133564018</v>
      </c>
      <c r="I67" s="494">
        <f t="shared" si="65"/>
        <v>9609.4227133564018</v>
      </c>
      <c r="K67" s="518">
        <f>(F12*C67)*ASSUMPTIONS!$B$3</f>
        <v>1000000.0000000001</v>
      </c>
    </row>
    <row r="68" spans="1:13" x14ac:dyDescent="0.45">
      <c r="A68" s="384">
        <v>8</v>
      </c>
      <c r="B68" s="406" t="str">
        <f t="shared" si="62"/>
        <v>CAT 14H Grader</v>
      </c>
      <c r="C68">
        <v>1</v>
      </c>
      <c r="D68" s="303">
        <f t="shared" si="69"/>
        <v>253658.53658536586</v>
      </c>
      <c r="F68" s="303">
        <f t="shared" si="64"/>
        <v>253658.53658536586</v>
      </c>
      <c r="H68" s="493">
        <f t="shared" si="63"/>
        <v>5191.4338851426937</v>
      </c>
      <c r="I68" s="494">
        <f t="shared" si="65"/>
        <v>5191.4338851426937</v>
      </c>
      <c r="K68" s="518">
        <f>(F13*C68)*ASSUMPTIONS!$B$3</f>
        <v>130000.00000000001</v>
      </c>
    </row>
    <row r="69" spans="1:13" x14ac:dyDescent="0.45">
      <c r="A69" s="384">
        <v>9</v>
      </c>
      <c r="B69" s="406" t="str">
        <f t="shared" si="62"/>
        <v>CAT 14t Compactor</v>
      </c>
      <c r="C69">
        <v>1</v>
      </c>
      <c r="D69" s="303">
        <f t="shared" si="69"/>
        <v>156097.56097560975</v>
      </c>
      <c r="F69" s="303">
        <f t="shared" si="64"/>
        <v>156097.56097560975</v>
      </c>
      <c r="H69" s="493">
        <f t="shared" si="63"/>
        <v>3194.7285447031973</v>
      </c>
      <c r="I69" s="494">
        <f t="shared" si="65"/>
        <v>3194.7285447031973</v>
      </c>
      <c r="K69" s="518">
        <f>(F14*C69)*ASSUMPTIONS!$B$3</f>
        <v>80000</v>
      </c>
    </row>
    <row r="70" spans="1:13" x14ac:dyDescent="0.45">
      <c r="A70" s="384">
        <v>10</v>
      </c>
      <c r="B70" s="406" t="str">
        <f t="shared" si="62"/>
        <v>CAT 950 WL</v>
      </c>
      <c r="C70">
        <v>1</v>
      </c>
      <c r="D70" s="303">
        <f t="shared" si="69"/>
        <v>180000</v>
      </c>
      <c r="F70" s="303">
        <f t="shared" si="64"/>
        <v>180000</v>
      </c>
      <c r="H70" s="493">
        <f t="shared" si="63"/>
        <v>3683.9213531108735</v>
      </c>
      <c r="I70" s="494">
        <f t="shared" si="65"/>
        <v>3683.9213531108735</v>
      </c>
      <c r="K70" s="518">
        <f>(F15*C70)*ASSUMPTIONS!$B$3</f>
        <v>92250</v>
      </c>
    </row>
    <row r="71" spans="1:13" x14ac:dyDescent="0.45">
      <c r="A71" s="384">
        <v>11</v>
      </c>
      <c r="B71" s="406" t="str">
        <f t="shared" si="62"/>
        <v xml:space="preserve">MERC Watercart </v>
      </c>
      <c r="C71">
        <v>1</v>
      </c>
      <c r="D71" s="303">
        <f t="shared" si="69"/>
        <v>109000</v>
      </c>
      <c r="F71" s="303">
        <f t="shared" si="64"/>
        <v>109000</v>
      </c>
      <c r="H71" s="493">
        <f t="shared" si="63"/>
        <v>2230.8190416060288</v>
      </c>
      <c r="I71" s="494">
        <f t="shared" si="65"/>
        <v>2230.8190416060288</v>
      </c>
      <c r="K71" s="518">
        <f>(F16*C71)*ASSUMPTIONS!$B$3</f>
        <v>55862.5</v>
      </c>
      <c r="L71" s="492"/>
    </row>
    <row r="72" spans="1:13" x14ac:dyDescent="0.45">
      <c r="A72" s="384">
        <v>12</v>
      </c>
      <c r="B72" s="406" t="str">
        <f t="shared" si="62"/>
        <v>ATLAS T35 Drill</v>
      </c>
      <c r="C72">
        <v>1</v>
      </c>
      <c r="D72" s="303">
        <f t="shared" si="69"/>
        <v>305500</v>
      </c>
      <c r="F72" s="303">
        <f t="shared" si="64"/>
        <v>305500</v>
      </c>
      <c r="H72" s="493">
        <f t="shared" si="63"/>
        <v>3727.1942528417726</v>
      </c>
      <c r="I72" s="494">
        <f t="shared" si="65"/>
        <v>3727.1942528417726</v>
      </c>
      <c r="K72" s="518">
        <f>(F17*C72)*ASSUMPTIONS!$B$3</f>
        <v>156568.75</v>
      </c>
    </row>
    <row r="73" spans="1:13" x14ac:dyDescent="0.45">
      <c r="A73" s="384">
        <v>13</v>
      </c>
      <c r="B73" s="406" t="str">
        <f t="shared" ref="B73" si="70">B18</f>
        <v>ATLAS T45 Drill</v>
      </c>
      <c r="C73">
        <v>2</v>
      </c>
      <c r="D73" s="303">
        <f t="shared" si="69"/>
        <v>436500</v>
      </c>
      <c r="F73" s="303">
        <f t="shared" si="64"/>
        <v>873000</v>
      </c>
      <c r="H73" s="493">
        <f t="shared" si="63"/>
        <v>5325.4346689539534</v>
      </c>
      <c r="I73" s="494">
        <f t="shared" si="65"/>
        <v>10650.869337907907</v>
      </c>
      <c r="K73" s="518">
        <f>(F18*C73)*ASSUMPTIONS!$B$3</f>
        <v>447412.5</v>
      </c>
    </row>
    <row r="74" spans="1:13" x14ac:dyDescent="0.45">
      <c r="A74" s="384">
        <v>14</v>
      </c>
      <c r="B74" s="491" t="s">
        <v>227</v>
      </c>
      <c r="C74">
        <v>1</v>
      </c>
      <c r="D74" s="303">
        <f>J19</f>
        <v>136000</v>
      </c>
      <c r="F74" s="303">
        <f t="shared" si="64"/>
        <v>136000</v>
      </c>
      <c r="H74" s="493">
        <f>+D47</f>
        <v>2783.4072445726601</v>
      </c>
      <c r="I74" s="494">
        <f t="shared" si="65"/>
        <v>2783.4072445726601</v>
      </c>
      <c r="K74" s="518">
        <f>(F19*C74)*ASSUMPTIONS!$B$3</f>
        <v>69700</v>
      </c>
    </row>
    <row r="75" spans="1:13" x14ac:dyDescent="0.45">
      <c r="A75" s="384">
        <v>15</v>
      </c>
      <c r="B75" s="491" t="s">
        <v>224</v>
      </c>
      <c r="C75">
        <v>1</v>
      </c>
      <c r="D75" s="484">
        <f>(+ASSUMPTIONS!$B$110)*0.62</f>
        <v>361491</v>
      </c>
      <c r="F75" s="303">
        <f t="shared" si="64"/>
        <v>361491</v>
      </c>
      <c r="H75">
        <v>0</v>
      </c>
      <c r="I75" s="494">
        <f t="shared" si="65"/>
        <v>0</v>
      </c>
      <c r="K75" s="519"/>
    </row>
    <row r="76" spans="1:13" x14ac:dyDescent="0.45">
      <c r="A76" s="384">
        <v>16</v>
      </c>
      <c r="B76" s="491" t="s">
        <v>228</v>
      </c>
      <c r="C76">
        <v>1</v>
      </c>
      <c r="D76" s="303">
        <v>330000</v>
      </c>
      <c r="F76" s="303">
        <f>(D76*C76)</f>
        <v>330000</v>
      </c>
      <c r="H76" s="493">
        <f>+H64</f>
        <v>2236.1309324442354</v>
      </c>
      <c r="I76" s="494">
        <f>H76*C76</f>
        <v>2236.1309324442354</v>
      </c>
      <c r="K76" s="518">
        <f>L62*K62*C76</f>
        <v>0</v>
      </c>
    </row>
    <row r="77" spans="1:13" x14ac:dyDescent="0.45">
      <c r="F77" s="495">
        <f>SUM(F61:F75)</f>
        <v>9321430.024390243</v>
      </c>
      <c r="G77" s="470"/>
      <c r="H77" s="496">
        <f>SUM(H61:H75)</f>
        <v>87076.745883271768</v>
      </c>
      <c r="I77" s="496">
        <f>SUM(I61:I75)</f>
        <v>139261.31675899448</v>
      </c>
      <c r="K77" s="520">
        <f>SUM(K61:K75)</f>
        <v>4591968.75</v>
      </c>
      <c r="L77" s="618">
        <f>K77*(1+ASSUMPTIONS!B18)</f>
        <v>6061398.75</v>
      </c>
      <c r="M77" s="619" t="s">
        <v>247</v>
      </c>
    </row>
    <row r="78" spans="1:13" x14ac:dyDescent="0.45">
      <c r="D78" s="470" t="s">
        <v>229</v>
      </c>
      <c r="F78" s="570">
        <f>F77*ASSUMPTIONS!$B$3</f>
        <v>95544657.749999985</v>
      </c>
      <c r="H78" s="570">
        <f>H77*ASSUMPTIONS!$B$3</f>
        <v>892536.64530353562</v>
      </c>
      <c r="I78" s="570">
        <f>I77*ASSUMPTIONS!$B$3</f>
        <v>1427428.4967796933</v>
      </c>
      <c r="L78" s="618">
        <f>L77*1.1</f>
        <v>6667538.6250000009</v>
      </c>
      <c r="M78" s="619" t="s">
        <v>248</v>
      </c>
    </row>
    <row r="79" spans="1:13" ht="14.65" thickBot="1" x14ac:dyDescent="0.5"/>
    <row r="80" spans="1:13" ht="28.9" thickBot="1" x14ac:dyDescent="0.5">
      <c r="A80" s="134" t="s">
        <v>0</v>
      </c>
      <c r="B80" s="569" t="s">
        <v>306</v>
      </c>
      <c r="C80" t="s">
        <v>223</v>
      </c>
      <c r="F80" s="470" t="s">
        <v>226</v>
      </c>
      <c r="G80" s="470"/>
      <c r="H80" s="470"/>
      <c r="I80" s="470" t="s">
        <v>225</v>
      </c>
      <c r="J80" s="396"/>
      <c r="K80" s="470" t="s">
        <v>245</v>
      </c>
    </row>
    <row r="81" spans="1:12" x14ac:dyDescent="0.45">
      <c r="A81" s="384">
        <v>1</v>
      </c>
      <c r="B81" s="406" t="str">
        <f>B61</f>
        <v>CAT 350 - 50t Excav</v>
      </c>
      <c r="C81">
        <v>1</v>
      </c>
      <c r="D81" s="303">
        <f>J6</f>
        <v>361463.41463414632</v>
      </c>
      <c r="F81" s="303">
        <f>(D81*C81)</f>
        <v>361463.41463414632</v>
      </c>
      <c r="H81" s="493">
        <f>H61</f>
        <v>7410.3863757592317</v>
      </c>
      <c r="I81" s="494">
        <f>H81*C81</f>
        <v>7410.3863757592317</v>
      </c>
      <c r="J81" s="493"/>
      <c r="K81" s="518">
        <f>F6*C81*ASSUMPTIONS!$B$3</f>
        <v>185250</v>
      </c>
    </row>
    <row r="82" spans="1:12" x14ac:dyDescent="0.45">
      <c r="A82" s="384">
        <v>2</v>
      </c>
      <c r="B82" s="406" t="str">
        <f t="shared" ref="B82:B96" si="71">B62</f>
        <v>EXC 90t</v>
      </c>
      <c r="C82">
        <v>0</v>
      </c>
      <c r="D82" s="303">
        <f t="shared" ref="D82:D94" si="72">J7</f>
        <v>1000000</v>
      </c>
      <c r="F82" s="303">
        <f t="shared" ref="F82:F96" si="73">(D82*C82)</f>
        <v>0</v>
      </c>
      <c r="H82" s="493">
        <f t="shared" ref="H82:H94" si="74">H62</f>
        <v>18419.606765554363</v>
      </c>
      <c r="I82" s="494">
        <f t="shared" ref="I82:I94" si="75">H82*C82</f>
        <v>0</v>
      </c>
      <c r="K82" s="518">
        <f>F7*C82*ASSUMPTIONS!$B$3</f>
        <v>0</v>
      </c>
    </row>
    <row r="83" spans="1:12" x14ac:dyDescent="0.45">
      <c r="A83" s="384">
        <v>3</v>
      </c>
      <c r="B83" s="406" t="str">
        <f t="shared" si="71"/>
        <v>EXC 374</v>
      </c>
      <c r="C83">
        <v>2</v>
      </c>
      <c r="D83" s="303">
        <f t="shared" si="72"/>
        <v>701905</v>
      </c>
      <c r="F83" s="303">
        <f t="shared" si="73"/>
        <v>1403810</v>
      </c>
      <c r="H83" s="493">
        <f t="shared" si="74"/>
        <v>12928.814086776436</v>
      </c>
      <c r="I83" s="494">
        <f t="shared" si="75"/>
        <v>25857.628173552872</v>
      </c>
      <c r="K83" s="518">
        <f>F8*C83*ASSUMPTIONS!$B$3</f>
        <v>719452.625</v>
      </c>
    </row>
    <row r="84" spans="1:12" x14ac:dyDescent="0.45">
      <c r="A84" s="384">
        <v>4</v>
      </c>
      <c r="B84" s="406" t="str">
        <f t="shared" si="71"/>
        <v>Ore Truck 50t</v>
      </c>
      <c r="C84">
        <v>5</v>
      </c>
      <c r="D84" s="303">
        <f t="shared" si="72"/>
        <v>109000</v>
      </c>
      <c r="F84" s="303">
        <f t="shared" si="73"/>
        <v>545000</v>
      </c>
      <c r="H84" s="493">
        <f t="shared" si="74"/>
        <v>2236.1309324442354</v>
      </c>
      <c r="I84" s="494">
        <f t="shared" si="75"/>
        <v>11180.654662221177</v>
      </c>
      <c r="K84" s="518">
        <f>F9*C84*ASSUMPTIONS!$B$3</f>
        <v>279312.5</v>
      </c>
    </row>
    <row r="85" spans="1:12" x14ac:dyDescent="0.45">
      <c r="A85" s="384">
        <v>5</v>
      </c>
      <c r="B85" s="406" t="str">
        <f t="shared" si="71"/>
        <v>DT 80t</v>
      </c>
      <c r="C85">
        <v>0</v>
      </c>
      <c r="D85" s="303">
        <f t="shared" si="72"/>
        <v>220000</v>
      </c>
      <c r="F85" s="303">
        <f t="shared" si="73"/>
        <v>0</v>
      </c>
      <c r="H85" s="493">
        <f t="shared" si="74"/>
        <v>4502.5705426910672</v>
      </c>
      <c r="I85" s="494">
        <f t="shared" si="75"/>
        <v>0</v>
      </c>
      <c r="K85" s="518">
        <f>F10*C85*ASSUMPTIONS!$B$3</f>
        <v>0</v>
      </c>
    </row>
    <row r="86" spans="1:12" x14ac:dyDescent="0.45">
      <c r="A86" s="384">
        <v>6</v>
      </c>
      <c r="B86" s="406" t="str">
        <f t="shared" si="71"/>
        <v>Tonly 6X4</v>
      </c>
      <c r="C86">
        <v>8</v>
      </c>
      <c r="D86" s="303">
        <f t="shared" si="72"/>
        <v>285000</v>
      </c>
      <c r="F86" s="303">
        <f t="shared" si="73"/>
        <v>2280000</v>
      </c>
      <c r="H86" s="493">
        <f t="shared" si="74"/>
        <v>5832.875475758884</v>
      </c>
      <c r="I86" s="494">
        <f t="shared" si="75"/>
        <v>46663.003806071072</v>
      </c>
      <c r="K86" s="518">
        <f>F11*C86*ASSUMPTIONS!$B$3</f>
        <v>1168500</v>
      </c>
    </row>
    <row r="87" spans="1:12" x14ac:dyDescent="0.45">
      <c r="A87" s="384">
        <v>7</v>
      </c>
      <c r="B87" s="406" t="str">
        <f t="shared" si="71"/>
        <v>CAT D10 Dozer</v>
      </c>
      <c r="C87">
        <v>1</v>
      </c>
      <c r="D87" s="303">
        <f t="shared" si="72"/>
        <v>1951219.512195122</v>
      </c>
      <c r="F87" s="303">
        <f t="shared" si="73"/>
        <v>1951219.512195122</v>
      </c>
      <c r="H87" s="493">
        <f t="shared" si="74"/>
        <v>9609.4227133564018</v>
      </c>
      <c r="I87" s="494">
        <f t="shared" si="75"/>
        <v>9609.4227133564018</v>
      </c>
      <c r="K87" s="518">
        <f>F12*C87*ASSUMPTIONS!$B$3</f>
        <v>1000000.0000000001</v>
      </c>
    </row>
    <row r="88" spans="1:12" x14ac:dyDescent="0.45">
      <c r="A88" s="384">
        <v>8</v>
      </c>
      <c r="B88" s="406" t="str">
        <f t="shared" si="71"/>
        <v>CAT 14H Grader</v>
      </c>
      <c r="C88">
        <v>1</v>
      </c>
      <c r="D88" s="303">
        <f t="shared" si="72"/>
        <v>253658.53658536586</v>
      </c>
      <c r="F88" s="303">
        <f t="shared" si="73"/>
        <v>253658.53658536586</v>
      </c>
      <c r="H88" s="493">
        <f t="shared" si="74"/>
        <v>5191.4338851426937</v>
      </c>
      <c r="I88" s="494">
        <f t="shared" si="75"/>
        <v>5191.4338851426937</v>
      </c>
      <c r="K88" s="518">
        <f>F13*C88*ASSUMPTIONS!$B$3</f>
        <v>130000.00000000001</v>
      </c>
    </row>
    <row r="89" spans="1:12" x14ac:dyDescent="0.45">
      <c r="A89" s="384">
        <v>9</v>
      </c>
      <c r="B89" s="406" t="str">
        <f t="shared" si="71"/>
        <v>CAT 14t Compactor</v>
      </c>
      <c r="C89">
        <v>1</v>
      </c>
      <c r="D89" s="303">
        <f t="shared" si="72"/>
        <v>156097.56097560975</v>
      </c>
      <c r="F89" s="303">
        <f t="shared" si="73"/>
        <v>156097.56097560975</v>
      </c>
      <c r="H89" s="493">
        <f t="shared" si="74"/>
        <v>3194.7285447031973</v>
      </c>
      <c r="I89" s="494">
        <f t="shared" si="75"/>
        <v>3194.7285447031973</v>
      </c>
      <c r="K89" s="518">
        <f>F14*C89*ASSUMPTIONS!$B$3</f>
        <v>80000</v>
      </c>
    </row>
    <row r="90" spans="1:12" x14ac:dyDescent="0.45">
      <c r="A90" s="384">
        <v>10</v>
      </c>
      <c r="B90" s="406" t="str">
        <f t="shared" si="71"/>
        <v>CAT 950 WL</v>
      </c>
      <c r="C90">
        <v>1</v>
      </c>
      <c r="D90" s="303">
        <f t="shared" si="72"/>
        <v>180000</v>
      </c>
      <c r="F90" s="303">
        <f t="shared" si="73"/>
        <v>180000</v>
      </c>
      <c r="H90" s="493">
        <f t="shared" si="74"/>
        <v>3683.9213531108735</v>
      </c>
      <c r="I90" s="494">
        <f t="shared" si="75"/>
        <v>3683.9213531108735</v>
      </c>
      <c r="K90" s="518">
        <f>F15*C90*ASSUMPTIONS!$B$3</f>
        <v>92250</v>
      </c>
      <c r="L90" s="492"/>
    </row>
    <row r="91" spans="1:12" x14ac:dyDescent="0.45">
      <c r="A91" s="384">
        <v>11</v>
      </c>
      <c r="B91" s="406" t="str">
        <f t="shared" si="71"/>
        <v xml:space="preserve">MERC Watercart </v>
      </c>
      <c r="C91">
        <v>1</v>
      </c>
      <c r="D91" s="303">
        <f t="shared" si="72"/>
        <v>109000</v>
      </c>
      <c r="F91" s="303">
        <f t="shared" si="73"/>
        <v>109000</v>
      </c>
      <c r="H91" s="493">
        <f t="shared" si="74"/>
        <v>2230.8190416060288</v>
      </c>
      <c r="I91" s="494">
        <f t="shared" si="75"/>
        <v>2230.8190416060288</v>
      </c>
      <c r="K91" s="518">
        <f>F16*C91*ASSUMPTIONS!$B$3</f>
        <v>55862.5</v>
      </c>
    </row>
    <row r="92" spans="1:12" x14ac:dyDescent="0.45">
      <c r="A92" s="384">
        <v>12</v>
      </c>
      <c r="B92" s="406" t="str">
        <f t="shared" si="71"/>
        <v>ATLAS T35 Drill</v>
      </c>
      <c r="C92">
        <v>1</v>
      </c>
      <c r="D92" s="303">
        <f t="shared" si="72"/>
        <v>305500</v>
      </c>
      <c r="F92" s="303">
        <f t="shared" si="73"/>
        <v>305500</v>
      </c>
      <c r="H92" s="493">
        <f t="shared" si="74"/>
        <v>3727.1942528417726</v>
      </c>
      <c r="I92" s="494">
        <f t="shared" si="75"/>
        <v>3727.1942528417726</v>
      </c>
      <c r="K92" s="518">
        <f>F17*C92*ASSUMPTIONS!$B$3</f>
        <v>156568.75</v>
      </c>
    </row>
    <row r="93" spans="1:12" x14ac:dyDescent="0.45">
      <c r="A93" s="384">
        <v>13</v>
      </c>
      <c r="B93" s="406" t="str">
        <f t="shared" si="71"/>
        <v>ATLAS T45 Drill</v>
      </c>
      <c r="C93">
        <v>1</v>
      </c>
      <c r="D93" s="303">
        <f t="shared" si="72"/>
        <v>436500</v>
      </c>
      <c r="F93" s="303">
        <f t="shared" si="73"/>
        <v>436500</v>
      </c>
      <c r="H93" s="493">
        <f t="shared" si="74"/>
        <v>5325.4346689539534</v>
      </c>
      <c r="I93" s="494">
        <f t="shared" si="75"/>
        <v>5325.4346689539534</v>
      </c>
      <c r="K93" s="518">
        <f>F18*C93*ASSUMPTIONS!$B$3</f>
        <v>223706.25</v>
      </c>
    </row>
    <row r="94" spans="1:12" x14ac:dyDescent="0.45">
      <c r="A94" s="384">
        <v>14</v>
      </c>
      <c r="B94" s="406" t="str">
        <f t="shared" si="71"/>
        <v>Service Truck</v>
      </c>
      <c r="C94">
        <v>1</v>
      </c>
      <c r="D94" s="303">
        <f t="shared" si="72"/>
        <v>136000</v>
      </c>
      <c r="F94" s="303">
        <f t="shared" si="73"/>
        <v>136000</v>
      </c>
      <c r="H94" s="493">
        <f t="shared" si="74"/>
        <v>2783.4072445726601</v>
      </c>
      <c r="I94" s="494">
        <f t="shared" si="75"/>
        <v>2783.4072445726601</v>
      </c>
      <c r="K94" s="518">
        <f>F19*C94*ASSUMPTIONS!$B$3</f>
        <v>69700</v>
      </c>
    </row>
    <row r="95" spans="1:12" x14ac:dyDescent="0.45">
      <c r="A95" s="384">
        <v>15</v>
      </c>
      <c r="B95" s="406" t="str">
        <f t="shared" si="71"/>
        <v>NON Core</v>
      </c>
      <c r="C95">
        <v>1</v>
      </c>
      <c r="D95" s="303">
        <f>(ASSUMPTIONS!B110)*0.38</f>
        <v>221559</v>
      </c>
      <c r="F95" s="303">
        <f t="shared" si="73"/>
        <v>221559</v>
      </c>
      <c r="H95" s="493"/>
      <c r="I95" s="494">
        <f t="shared" ref="I95:I96" si="76">H95*C95</f>
        <v>0</v>
      </c>
      <c r="K95" s="518"/>
    </row>
    <row r="96" spans="1:12" x14ac:dyDescent="0.45">
      <c r="A96" s="384">
        <v>16</v>
      </c>
      <c r="B96" s="406" t="str">
        <f t="shared" si="71"/>
        <v>Rockbreaker</v>
      </c>
      <c r="C96">
        <v>1</v>
      </c>
      <c r="D96" s="303">
        <f>D76</f>
        <v>330000</v>
      </c>
      <c r="F96" s="303">
        <f t="shared" si="73"/>
        <v>330000</v>
      </c>
      <c r="H96">
        <v>0</v>
      </c>
      <c r="I96" s="494">
        <f t="shared" si="76"/>
        <v>0</v>
      </c>
      <c r="K96" s="519"/>
    </row>
    <row r="97" spans="4:13" x14ac:dyDescent="0.45">
      <c r="F97" s="495">
        <f>SUM(F81:F96)</f>
        <v>8669808.024390243</v>
      </c>
      <c r="G97" s="470"/>
      <c r="H97" s="496">
        <f>SUM(H81:H96)</f>
        <v>87076.745883271768</v>
      </c>
      <c r="I97" s="496">
        <f>SUM(I81:I96)</f>
        <v>126858.03472189192</v>
      </c>
      <c r="K97" s="520">
        <f>SUM(K81:K96)</f>
        <v>4160602.625</v>
      </c>
      <c r="L97" s="618">
        <f>K97*(1+ASSUMPTIONS!B37)</f>
        <v>4160602.625</v>
      </c>
      <c r="M97" s="619" t="s">
        <v>247</v>
      </c>
    </row>
    <row r="98" spans="4:13" x14ac:dyDescent="0.45">
      <c r="D98" s="470" t="s">
        <v>229</v>
      </c>
      <c r="F98" s="570">
        <f>F97*ASSUMPTIONS!$B$3</f>
        <v>88865532.249999985</v>
      </c>
      <c r="H98" s="570">
        <f>H97*ASSUMPTIONS!$B$3</f>
        <v>892536.64530353562</v>
      </c>
      <c r="I98" s="570">
        <f>I97*ASSUMPTIONS!$B$3</f>
        <v>1300294.8558993922</v>
      </c>
      <c r="L98" s="618">
        <f>L97*1.1</f>
        <v>4576662.8875000002</v>
      </c>
      <c r="M98" s="619" t="s">
        <v>248</v>
      </c>
    </row>
  </sheetData>
  <mergeCells count="4">
    <mergeCell ref="A32:B32"/>
    <mergeCell ref="D32:M32"/>
    <mergeCell ref="A3:B3"/>
    <mergeCell ref="A1:B1"/>
  </mergeCells>
  <phoneticPr fontId="23" type="noConversion"/>
  <printOptions horizontalCentered="1"/>
  <pageMargins left="0.7" right="0.7" top="0.75" bottom="0.75" header="0.3" footer="0.3"/>
  <pageSetup orientation="portrait" r:id="rId1"/>
  <headerFooter>
    <oddHeader>&amp;R&amp;A</oddHeader>
    <oddFooter>&amp;L&amp;D&amp;C&amp;P&amp;R&amp;F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8E7ED-5567-4E6D-B79A-3AD21F763204}">
  <sheetPr>
    <pageSetUpPr fitToPage="1"/>
  </sheetPr>
  <dimension ref="A1:AG91"/>
  <sheetViews>
    <sheetView zoomScale="70" zoomScaleNormal="70" zoomScalePageLayoutView="115" workbookViewId="0">
      <selection activeCell="B26" sqref="B26:G27"/>
    </sheetView>
  </sheetViews>
  <sheetFormatPr defaultColWidth="8.86328125" defaultRowHeight="14.25" x14ac:dyDescent="0.45"/>
  <cols>
    <col min="1" max="1" width="3.86328125" customWidth="1"/>
    <col min="2" max="2" width="28" customWidth="1"/>
    <col min="3" max="3" width="14.73046875" style="455" bestFit="1" customWidth="1"/>
    <col min="5" max="5" width="17.3984375" customWidth="1"/>
    <col min="6" max="6" width="9.59765625" bestFit="1" customWidth="1"/>
    <col min="7" max="7" width="10.86328125" customWidth="1"/>
    <col min="8" max="8" width="11.73046875" bestFit="1" customWidth="1"/>
    <col min="9" max="9" width="12.3984375" bestFit="1" customWidth="1"/>
    <col min="10" max="12" width="10.265625" customWidth="1"/>
    <col min="13" max="13" width="12.265625" bestFit="1" customWidth="1"/>
    <col min="15" max="15" width="11" customWidth="1"/>
    <col min="18" max="18" width="14" bestFit="1" customWidth="1"/>
    <col min="19" max="19" width="12.265625" bestFit="1" customWidth="1"/>
    <col min="22" max="22" width="10.73046875" bestFit="1" customWidth="1"/>
    <col min="23" max="23" width="21" customWidth="1"/>
    <col min="24" max="24" width="15.3984375" bestFit="1" customWidth="1"/>
    <col min="25" max="27" width="15.3984375" customWidth="1"/>
    <col min="28" max="28" width="3.73046875" customWidth="1"/>
    <col min="29" max="30" width="15.3984375" customWidth="1"/>
    <col min="31" max="31" width="17.19921875" customWidth="1"/>
    <col min="32" max="32" width="17.06640625" bestFit="1" customWidth="1"/>
    <col min="33" max="33" width="11.3984375" customWidth="1"/>
  </cols>
  <sheetData>
    <row r="1" spans="1:33" x14ac:dyDescent="0.45">
      <c r="C1" s="420"/>
    </row>
    <row r="2" spans="1:33" x14ac:dyDescent="0.45">
      <c r="C2" s="420"/>
      <c r="X2" s="410"/>
      <c r="Y2" s="410"/>
      <c r="Z2" s="410"/>
      <c r="AA2" s="410"/>
      <c r="AB2" s="410"/>
      <c r="AC2" s="410"/>
      <c r="AD2" s="410"/>
    </row>
    <row r="3" spans="1:33" ht="25.5" x14ac:dyDescent="0.75">
      <c r="B3" s="635" t="s">
        <v>358</v>
      </c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  <c r="Q3" s="635"/>
      <c r="R3" s="635"/>
      <c r="S3" s="635"/>
      <c r="T3" s="635"/>
      <c r="U3" s="635"/>
      <c r="V3" s="635"/>
      <c r="W3" s="529"/>
    </row>
    <row r="4" spans="1:33" x14ac:dyDescent="0.45">
      <c r="B4" s="636"/>
      <c r="C4" s="637"/>
      <c r="D4" s="637"/>
      <c r="E4" s="637"/>
      <c r="F4" s="637"/>
      <c r="G4" s="637"/>
      <c r="H4" s="637"/>
      <c r="I4" s="637"/>
      <c r="J4" s="637"/>
      <c r="K4" s="637"/>
      <c r="L4" s="637"/>
      <c r="M4" s="637"/>
      <c r="N4" s="637"/>
      <c r="O4" s="637"/>
      <c r="P4" s="637"/>
      <c r="Q4" s="637"/>
      <c r="R4" s="637"/>
      <c r="S4" s="637"/>
      <c r="T4" s="637"/>
      <c r="U4" s="637"/>
      <c r="V4" s="638"/>
    </row>
    <row r="5" spans="1:33" ht="21" x14ac:dyDescent="0.65">
      <c r="B5" s="639" t="s">
        <v>244</v>
      </c>
      <c r="C5" s="639"/>
      <c r="D5" s="639"/>
      <c r="E5" s="639"/>
      <c r="F5" s="639"/>
      <c r="G5" s="639"/>
      <c r="H5" s="639"/>
      <c r="I5" s="639"/>
      <c r="J5" s="639"/>
      <c r="K5" s="639"/>
      <c r="L5" s="639"/>
      <c r="M5" s="639"/>
      <c r="N5" s="639"/>
      <c r="O5" s="639"/>
      <c r="P5" s="639"/>
      <c r="Q5" s="639"/>
      <c r="R5" s="639"/>
      <c r="S5" s="639"/>
      <c r="T5" s="639"/>
      <c r="U5" s="639"/>
      <c r="V5" s="639"/>
    </row>
    <row r="6" spans="1:33" x14ac:dyDescent="0.45">
      <c r="B6" s="640" t="s">
        <v>165</v>
      </c>
      <c r="C6" s="641" t="s">
        <v>166</v>
      </c>
      <c r="D6" s="640" t="s">
        <v>167</v>
      </c>
      <c r="E6" s="422" t="s">
        <v>168</v>
      </c>
      <c r="F6" s="641" t="s">
        <v>169</v>
      </c>
      <c r="G6" s="640" t="s">
        <v>170</v>
      </c>
      <c r="H6" s="640" t="s">
        <v>171</v>
      </c>
      <c r="I6" s="640" t="s">
        <v>172</v>
      </c>
      <c r="J6" s="640" t="s">
        <v>173</v>
      </c>
      <c r="K6" s="640" t="s">
        <v>174</v>
      </c>
      <c r="L6" s="640" t="s">
        <v>175</v>
      </c>
      <c r="M6" s="640" t="s">
        <v>176</v>
      </c>
      <c r="N6" s="640" t="s">
        <v>175</v>
      </c>
      <c r="O6" s="640" t="s">
        <v>177</v>
      </c>
      <c r="P6" s="640" t="s">
        <v>178</v>
      </c>
      <c r="Q6" s="640" t="s">
        <v>179</v>
      </c>
      <c r="R6" s="640" t="s">
        <v>180</v>
      </c>
      <c r="S6" s="423" t="s">
        <v>181</v>
      </c>
      <c r="T6" s="421"/>
      <c r="U6" s="421"/>
      <c r="V6" s="421"/>
    </row>
    <row r="7" spans="1:33" x14ac:dyDescent="0.45">
      <c r="B7" s="640"/>
      <c r="C7" s="641"/>
      <c r="D7" s="640"/>
      <c r="E7" s="424">
        <f>+ASSUMPTIONS!$B$14</f>
        <v>1.4</v>
      </c>
      <c r="F7" s="641"/>
      <c r="G7" s="640"/>
      <c r="H7" s="640"/>
      <c r="I7" s="640"/>
      <c r="J7" s="640"/>
      <c r="K7" s="640"/>
      <c r="L7" s="640"/>
      <c r="M7" s="640"/>
      <c r="N7" s="640"/>
      <c r="O7" s="640"/>
      <c r="P7" s="640"/>
      <c r="Q7" s="640"/>
      <c r="R7" s="640"/>
      <c r="S7" s="423">
        <v>60</v>
      </c>
      <c r="T7" s="421"/>
      <c r="U7" s="421"/>
      <c r="V7" s="421"/>
    </row>
    <row r="8" spans="1:33" x14ac:dyDescent="0.45">
      <c r="A8">
        <v>2</v>
      </c>
      <c r="B8" s="425" t="s">
        <v>182</v>
      </c>
      <c r="C8" s="426">
        <f>+'Summary Equip'!$Y$34</f>
        <v>50.535816852722071</v>
      </c>
      <c r="D8" s="427">
        <f>+'Summary Equip'!$T$34</f>
        <v>40</v>
      </c>
      <c r="E8" s="426">
        <f t="shared" ref="E8:E13" si="0">+D8*$E$7</f>
        <v>56</v>
      </c>
      <c r="F8" s="426">
        <f t="shared" ref="F8:F13" si="1">C8+E8</f>
        <v>106.53581685272206</v>
      </c>
      <c r="G8" s="425">
        <v>1</v>
      </c>
      <c r="H8" s="426">
        <f t="shared" ref="H8:H13" si="2">G8*C8</f>
        <v>50.535816852722071</v>
      </c>
      <c r="I8" s="426">
        <f t="shared" ref="I8:I13" si="3">G8*F8</f>
        <v>106.53581685272206</v>
      </c>
      <c r="J8" s="423">
        <v>0</v>
      </c>
      <c r="K8" s="428">
        <f>+J8*(60/(L8*1000))</f>
        <v>0</v>
      </c>
      <c r="L8" s="429">
        <v>20</v>
      </c>
      <c r="M8" s="428">
        <f>+J8*(60/(N8*1000))</f>
        <v>0</v>
      </c>
      <c r="N8" s="429">
        <v>30</v>
      </c>
      <c r="O8" s="430">
        <v>4</v>
      </c>
      <c r="P8" s="423">
        <v>1</v>
      </c>
      <c r="Q8" s="430">
        <v>0.5</v>
      </c>
      <c r="R8" s="431">
        <f>SUM(K8,M8,O8,P8,Q8)</f>
        <v>5.5</v>
      </c>
      <c r="S8" s="431">
        <f>S7/R8</f>
        <v>10.909090909090908</v>
      </c>
      <c r="T8" s="421"/>
      <c r="U8" s="421"/>
      <c r="V8" s="432">
        <v>381.54240000000004</v>
      </c>
    </row>
    <row r="9" spans="1:33" x14ac:dyDescent="0.45">
      <c r="A9">
        <v>6</v>
      </c>
      <c r="B9" s="425" t="s">
        <v>136</v>
      </c>
      <c r="C9" s="426">
        <f>+'Summary Equip'!$Y$37</f>
        <v>20.014413001331896</v>
      </c>
      <c r="D9" s="427">
        <f>+'Summary Equip'!$T$37</f>
        <v>25</v>
      </c>
      <c r="E9" s="426">
        <f t="shared" si="0"/>
        <v>35</v>
      </c>
      <c r="F9" s="426">
        <f t="shared" si="1"/>
        <v>55.014413001331896</v>
      </c>
      <c r="G9" s="433">
        <v>0</v>
      </c>
      <c r="H9" s="426">
        <f t="shared" si="2"/>
        <v>0</v>
      </c>
      <c r="I9" s="426">
        <f t="shared" si="3"/>
        <v>0</v>
      </c>
      <c r="J9" s="642"/>
      <c r="K9" s="642"/>
      <c r="L9" s="642"/>
      <c r="M9" s="642"/>
      <c r="N9" s="642"/>
      <c r="O9" s="642"/>
      <c r="P9" s="643">
        <f>15/M11</f>
        <v>0.85781250000000009</v>
      </c>
      <c r="Q9" s="644"/>
      <c r="R9" s="644"/>
      <c r="S9" s="644"/>
      <c r="T9" s="644"/>
      <c r="U9" s="644"/>
      <c r="V9" s="645"/>
    </row>
    <row r="10" spans="1:33" x14ac:dyDescent="0.45">
      <c r="A10">
        <v>12</v>
      </c>
      <c r="B10" s="425" t="s">
        <v>183</v>
      </c>
      <c r="C10" s="426">
        <f>+'Summary Equip'!Y40</f>
        <v>63.818130750747699</v>
      </c>
      <c r="D10" s="427">
        <f>+'Summary Equip'!$T$40</f>
        <v>100</v>
      </c>
      <c r="E10" s="426">
        <f t="shared" si="0"/>
        <v>140</v>
      </c>
      <c r="F10" s="426">
        <f t="shared" si="1"/>
        <v>203.81813075074768</v>
      </c>
      <c r="G10" s="425">
        <v>0</v>
      </c>
      <c r="H10" s="426">
        <f t="shared" si="2"/>
        <v>0</v>
      </c>
      <c r="I10" s="426">
        <f t="shared" si="3"/>
        <v>0</v>
      </c>
      <c r="J10" s="423"/>
      <c r="K10" s="423" t="s">
        <v>184</v>
      </c>
      <c r="L10" s="423" t="s">
        <v>185</v>
      </c>
      <c r="M10" s="423" t="s">
        <v>186</v>
      </c>
      <c r="N10" s="423" t="s">
        <v>187</v>
      </c>
      <c r="O10" s="423" t="s">
        <v>188</v>
      </c>
      <c r="P10" s="646"/>
      <c r="Q10" s="647"/>
      <c r="R10" s="647"/>
      <c r="S10" s="647"/>
      <c r="T10" s="647"/>
      <c r="U10" s="647"/>
      <c r="V10" s="648"/>
    </row>
    <row r="11" spans="1:33" x14ac:dyDescent="0.45">
      <c r="A11">
        <v>11</v>
      </c>
      <c r="B11" s="425" t="s">
        <v>189</v>
      </c>
      <c r="C11" s="426">
        <f>+'Summary Equip'!Y41</f>
        <v>36.627256061720999</v>
      </c>
      <c r="D11" s="427">
        <f>+'Summary Equip'!$T$41</f>
        <v>32</v>
      </c>
      <c r="E11" s="426">
        <f t="shared" si="0"/>
        <v>44.8</v>
      </c>
      <c r="F11" s="426">
        <f t="shared" si="1"/>
        <v>81.427256061720996</v>
      </c>
      <c r="G11" s="425">
        <v>0</v>
      </c>
      <c r="H11" s="426">
        <f t="shared" si="2"/>
        <v>0</v>
      </c>
      <c r="I11" s="426">
        <f t="shared" si="3"/>
        <v>0</v>
      </c>
      <c r="J11" s="423" t="str">
        <f>B9</f>
        <v>MERC 8X4</v>
      </c>
      <c r="K11" s="423">
        <v>32</v>
      </c>
      <c r="L11" s="434">
        <f>ASSUMPTIONS!B53</f>
        <v>1.83</v>
      </c>
      <c r="M11" s="430">
        <f>K11/L11</f>
        <v>17.486338797814206</v>
      </c>
      <c r="N11" s="434">
        <v>1</v>
      </c>
      <c r="O11" s="430">
        <f>M11*N11</f>
        <v>17.486338797814206</v>
      </c>
      <c r="P11" s="646"/>
      <c r="Q11" s="647"/>
      <c r="R11" s="647"/>
      <c r="S11" s="647"/>
      <c r="T11" s="647"/>
      <c r="U11" s="647"/>
      <c r="V11" s="648"/>
    </row>
    <row r="12" spans="1:33" x14ac:dyDescent="0.45">
      <c r="B12" s="425" t="s">
        <v>227</v>
      </c>
      <c r="C12" s="426">
        <f>+'Summary Equip'!Y47</f>
        <v>23.436920918820121</v>
      </c>
      <c r="D12" s="427">
        <f>+'Summary Equip'!T47</f>
        <v>18</v>
      </c>
      <c r="E12" s="426">
        <f t="shared" si="0"/>
        <v>25.2</v>
      </c>
      <c r="F12" s="426">
        <f t="shared" si="1"/>
        <v>48.636920918820124</v>
      </c>
      <c r="G12" s="425">
        <v>0.4</v>
      </c>
      <c r="H12" s="426">
        <f t="shared" si="2"/>
        <v>9.3747683675280484</v>
      </c>
      <c r="I12" s="426">
        <f t="shared" si="3"/>
        <v>19.45476836752805</v>
      </c>
      <c r="J12" s="423"/>
      <c r="K12" s="423"/>
      <c r="L12" s="434"/>
      <c r="M12" s="430"/>
      <c r="N12" s="434"/>
      <c r="O12" s="430"/>
      <c r="P12" s="646"/>
      <c r="Q12" s="647"/>
      <c r="R12" s="647"/>
      <c r="S12" s="647"/>
      <c r="T12" s="647"/>
      <c r="U12" s="647"/>
      <c r="V12" s="648"/>
      <c r="AC12" s="620"/>
      <c r="AD12" s="620"/>
      <c r="AF12" s="537"/>
    </row>
    <row r="13" spans="1:33" ht="15.75" x14ac:dyDescent="0.5">
      <c r="A13">
        <v>7</v>
      </c>
      <c r="B13" s="425" t="s">
        <v>190</v>
      </c>
      <c r="C13" s="426">
        <f>+'Summary Equip'!$Y$44</f>
        <v>19.578120442289652</v>
      </c>
      <c r="D13" s="427">
        <f>+'Summary Equip'!$T$44</f>
        <v>25</v>
      </c>
      <c r="E13" s="426">
        <f t="shared" si="0"/>
        <v>35</v>
      </c>
      <c r="F13" s="426">
        <f t="shared" si="1"/>
        <v>54.578120442289652</v>
      </c>
      <c r="G13" s="425">
        <v>0</v>
      </c>
      <c r="H13" s="426">
        <f t="shared" si="2"/>
        <v>0</v>
      </c>
      <c r="I13" s="426">
        <f t="shared" si="3"/>
        <v>0</v>
      </c>
      <c r="J13" s="640"/>
      <c r="K13" s="640"/>
      <c r="L13" s="640"/>
      <c r="M13" s="640"/>
      <c r="N13" s="640"/>
      <c r="O13" s="640"/>
      <c r="P13" s="649"/>
      <c r="Q13" s="650"/>
      <c r="R13" s="650"/>
      <c r="S13" s="650"/>
      <c r="T13" s="650"/>
      <c r="U13" s="650"/>
      <c r="V13" s="651"/>
      <c r="W13" s="538" t="s">
        <v>271</v>
      </c>
      <c r="X13" s="624" t="s">
        <v>284</v>
      </c>
      <c r="Y13" s="624"/>
      <c r="Z13" s="624"/>
      <c r="AA13" s="624"/>
      <c r="AC13" s="622" t="s">
        <v>274</v>
      </c>
      <c r="AD13" s="622"/>
      <c r="AE13" s="622" t="s">
        <v>275</v>
      </c>
      <c r="AF13" s="622"/>
      <c r="AG13" s="410"/>
    </row>
    <row r="14" spans="1:33" ht="31.5" x14ac:dyDescent="0.45">
      <c r="B14" s="652" t="s">
        <v>28</v>
      </c>
      <c r="C14" s="653"/>
      <c r="D14" s="653"/>
      <c r="E14" s="653"/>
      <c r="F14" s="653"/>
      <c r="G14" s="654"/>
      <c r="H14" s="658">
        <f>SUM(H6:H13)</f>
        <v>59.91058522025012</v>
      </c>
      <c r="I14" s="658">
        <f>SUM(I6:I13)</f>
        <v>125.99058522025011</v>
      </c>
      <c r="J14" s="435" t="s">
        <v>191</v>
      </c>
      <c r="K14" s="436" t="s">
        <v>188</v>
      </c>
      <c r="L14" s="436" t="s">
        <v>181</v>
      </c>
      <c r="M14" s="437" t="s">
        <v>192</v>
      </c>
      <c r="N14" s="438" t="s">
        <v>193</v>
      </c>
      <c r="O14" s="438" t="s">
        <v>194</v>
      </c>
      <c r="P14" s="439" t="s">
        <v>243</v>
      </c>
      <c r="Q14" s="439" t="s">
        <v>57</v>
      </c>
      <c r="R14" s="438" t="s">
        <v>46</v>
      </c>
      <c r="S14" s="440" t="s">
        <v>196</v>
      </c>
      <c r="T14" s="438" t="s">
        <v>197</v>
      </c>
      <c r="U14" s="441" t="s">
        <v>198</v>
      </c>
      <c r="V14" s="442" t="s">
        <v>199</v>
      </c>
      <c r="W14" s="534" t="s">
        <v>236</v>
      </c>
      <c r="X14" s="534" t="s">
        <v>261</v>
      </c>
      <c r="Y14" s="534" t="s">
        <v>236</v>
      </c>
      <c r="Z14" s="534" t="s">
        <v>266</v>
      </c>
      <c r="AA14" s="534" t="s">
        <v>267</v>
      </c>
      <c r="AB14" s="540"/>
      <c r="AC14" s="442" t="s">
        <v>272</v>
      </c>
      <c r="AD14" s="442" t="s">
        <v>200</v>
      </c>
      <c r="AE14" s="442" t="s">
        <v>273</v>
      </c>
      <c r="AF14" s="442" t="s">
        <v>242</v>
      </c>
    </row>
    <row r="15" spans="1:33" ht="15.75" x14ac:dyDescent="0.5">
      <c r="B15" s="655"/>
      <c r="C15" s="656"/>
      <c r="D15" s="656"/>
      <c r="E15" s="656"/>
      <c r="F15" s="656"/>
      <c r="G15" s="657"/>
      <c r="H15" s="658"/>
      <c r="I15" s="658"/>
      <c r="J15" s="443">
        <f>G9</f>
        <v>0</v>
      </c>
      <c r="K15" s="444">
        <v>0</v>
      </c>
      <c r="L15" s="444">
        <v>0</v>
      </c>
      <c r="M15" s="445">
        <v>100</v>
      </c>
      <c r="N15" s="446">
        <f>H14/M15</f>
        <v>0.59910585220250123</v>
      </c>
      <c r="O15" s="446">
        <f>I14/M15</f>
        <v>1.2599058522025011</v>
      </c>
      <c r="P15" s="447">
        <f>O15-N15</f>
        <v>0.66079999999999983</v>
      </c>
      <c r="Q15" s="447">
        <v>1</v>
      </c>
      <c r="R15" s="531">
        <f>ASSUMPTIONS!$B$18</f>
        <v>0.32</v>
      </c>
      <c r="S15" s="448">
        <f>N15/R15</f>
        <v>1.8722057881328162</v>
      </c>
      <c r="T15" s="447">
        <f>+$C$2</f>
        <v>0</v>
      </c>
      <c r="U15" s="449" t="e">
        <f>Q15/T15</f>
        <v>#DIV/0!</v>
      </c>
      <c r="V15" s="450">
        <f>O15*(1+R15)</f>
        <v>1.6630757249073014</v>
      </c>
      <c r="W15" s="535">
        <f>ASSUMPTIONS!$B$17</f>
        <v>4.9222948508092453E-2</v>
      </c>
      <c r="X15" s="539">
        <f>O15</f>
        <v>1.2599058522025011</v>
      </c>
      <c r="Y15" s="539">
        <f>X15*L11</f>
        <v>2.3056277095305768</v>
      </c>
      <c r="Z15" s="539">
        <f>X15*ASSUMPTIONS!$B$3</f>
        <v>12.914034985075636</v>
      </c>
      <c r="AA15" s="539">
        <f>Y15*ASSUMPTIONS!$B$3</f>
        <v>23.632684022688412</v>
      </c>
      <c r="AB15" s="119"/>
      <c r="AC15" s="450">
        <f>X18*(1+R15)</f>
        <v>1.698580802519696</v>
      </c>
      <c r="AD15" s="450">
        <f>Y18*(1+R15)</f>
        <v>3.1084028686110434</v>
      </c>
      <c r="AE15" s="517">
        <f>AC15*ASSUMPTIONS!$B$3</f>
        <v>17.410453225826885</v>
      </c>
      <c r="AF15" s="517">
        <f>AD15*ASSUMPTIONS!$B$3</f>
        <v>31.861129403263195</v>
      </c>
    </row>
    <row r="16" spans="1:33" ht="15.75" x14ac:dyDescent="0.5">
      <c r="B16" s="486"/>
      <c r="C16" s="487"/>
      <c r="D16" s="487"/>
      <c r="E16" s="487"/>
      <c r="F16" s="487"/>
      <c r="G16" s="487"/>
      <c r="H16" s="487"/>
      <c r="I16" s="487"/>
      <c r="J16" s="487"/>
      <c r="K16" s="487"/>
      <c r="L16" s="487"/>
      <c r="M16" s="489"/>
      <c r="N16" s="487"/>
      <c r="O16" s="487"/>
      <c r="P16" s="489"/>
      <c r="Q16" s="487"/>
      <c r="R16" s="487"/>
      <c r="S16" s="487"/>
      <c r="T16" s="487"/>
      <c r="U16" s="487"/>
      <c r="V16" s="521"/>
      <c r="X16" s="624" t="s">
        <v>285</v>
      </c>
      <c r="Y16" s="624"/>
      <c r="Z16" s="624"/>
      <c r="AA16" s="624"/>
      <c r="AB16" s="515"/>
      <c r="AC16" s="515"/>
      <c r="AD16" s="515"/>
      <c r="AE16" s="453"/>
    </row>
    <row r="17" spans="1:32" ht="21" x14ac:dyDescent="0.65">
      <c r="B17" s="659" t="s">
        <v>201</v>
      </c>
      <c r="C17" s="659"/>
      <c r="D17" s="659"/>
      <c r="E17" s="659"/>
      <c r="F17" s="659"/>
      <c r="G17" s="659"/>
      <c r="H17" s="659"/>
      <c r="I17" s="659"/>
      <c r="J17" s="659"/>
      <c r="K17" s="659"/>
      <c r="L17" s="659"/>
      <c r="M17" s="659"/>
      <c r="N17" s="659"/>
      <c r="O17" s="659"/>
      <c r="P17" s="659"/>
      <c r="Q17" s="659"/>
      <c r="R17" s="659"/>
      <c r="S17" s="659"/>
      <c r="T17" s="659"/>
      <c r="U17" s="659"/>
      <c r="V17" s="659"/>
      <c r="W17" s="529"/>
      <c r="X17" s="534" t="s">
        <v>261</v>
      </c>
      <c r="Y17" s="534" t="s">
        <v>236</v>
      </c>
      <c r="Z17" s="534" t="s">
        <v>266</v>
      </c>
      <c r="AA17" s="534" t="s">
        <v>267</v>
      </c>
      <c r="AB17" s="119"/>
      <c r="AC17" s="119"/>
      <c r="AD17" s="119"/>
    </row>
    <row r="18" spans="1:32" ht="15.75" x14ac:dyDescent="0.5">
      <c r="B18" s="640" t="s">
        <v>165</v>
      </c>
      <c r="C18" s="641" t="s">
        <v>166</v>
      </c>
      <c r="D18" s="640" t="s">
        <v>167</v>
      </c>
      <c r="E18" s="422" t="s">
        <v>168</v>
      </c>
      <c r="F18" s="641" t="s">
        <v>169</v>
      </c>
      <c r="G18" s="640" t="s">
        <v>170</v>
      </c>
      <c r="H18" s="640" t="s">
        <v>171</v>
      </c>
      <c r="I18" s="640" t="s">
        <v>172</v>
      </c>
      <c r="J18" s="640" t="s">
        <v>173</v>
      </c>
      <c r="K18" s="640" t="s">
        <v>174</v>
      </c>
      <c r="L18" s="640" t="s">
        <v>175</v>
      </c>
      <c r="M18" s="640" t="s">
        <v>176</v>
      </c>
      <c r="N18" s="640" t="s">
        <v>175</v>
      </c>
      <c r="O18" s="640" t="s">
        <v>177</v>
      </c>
      <c r="P18" s="640" t="s">
        <v>178</v>
      </c>
      <c r="Q18" s="640" t="s">
        <v>179</v>
      </c>
      <c r="R18" s="640" t="s">
        <v>180</v>
      </c>
      <c r="S18" s="423" t="s">
        <v>181</v>
      </c>
      <c r="T18" s="421"/>
      <c r="U18" s="421"/>
      <c r="V18" s="421"/>
      <c r="W18" s="119"/>
      <c r="X18" s="539">
        <f>X15+(W15/L11)</f>
        <v>1.286803638272497</v>
      </c>
      <c r="Y18" s="539">
        <f>Y15+W15</f>
        <v>2.3548506580386692</v>
      </c>
      <c r="Z18" s="539">
        <f>X18*ASSUMPTIONS!$B$3</f>
        <v>13.189737292293094</v>
      </c>
      <c r="AA18" s="539">
        <f>Y18*ASSUMPTIONS!$B$3</f>
        <v>24.137219244896361</v>
      </c>
    </row>
    <row r="19" spans="1:32" x14ac:dyDescent="0.45">
      <c r="B19" s="640"/>
      <c r="C19" s="641"/>
      <c r="D19" s="640"/>
      <c r="E19" s="424">
        <f>+E7</f>
        <v>1.4</v>
      </c>
      <c r="F19" s="641"/>
      <c r="G19" s="640"/>
      <c r="H19" s="640"/>
      <c r="I19" s="640"/>
      <c r="J19" s="640"/>
      <c r="K19" s="640"/>
      <c r="L19" s="640"/>
      <c r="M19" s="640"/>
      <c r="N19" s="640"/>
      <c r="O19" s="640"/>
      <c r="P19" s="640"/>
      <c r="Q19" s="640"/>
      <c r="R19" s="640"/>
      <c r="S19" s="423">
        <v>60</v>
      </c>
      <c r="T19" s="421"/>
      <c r="U19" s="421"/>
      <c r="V19" s="421"/>
      <c r="X19" s="410"/>
      <c r="Y19" s="410"/>
      <c r="Z19" s="410"/>
      <c r="AA19" s="410"/>
      <c r="AB19" s="410"/>
      <c r="AC19" s="410"/>
      <c r="AD19" s="410"/>
    </row>
    <row r="20" spans="1:32" x14ac:dyDescent="0.45">
      <c r="A20">
        <v>22</v>
      </c>
      <c r="B20" s="425" t="s">
        <v>202</v>
      </c>
      <c r="C20" s="426">
        <f>'Summary Equip'!Y36</f>
        <v>89.495261954201482</v>
      </c>
      <c r="D20" s="427">
        <f>+'Summary Equip'!$T$36</f>
        <v>50</v>
      </c>
      <c r="E20" s="426">
        <f t="shared" ref="E20:E25" si="4">+D20*$E$7</f>
        <v>70</v>
      </c>
      <c r="F20" s="426">
        <f t="shared" ref="F20:F25" si="5">C20+E20</f>
        <v>159.49526195420148</v>
      </c>
      <c r="G20" s="425">
        <v>1</v>
      </c>
      <c r="H20" s="426">
        <f t="shared" ref="H20:H25" si="6">G20*C20</f>
        <v>89.495261954201482</v>
      </c>
      <c r="I20" s="426">
        <f t="shared" ref="I20:I25" si="7">G20*F20</f>
        <v>159.49526195420148</v>
      </c>
      <c r="J20" s="423">
        <v>0</v>
      </c>
      <c r="K20" s="428">
        <f>+J20*(60/(L20*1000))</f>
        <v>0</v>
      </c>
      <c r="L20" s="429">
        <v>25</v>
      </c>
      <c r="M20" s="428">
        <f>+J20*(60/(N20*1000))</f>
        <v>0</v>
      </c>
      <c r="N20" s="429">
        <v>35</v>
      </c>
      <c r="O20" s="430">
        <v>5</v>
      </c>
      <c r="P20" s="423">
        <v>1</v>
      </c>
      <c r="Q20" s="430">
        <v>2</v>
      </c>
      <c r="R20" s="431">
        <f>SUM(K20,M20,O20,P20,Q20)</f>
        <v>8</v>
      </c>
      <c r="S20" s="431">
        <f>S19/R20</f>
        <v>7.5</v>
      </c>
      <c r="T20" s="421"/>
      <c r="U20" s="421"/>
      <c r="V20" s="432">
        <v>111</v>
      </c>
    </row>
    <row r="21" spans="1:32" x14ac:dyDescent="0.45">
      <c r="A21">
        <v>5</v>
      </c>
      <c r="B21" s="425" t="s">
        <v>135</v>
      </c>
      <c r="C21" s="426">
        <f>+'Summary Equip'!$Y$39</f>
        <v>65.097674211732354</v>
      </c>
      <c r="D21" s="427">
        <f>+'Summary Equip'!$T$39</f>
        <v>25</v>
      </c>
      <c r="E21" s="426">
        <f t="shared" si="4"/>
        <v>35</v>
      </c>
      <c r="F21" s="426">
        <f t="shared" si="5"/>
        <v>100.09767421173235</v>
      </c>
      <c r="G21" s="433">
        <v>0</v>
      </c>
      <c r="H21" s="426">
        <f t="shared" si="6"/>
        <v>0</v>
      </c>
      <c r="I21" s="426">
        <f t="shared" si="7"/>
        <v>0</v>
      </c>
      <c r="J21" s="642"/>
      <c r="K21" s="642"/>
      <c r="L21" s="642"/>
      <c r="M21" s="642"/>
      <c r="N21" s="642"/>
      <c r="O21" s="642"/>
      <c r="P21" s="660"/>
      <c r="Q21" s="644"/>
      <c r="R21" s="644"/>
      <c r="S21" s="644"/>
      <c r="T21" s="644"/>
      <c r="U21" s="644"/>
      <c r="V21" s="645"/>
    </row>
    <row r="22" spans="1:32" x14ac:dyDescent="0.45">
      <c r="A22">
        <v>12</v>
      </c>
      <c r="B22" s="425" t="s">
        <v>183</v>
      </c>
      <c r="C22" s="426">
        <f>+'Summary Equip'!$Y$40</f>
        <v>63.818130750747699</v>
      </c>
      <c r="D22" s="427">
        <f>+'Summary Equip'!$T$40</f>
        <v>100</v>
      </c>
      <c r="E22" s="426">
        <f t="shared" si="4"/>
        <v>140</v>
      </c>
      <c r="F22" s="426">
        <f t="shared" si="5"/>
        <v>203.81813075074768</v>
      </c>
      <c r="G22" s="425">
        <v>1.1000000000000001</v>
      </c>
      <c r="H22" s="426">
        <f t="shared" si="6"/>
        <v>70.199943825822473</v>
      </c>
      <c r="I22" s="426">
        <f t="shared" si="7"/>
        <v>224.19994382582246</v>
      </c>
      <c r="J22" s="423"/>
      <c r="K22" s="423" t="s">
        <v>184</v>
      </c>
      <c r="L22" s="423" t="s">
        <v>185</v>
      </c>
      <c r="M22" s="423" t="s">
        <v>186</v>
      </c>
      <c r="N22" s="423" t="s">
        <v>187</v>
      </c>
      <c r="O22" s="423" t="s">
        <v>188</v>
      </c>
      <c r="P22" s="646"/>
      <c r="Q22" s="647"/>
      <c r="R22" s="647"/>
      <c r="S22" s="647"/>
      <c r="T22" s="647"/>
      <c r="U22" s="647"/>
      <c r="V22" s="648"/>
      <c r="W22" s="410"/>
    </row>
    <row r="23" spans="1:32" x14ac:dyDescent="0.45">
      <c r="A23">
        <v>11</v>
      </c>
      <c r="B23" s="425" t="s">
        <v>189</v>
      </c>
      <c r="C23" s="426">
        <f>+'Summary Equip'!$Y$41</f>
        <v>36.627256061720999</v>
      </c>
      <c r="D23" s="427">
        <f>+'Summary Equip'!$T$41</f>
        <v>32</v>
      </c>
      <c r="E23" s="426">
        <f t="shared" si="4"/>
        <v>44.8</v>
      </c>
      <c r="F23" s="426">
        <f t="shared" si="5"/>
        <v>81.427256061720996</v>
      </c>
      <c r="G23" s="425">
        <v>0</v>
      </c>
      <c r="H23" s="426">
        <f t="shared" si="6"/>
        <v>0</v>
      </c>
      <c r="I23" s="426">
        <f t="shared" si="7"/>
        <v>0</v>
      </c>
      <c r="J23" s="423" t="str">
        <f>B21</f>
        <v>TONLY TLD90</v>
      </c>
      <c r="K23" s="423">
        <v>60</v>
      </c>
      <c r="L23" s="434">
        <f>+ASSUMPTIONS!$B$53</f>
        <v>1.83</v>
      </c>
      <c r="M23" s="430">
        <f>K23/L23</f>
        <v>32.786885245901637</v>
      </c>
      <c r="N23" s="434"/>
      <c r="O23" s="452">
        <v>32</v>
      </c>
      <c r="P23" s="646"/>
      <c r="Q23" s="647"/>
      <c r="R23" s="647"/>
      <c r="S23" s="647"/>
      <c r="T23" s="647"/>
      <c r="U23" s="647"/>
      <c r="V23" s="648"/>
    </row>
    <row r="24" spans="1:32" x14ac:dyDescent="0.45">
      <c r="B24" s="425" t="s">
        <v>227</v>
      </c>
      <c r="C24" s="426">
        <f>+'Summary Equip'!Y47</f>
        <v>23.436920918820121</v>
      </c>
      <c r="D24" s="427">
        <f>+'Summary Equip'!T47</f>
        <v>18</v>
      </c>
      <c r="E24" s="426">
        <f t="shared" si="4"/>
        <v>25.2</v>
      </c>
      <c r="F24" s="426">
        <f t="shared" si="5"/>
        <v>48.636920918820124</v>
      </c>
      <c r="G24" s="425">
        <v>0.6</v>
      </c>
      <c r="H24" s="426">
        <f t="shared" si="6"/>
        <v>14.062152551292073</v>
      </c>
      <c r="I24" s="426">
        <f t="shared" si="7"/>
        <v>29.182152551292074</v>
      </c>
      <c r="J24" s="423"/>
      <c r="K24" s="423"/>
      <c r="L24" s="434"/>
      <c r="M24" s="430"/>
      <c r="N24" s="434"/>
      <c r="O24" s="452"/>
      <c r="P24" s="646"/>
      <c r="Q24" s="647"/>
      <c r="R24" s="647"/>
      <c r="S24" s="647"/>
      <c r="T24" s="647"/>
      <c r="U24" s="647"/>
      <c r="V24" s="648"/>
      <c r="AC24" s="470"/>
      <c r="AD24" s="470"/>
      <c r="AF24" s="532"/>
    </row>
    <row r="25" spans="1:32" ht="15.75" x14ac:dyDescent="0.5">
      <c r="A25">
        <v>7</v>
      </c>
      <c r="B25" s="425" t="s">
        <v>190</v>
      </c>
      <c r="C25" s="426">
        <f>+'Summary Equip'!$Y$44</f>
        <v>19.578120442289652</v>
      </c>
      <c r="D25" s="427">
        <f>+'Summary Equip'!$T$44</f>
        <v>25</v>
      </c>
      <c r="E25" s="426">
        <f t="shared" si="4"/>
        <v>35</v>
      </c>
      <c r="F25" s="426">
        <f t="shared" si="5"/>
        <v>54.578120442289652</v>
      </c>
      <c r="G25" s="425">
        <v>0</v>
      </c>
      <c r="H25" s="426">
        <f t="shared" si="6"/>
        <v>0</v>
      </c>
      <c r="I25" s="426">
        <f t="shared" si="7"/>
        <v>0</v>
      </c>
      <c r="J25" s="640"/>
      <c r="K25" s="640"/>
      <c r="L25" s="640"/>
      <c r="M25" s="640"/>
      <c r="N25" s="640"/>
      <c r="O25" s="640"/>
      <c r="P25" s="649"/>
      <c r="Q25" s="650"/>
      <c r="R25" s="650"/>
      <c r="S25" s="650"/>
      <c r="T25" s="650"/>
      <c r="U25" s="650"/>
      <c r="V25" s="651"/>
      <c r="W25" s="538" t="s">
        <v>271</v>
      </c>
      <c r="X25" s="624" t="s">
        <v>284</v>
      </c>
      <c r="Y25" s="624"/>
      <c r="Z25" s="624"/>
      <c r="AA25" s="624"/>
      <c r="AC25" s="622" t="s">
        <v>274</v>
      </c>
      <c r="AD25" s="622"/>
      <c r="AE25" s="622" t="s">
        <v>275</v>
      </c>
      <c r="AF25" s="622"/>
    </row>
    <row r="26" spans="1:32" ht="31.5" x14ac:dyDescent="0.45">
      <c r="B26" s="652" t="s">
        <v>28</v>
      </c>
      <c r="C26" s="653"/>
      <c r="D26" s="653"/>
      <c r="E26" s="653"/>
      <c r="F26" s="653"/>
      <c r="G26" s="654"/>
      <c r="H26" s="658">
        <f>SUM(H18:H25)</f>
        <v>173.75735833131603</v>
      </c>
      <c r="I26" s="658">
        <f>SUM(I18:I25)</f>
        <v>412.87735833131597</v>
      </c>
      <c r="J26" s="435" t="s">
        <v>191</v>
      </c>
      <c r="K26" s="436" t="s">
        <v>188</v>
      </c>
      <c r="L26" s="436" t="s">
        <v>181</v>
      </c>
      <c r="M26" s="437" t="s">
        <v>192</v>
      </c>
      <c r="N26" s="438" t="s">
        <v>193</v>
      </c>
      <c r="O26" s="438" t="s">
        <v>194</v>
      </c>
      <c r="P26" s="439" t="s">
        <v>243</v>
      </c>
      <c r="Q26" s="439" t="s">
        <v>57</v>
      </c>
      <c r="R26" s="438" t="s">
        <v>46</v>
      </c>
      <c r="S26" s="440" t="s">
        <v>196</v>
      </c>
      <c r="T26" s="438" t="s">
        <v>197</v>
      </c>
      <c r="U26" s="441" t="s">
        <v>198</v>
      </c>
      <c r="V26" s="442" t="s">
        <v>199</v>
      </c>
      <c r="W26" s="534" t="s">
        <v>236</v>
      </c>
      <c r="X26" s="534" t="s">
        <v>261</v>
      </c>
      <c r="Y26" s="534" t="s">
        <v>236</v>
      </c>
      <c r="Z26" s="534" t="s">
        <v>266</v>
      </c>
      <c r="AA26" s="534" t="s">
        <v>267</v>
      </c>
      <c r="AB26" s="540"/>
      <c r="AC26" s="442" t="s">
        <v>272</v>
      </c>
      <c r="AD26" s="442" t="s">
        <v>200</v>
      </c>
      <c r="AE26" s="442" t="s">
        <v>273</v>
      </c>
      <c r="AF26" s="442" t="s">
        <v>242</v>
      </c>
    </row>
    <row r="27" spans="1:32" ht="15.75" x14ac:dyDescent="0.5">
      <c r="B27" s="655"/>
      <c r="C27" s="656"/>
      <c r="D27" s="656"/>
      <c r="E27" s="656"/>
      <c r="F27" s="656"/>
      <c r="G27" s="657"/>
      <c r="H27" s="658"/>
      <c r="I27" s="658"/>
      <c r="J27" s="443">
        <f>G21</f>
        <v>0</v>
      </c>
      <c r="K27" s="444">
        <v>0</v>
      </c>
      <c r="L27" s="444">
        <v>0</v>
      </c>
      <c r="M27" s="445">
        <v>280</v>
      </c>
      <c r="N27" s="446">
        <f>H26/M27</f>
        <v>0.62056199404041434</v>
      </c>
      <c r="O27" s="446">
        <f>I26/M27</f>
        <v>1.4745619940404142</v>
      </c>
      <c r="P27" s="447">
        <f>O27-N27</f>
        <v>0.85399999999999987</v>
      </c>
      <c r="Q27" s="447">
        <v>1</v>
      </c>
      <c r="R27" s="531">
        <f>ASSUMPTIONS!$B$18</f>
        <v>0.32</v>
      </c>
      <c r="S27" s="448">
        <f>N27/R27</f>
        <v>1.9392562313762949</v>
      </c>
      <c r="T27" s="447">
        <f>+$C$2</f>
        <v>0</v>
      </c>
      <c r="U27" s="449" t="e">
        <f>Q27/T27</f>
        <v>#DIV/0!</v>
      </c>
      <c r="V27" s="450">
        <f>O27*(1+R27)</f>
        <v>1.9464218321333469</v>
      </c>
      <c r="W27" s="535">
        <f>ASSUMPTIONS!$B$17</f>
        <v>4.9222948508092453E-2</v>
      </c>
      <c r="X27" s="539">
        <f>O27</f>
        <v>1.4745619940404142</v>
      </c>
      <c r="Y27" s="539">
        <f>X27*L23</f>
        <v>2.698448449093958</v>
      </c>
      <c r="Z27" s="539">
        <f>X27*ASSUMPTIONS!$B$3</f>
        <v>15.114260438914245</v>
      </c>
      <c r="AA27" s="539">
        <f>Y27*ASSUMPTIONS!$B$3</f>
        <v>27.659096603213069</v>
      </c>
      <c r="AB27" s="119"/>
      <c r="AC27" s="450">
        <f>X30*(1+R27)</f>
        <v>1.9819269097457415</v>
      </c>
      <c r="AD27" s="450">
        <f>Y30*(1+R27)</f>
        <v>3.6269262448347068</v>
      </c>
      <c r="AE27" s="517">
        <f>AC27*ASSUMPTIONS!$B$3</f>
        <v>20.314750824893849</v>
      </c>
      <c r="AF27" s="517">
        <f>AD27*ASSUMPTIONS!$B$3</f>
        <v>37.175994009555744</v>
      </c>
    </row>
    <row r="28" spans="1:32" ht="15.75" x14ac:dyDescent="0.5">
      <c r="B28" s="486"/>
      <c r="C28" s="487"/>
      <c r="D28" s="487"/>
      <c r="E28" s="487"/>
      <c r="F28" s="487"/>
      <c r="G28" s="487"/>
      <c r="H28" s="487"/>
      <c r="I28" s="487"/>
      <c r="J28" s="487"/>
      <c r="K28" s="487"/>
      <c r="L28" s="487"/>
      <c r="M28" s="487"/>
      <c r="N28" s="487"/>
      <c r="O28" s="533"/>
      <c r="P28" s="487"/>
      <c r="Q28" s="487"/>
      <c r="R28" s="487"/>
      <c r="S28" s="487"/>
      <c r="T28" s="487"/>
      <c r="U28" s="487"/>
      <c r="V28" s="488"/>
      <c r="X28" s="624" t="s">
        <v>285</v>
      </c>
      <c r="Y28" s="624"/>
      <c r="Z28" s="624"/>
      <c r="AA28" s="624"/>
      <c r="AB28" s="515"/>
      <c r="AC28" s="515"/>
      <c r="AD28" s="515"/>
      <c r="AE28" s="453"/>
    </row>
    <row r="29" spans="1:32" ht="21" x14ac:dyDescent="0.65">
      <c r="B29" s="639" t="s">
        <v>249</v>
      </c>
      <c r="C29" s="639"/>
      <c r="D29" s="639"/>
      <c r="E29" s="639"/>
      <c r="F29" s="639"/>
      <c r="G29" s="639"/>
      <c r="H29" s="639"/>
      <c r="I29" s="639"/>
      <c r="J29" s="639"/>
      <c r="K29" s="639"/>
      <c r="L29" s="639"/>
      <c r="M29" s="639"/>
      <c r="N29" s="639"/>
      <c r="O29" s="639"/>
      <c r="P29" s="639"/>
      <c r="Q29" s="639"/>
      <c r="R29" s="639"/>
      <c r="S29" s="639"/>
      <c r="T29" s="639"/>
      <c r="U29" s="639"/>
      <c r="V29" s="639"/>
      <c r="X29" s="534" t="s">
        <v>261</v>
      </c>
      <c r="Y29" s="534" t="s">
        <v>236</v>
      </c>
      <c r="Z29" s="534" t="s">
        <v>266</v>
      </c>
      <c r="AA29" s="534" t="s">
        <v>267</v>
      </c>
      <c r="AB29" s="119"/>
      <c r="AC29" s="119"/>
      <c r="AD29" s="119"/>
    </row>
    <row r="30" spans="1:32" ht="15.75" x14ac:dyDescent="0.5">
      <c r="B30" s="640" t="s">
        <v>165</v>
      </c>
      <c r="C30" s="641" t="s">
        <v>166</v>
      </c>
      <c r="D30" s="640" t="s">
        <v>167</v>
      </c>
      <c r="E30" s="422" t="s">
        <v>203</v>
      </c>
      <c r="F30" s="641" t="s">
        <v>169</v>
      </c>
      <c r="G30" s="640" t="s">
        <v>170</v>
      </c>
      <c r="H30" s="640" t="s">
        <v>171</v>
      </c>
      <c r="I30" s="640" t="s">
        <v>172</v>
      </c>
      <c r="J30" s="640" t="s">
        <v>173</v>
      </c>
      <c r="K30" s="640" t="s">
        <v>174</v>
      </c>
      <c r="L30" s="640" t="s">
        <v>175</v>
      </c>
      <c r="M30" s="640" t="s">
        <v>176</v>
      </c>
      <c r="N30" s="640" t="s">
        <v>175</v>
      </c>
      <c r="O30" s="640" t="s">
        <v>177</v>
      </c>
      <c r="P30" s="640" t="s">
        <v>178</v>
      </c>
      <c r="Q30" s="640" t="s">
        <v>179</v>
      </c>
      <c r="R30" s="640" t="s">
        <v>180</v>
      </c>
      <c r="S30" s="423" t="s">
        <v>181</v>
      </c>
      <c r="T30" s="421"/>
      <c r="U30" s="421"/>
      <c r="V30" s="421"/>
      <c r="W30" s="410">
        <f>1-(1/R27)</f>
        <v>-2.125</v>
      </c>
      <c r="X30" s="539">
        <f>X27+(W27/L23)</f>
        <v>1.5014597801104101</v>
      </c>
      <c r="Y30" s="539">
        <f>Y27+W27</f>
        <v>2.7476713976020504</v>
      </c>
      <c r="Z30" s="539">
        <f>X30*ASSUMPTIONS!$B$3</f>
        <v>15.389962746131705</v>
      </c>
      <c r="AA30" s="539">
        <f>Y30*ASSUMPTIONS!$B$3</f>
        <v>28.163631825421017</v>
      </c>
      <c r="AB30" s="410"/>
      <c r="AC30" s="410"/>
      <c r="AD30" s="410"/>
      <c r="AF30" s="410"/>
    </row>
    <row r="31" spans="1:32" x14ac:dyDescent="0.45">
      <c r="B31" s="640"/>
      <c r="C31" s="641"/>
      <c r="D31" s="640"/>
      <c r="E31" s="424">
        <f>+E19</f>
        <v>1.4</v>
      </c>
      <c r="F31" s="641"/>
      <c r="G31" s="640"/>
      <c r="H31" s="640"/>
      <c r="I31" s="640"/>
      <c r="J31" s="640"/>
      <c r="K31" s="640"/>
      <c r="L31" s="640"/>
      <c r="M31" s="640"/>
      <c r="N31" s="640"/>
      <c r="O31" s="640"/>
      <c r="P31" s="640"/>
      <c r="Q31" s="640"/>
      <c r="R31" s="640"/>
      <c r="S31" s="423">
        <v>55</v>
      </c>
      <c r="T31" s="421"/>
      <c r="U31" s="421"/>
      <c r="V31" s="421"/>
    </row>
    <row r="32" spans="1:32" x14ac:dyDescent="0.45">
      <c r="A32">
        <v>2</v>
      </c>
      <c r="B32" s="425" t="s">
        <v>139</v>
      </c>
      <c r="C32" s="426">
        <f>+'Summary Equip'!Y43</f>
        <v>27.152802859182788</v>
      </c>
      <c r="D32" s="427">
        <f>+'Summary Equip'!T43</f>
        <v>43</v>
      </c>
      <c r="E32" s="426">
        <f t="shared" ref="E32:E37" si="8">+D32*$E$7</f>
        <v>60.199999999999996</v>
      </c>
      <c r="F32" s="426">
        <f t="shared" ref="F32:F37" si="9">C32+E32</f>
        <v>87.352802859182788</v>
      </c>
      <c r="G32" s="425">
        <v>0</v>
      </c>
      <c r="H32" s="426">
        <f t="shared" ref="H32:H37" si="10">G32*C32</f>
        <v>0</v>
      </c>
      <c r="I32" s="426">
        <f t="shared" ref="I32:I37" si="11">G32*F32</f>
        <v>0</v>
      </c>
      <c r="J32" s="423">
        <f>6800+(ASSUMPTIONS!B47*0.8)</f>
        <v>7857.1428571428569</v>
      </c>
      <c r="K32" s="428">
        <f>+J32*(60/(L32*1000))</f>
        <v>23.571428571428569</v>
      </c>
      <c r="L32" s="429">
        <v>20</v>
      </c>
      <c r="M32" s="428">
        <f>+J32*(60/(N32*1000))</f>
        <v>13.469387755102039</v>
      </c>
      <c r="N32" s="429">
        <v>35</v>
      </c>
      <c r="O32" s="430">
        <v>0</v>
      </c>
      <c r="P32" s="423">
        <v>0</v>
      </c>
      <c r="Q32" s="430">
        <v>0</v>
      </c>
      <c r="R32" s="431">
        <f>SUM(K32,M32,O32,P32,Q32)</f>
        <v>37.04081632653061</v>
      </c>
      <c r="S32" s="431">
        <f>S31/R32</f>
        <v>1.4848484848484849</v>
      </c>
      <c r="T32" s="421"/>
      <c r="U32" s="421"/>
      <c r="V32" s="432">
        <v>381.54240000000004</v>
      </c>
    </row>
    <row r="33" spans="1:32" x14ac:dyDescent="0.45">
      <c r="A33">
        <v>6</v>
      </c>
      <c r="B33" s="425" t="s">
        <v>136</v>
      </c>
      <c r="C33" s="426">
        <f>+'Summary Equip'!Y37</f>
        <v>20.014413001331896</v>
      </c>
      <c r="D33" s="427">
        <f>+'Summary Equip'!T37</f>
        <v>25</v>
      </c>
      <c r="E33" s="426">
        <f t="shared" si="8"/>
        <v>35</v>
      </c>
      <c r="F33" s="426">
        <f t="shared" si="9"/>
        <v>55.014413001331896</v>
      </c>
      <c r="G33" s="433">
        <v>1</v>
      </c>
      <c r="H33" s="426">
        <f t="shared" si="10"/>
        <v>20.014413001331896</v>
      </c>
      <c r="I33" s="426">
        <f t="shared" si="11"/>
        <v>55.014413001331896</v>
      </c>
      <c r="J33" s="642"/>
      <c r="K33" s="642"/>
      <c r="L33" s="642"/>
      <c r="M33" s="642"/>
      <c r="N33" s="642"/>
      <c r="O33" s="642"/>
      <c r="P33" s="660"/>
      <c r="Q33" s="644"/>
      <c r="R33" s="644"/>
      <c r="S33" s="644"/>
      <c r="T33" s="644"/>
      <c r="U33" s="644"/>
      <c r="V33" s="645"/>
    </row>
    <row r="34" spans="1:32" x14ac:dyDescent="0.45">
      <c r="A34">
        <v>12</v>
      </c>
      <c r="B34" s="425" t="s">
        <v>183</v>
      </c>
      <c r="C34" s="426">
        <f>+'Summary Equip'!Y40</f>
        <v>63.818130750747699</v>
      </c>
      <c r="D34" s="427">
        <f>+'Summary Equip'!T40</f>
        <v>100</v>
      </c>
      <c r="E34" s="426">
        <f t="shared" si="8"/>
        <v>140</v>
      </c>
      <c r="F34" s="426">
        <f t="shared" si="9"/>
        <v>203.81813075074768</v>
      </c>
      <c r="G34" s="425">
        <v>0</v>
      </c>
      <c r="H34" s="426">
        <f t="shared" si="10"/>
        <v>0</v>
      </c>
      <c r="I34" s="426">
        <f t="shared" si="11"/>
        <v>0</v>
      </c>
      <c r="J34" s="423"/>
      <c r="K34" s="423" t="s">
        <v>184</v>
      </c>
      <c r="L34" s="423" t="s">
        <v>185</v>
      </c>
      <c r="M34" s="423" t="s">
        <v>186</v>
      </c>
      <c r="N34" s="423" t="s">
        <v>187</v>
      </c>
      <c r="O34" s="423" t="s">
        <v>188</v>
      </c>
      <c r="P34" s="646"/>
      <c r="Q34" s="647"/>
      <c r="R34" s="647"/>
      <c r="S34" s="647"/>
      <c r="T34" s="647"/>
      <c r="U34" s="647"/>
      <c r="V34" s="648"/>
    </row>
    <row r="35" spans="1:32" x14ac:dyDescent="0.45">
      <c r="A35">
        <v>11</v>
      </c>
      <c r="B35" s="425" t="s">
        <v>189</v>
      </c>
      <c r="C35" s="426">
        <f>+'Summary Equip'!Y41</f>
        <v>36.627256061720999</v>
      </c>
      <c r="D35" s="427">
        <f>+'Summary Equip'!$T$41</f>
        <v>32</v>
      </c>
      <c r="E35" s="426">
        <f t="shared" si="8"/>
        <v>44.8</v>
      </c>
      <c r="F35" s="426">
        <f t="shared" si="9"/>
        <v>81.427256061720996</v>
      </c>
      <c r="G35" s="425">
        <v>0.4</v>
      </c>
      <c r="H35" s="426">
        <f t="shared" si="10"/>
        <v>14.6509024246884</v>
      </c>
      <c r="I35" s="426">
        <f t="shared" si="11"/>
        <v>32.570902424688398</v>
      </c>
      <c r="J35" s="423" t="str">
        <f>B33</f>
        <v>MERC 8X4</v>
      </c>
      <c r="K35" s="423">
        <v>32</v>
      </c>
      <c r="L35" s="434">
        <f>+ASSUMPTIONS!$B$53</f>
        <v>1.83</v>
      </c>
      <c r="M35" s="430">
        <f>K35/L35</f>
        <v>17.486338797814206</v>
      </c>
      <c r="N35" s="434">
        <v>1</v>
      </c>
      <c r="O35" s="430">
        <f>M35*N35</f>
        <v>17.486338797814206</v>
      </c>
      <c r="P35" s="646"/>
      <c r="Q35" s="647"/>
      <c r="R35" s="647"/>
      <c r="S35" s="647"/>
      <c r="T35" s="647"/>
      <c r="U35" s="647"/>
      <c r="V35" s="648"/>
      <c r="AC35" s="620"/>
      <c r="AD35" s="620"/>
      <c r="AF35" s="537"/>
    </row>
    <row r="36" spans="1:32" ht="15.75" x14ac:dyDescent="0.5">
      <c r="A36">
        <v>7</v>
      </c>
      <c r="B36" s="425" t="s">
        <v>190</v>
      </c>
      <c r="C36" s="426">
        <f>+'Summary Equip'!Y44</f>
        <v>19.578120442289652</v>
      </c>
      <c r="D36" s="427">
        <f>+'Summary Equip'!$T$44</f>
        <v>25</v>
      </c>
      <c r="E36" s="426">
        <f t="shared" si="8"/>
        <v>35</v>
      </c>
      <c r="F36" s="426">
        <f t="shared" si="9"/>
        <v>54.578120442289652</v>
      </c>
      <c r="G36" s="425">
        <v>0.9</v>
      </c>
      <c r="H36" s="426">
        <f t="shared" si="10"/>
        <v>17.620308398060686</v>
      </c>
      <c r="I36" s="426">
        <f t="shared" si="11"/>
        <v>49.120308398060686</v>
      </c>
      <c r="J36" s="640"/>
      <c r="K36" s="640"/>
      <c r="L36" s="640"/>
      <c r="M36" s="640"/>
      <c r="N36" s="640"/>
      <c r="O36" s="640"/>
      <c r="P36" s="649"/>
      <c r="Q36" s="650"/>
      <c r="R36" s="650"/>
      <c r="S36" s="650"/>
      <c r="T36" s="650"/>
      <c r="U36" s="650"/>
      <c r="V36" s="651"/>
      <c r="W36" s="538" t="s">
        <v>271</v>
      </c>
      <c r="X36" s="624" t="s">
        <v>284</v>
      </c>
      <c r="Y36" s="624"/>
      <c r="Z36" s="624"/>
      <c r="AA36" s="624"/>
      <c r="AC36" s="622" t="s">
        <v>274</v>
      </c>
      <c r="AD36" s="622"/>
      <c r="AE36" s="622" t="s">
        <v>275</v>
      </c>
      <c r="AF36" s="622"/>
    </row>
    <row r="37" spans="1:32" ht="15.75" x14ac:dyDescent="0.5">
      <c r="B37" s="563" t="s">
        <v>301</v>
      </c>
      <c r="C37" s="564">
        <f>'Summary Equip'!Y42</f>
        <v>30.771081896796723</v>
      </c>
      <c r="D37" s="565">
        <f>'Summary Equip'!T42</f>
        <v>13</v>
      </c>
      <c r="E37" s="426">
        <f t="shared" si="8"/>
        <v>18.2</v>
      </c>
      <c r="F37" s="426">
        <f t="shared" si="9"/>
        <v>48.971081896796719</v>
      </c>
      <c r="G37" s="566">
        <v>0.5</v>
      </c>
      <c r="H37" s="567">
        <f t="shared" si="10"/>
        <v>15.385540948398361</v>
      </c>
      <c r="I37" s="567">
        <f t="shared" si="11"/>
        <v>24.485540948398359</v>
      </c>
      <c r="J37" s="568"/>
      <c r="K37" s="568"/>
      <c r="L37" s="568"/>
      <c r="M37" s="568"/>
      <c r="N37" s="568"/>
      <c r="O37" s="568"/>
      <c r="P37" s="559"/>
      <c r="Q37" s="560"/>
      <c r="R37" s="560"/>
      <c r="S37" s="560"/>
      <c r="T37" s="560"/>
      <c r="U37" s="560"/>
      <c r="V37" s="561"/>
      <c r="W37" s="538"/>
      <c r="X37" s="558"/>
      <c r="Y37" s="558"/>
      <c r="Z37" s="558"/>
      <c r="AA37" s="558"/>
      <c r="AC37" s="538"/>
      <c r="AD37" s="538"/>
      <c r="AE37" s="538"/>
      <c r="AF37" s="538"/>
    </row>
    <row r="38" spans="1:32" ht="31.5" x14ac:dyDescent="0.45">
      <c r="B38" s="652" t="s">
        <v>28</v>
      </c>
      <c r="C38" s="653"/>
      <c r="D38" s="653"/>
      <c r="E38" s="653"/>
      <c r="F38" s="653"/>
      <c r="G38" s="654"/>
      <c r="H38" s="658">
        <f>SUM(H30:H37)</f>
        <v>67.671164772479344</v>
      </c>
      <c r="I38" s="658">
        <f>SUM(I30:I37)</f>
        <v>161.19116477247934</v>
      </c>
      <c r="J38" s="435" t="s">
        <v>191</v>
      </c>
      <c r="K38" s="436" t="s">
        <v>188</v>
      </c>
      <c r="L38" s="436" t="s">
        <v>181</v>
      </c>
      <c r="M38" s="437" t="s">
        <v>192</v>
      </c>
      <c r="N38" s="438" t="s">
        <v>193</v>
      </c>
      <c r="O38" s="438" t="s">
        <v>194</v>
      </c>
      <c r="P38" s="439" t="s">
        <v>195</v>
      </c>
      <c r="Q38" s="439" t="s">
        <v>57</v>
      </c>
      <c r="R38" s="438" t="s">
        <v>46</v>
      </c>
      <c r="S38" s="440" t="s">
        <v>196</v>
      </c>
      <c r="T38" s="438" t="s">
        <v>197</v>
      </c>
      <c r="U38" s="441" t="s">
        <v>198</v>
      </c>
      <c r="V38" s="442" t="s">
        <v>199</v>
      </c>
      <c r="W38" s="534" t="s">
        <v>236</v>
      </c>
      <c r="X38" s="534" t="s">
        <v>261</v>
      </c>
      <c r="Y38" s="534" t="s">
        <v>236</v>
      </c>
      <c r="Z38" s="534" t="s">
        <v>266</v>
      </c>
      <c r="AA38" s="534" t="s">
        <v>267</v>
      </c>
      <c r="AB38" s="540"/>
      <c r="AC38" s="442" t="s">
        <v>272</v>
      </c>
      <c r="AD38" s="442" t="s">
        <v>200</v>
      </c>
      <c r="AE38" s="442" t="s">
        <v>273</v>
      </c>
      <c r="AF38" s="442" t="s">
        <v>242</v>
      </c>
    </row>
    <row r="39" spans="1:32" ht="15.75" x14ac:dyDescent="0.5">
      <c r="B39" s="655"/>
      <c r="C39" s="656"/>
      <c r="D39" s="656"/>
      <c r="E39" s="656"/>
      <c r="F39" s="656"/>
      <c r="G39" s="657"/>
      <c r="H39" s="658"/>
      <c r="I39" s="658"/>
      <c r="J39" s="443">
        <f>+G33</f>
        <v>1</v>
      </c>
      <c r="K39" s="444">
        <f>O35</f>
        <v>17.486338797814206</v>
      </c>
      <c r="L39" s="444">
        <f>+S32</f>
        <v>1.4848484848484849</v>
      </c>
      <c r="M39" s="445">
        <f>J39*K39*L39</f>
        <v>25.964563669481699</v>
      </c>
      <c r="N39" s="446">
        <f>H38/M39</f>
        <v>2.6062893116135384</v>
      </c>
      <c r="O39" s="446">
        <f>I38/M39</f>
        <v>6.2081214544706818</v>
      </c>
      <c r="P39" s="447">
        <f>O39-N39</f>
        <v>3.6018321428571434</v>
      </c>
      <c r="Q39" s="447">
        <v>1</v>
      </c>
      <c r="R39" s="531">
        <f>ASSUMPTIONS!$B$18</f>
        <v>0.32</v>
      </c>
      <c r="S39" s="448">
        <f>N39/R39</f>
        <v>8.1446540987923068</v>
      </c>
      <c r="T39" s="447">
        <f>+$C$2</f>
        <v>0</v>
      </c>
      <c r="U39" s="449" t="e">
        <f>Q39/T39</f>
        <v>#DIV/0!</v>
      </c>
      <c r="V39" s="450">
        <f>O39*(1+R39)</f>
        <v>8.1947203199013003</v>
      </c>
      <c r="W39" s="535">
        <f>ASSUMPTIONS!$B$17</f>
        <v>4.9222948508092453E-2</v>
      </c>
      <c r="X39" s="539">
        <f>O39</f>
        <v>6.2081214544706818</v>
      </c>
      <c r="Y39" s="539">
        <f>X39*L35</f>
        <v>11.360862261681348</v>
      </c>
      <c r="Z39" s="539">
        <f>X39*ASSUMPTIONS!$B$3</f>
        <v>63.633244908324485</v>
      </c>
      <c r="AA39" s="539">
        <f>Y39*ASSUMPTIONS!$B$3</f>
        <v>116.44883818223381</v>
      </c>
      <c r="AB39" s="119"/>
      <c r="AC39" s="450">
        <f>X42*(1+R39)</f>
        <v>8.2302253975136939</v>
      </c>
      <c r="AD39" s="450">
        <f>Y42*(1+R39)</f>
        <v>15.061312477450061</v>
      </c>
      <c r="AE39" s="517">
        <f>AC39*ASSUMPTIONS!$B$3</f>
        <v>84.359810324515365</v>
      </c>
      <c r="AF39" s="517">
        <f>AD39*ASSUMPTIONS!$B$3</f>
        <v>154.37845289386311</v>
      </c>
    </row>
    <row r="40" spans="1:32" ht="15.75" x14ac:dyDescent="0.5">
      <c r="X40" s="624" t="s">
        <v>285</v>
      </c>
      <c r="Y40" s="624"/>
      <c r="Z40" s="624"/>
      <c r="AA40" s="624"/>
      <c r="AF40" s="515"/>
    </row>
    <row r="41" spans="1:32" ht="21" x14ac:dyDescent="0.65">
      <c r="B41" s="659" t="s">
        <v>250</v>
      </c>
      <c r="C41" s="659"/>
      <c r="D41" s="659"/>
      <c r="E41" s="659"/>
      <c r="F41" s="659"/>
      <c r="G41" s="659"/>
      <c r="H41" s="659"/>
      <c r="I41" s="659"/>
      <c r="J41" s="659"/>
      <c r="K41" s="659"/>
      <c r="L41" s="659"/>
      <c r="M41" s="659"/>
      <c r="N41" s="659"/>
      <c r="O41" s="659"/>
      <c r="P41" s="659"/>
      <c r="Q41" s="659"/>
      <c r="R41" s="659"/>
      <c r="S41" s="659"/>
      <c r="T41" s="659"/>
      <c r="U41" s="659"/>
      <c r="V41" s="659"/>
      <c r="X41" s="534" t="s">
        <v>261</v>
      </c>
      <c r="Y41" s="534" t="s">
        <v>236</v>
      </c>
      <c r="Z41" s="534" t="s">
        <v>266</v>
      </c>
      <c r="AA41" s="534" t="s">
        <v>267</v>
      </c>
    </row>
    <row r="42" spans="1:32" ht="15.75" x14ac:dyDescent="0.5">
      <c r="B42" s="640" t="s">
        <v>165</v>
      </c>
      <c r="C42" s="641" t="s">
        <v>166</v>
      </c>
      <c r="D42" s="640" t="s">
        <v>167</v>
      </c>
      <c r="E42" s="422" t="s">
        <v>203</v>
      </c>
      <c r="F42" s="641" t="s">
        <v>169</v>
      </c>
      <c r="G42" s="640" t="s">
        <v>170</v>
      </c>
      <c r="H42" s="640" t="s">
        <v>171</v>
      </c>
      <c r="I42" s="640" t="s">
        <v>172</v>
      </c>
      <c r="J42" s="640" t="s">
        <v>173</v>
      </c>
      <c r="K42" s="640" t="s">
        <v>174</v>
      </c>
      <c r="L42" s="640" t="s">
        <v>175</v>
      </c>
      <c r="M42" s="640" t="s">
        <v>176</v>
      </c>
      <c r="N42" s="640" t="s">
        <v>175</v>
      </c>
      <c r="O42" s="640" t="s">
        <v>177</v>
      </c>
      <c r="P42" s="640" t="s">
        <v>178</v>
      </c>
      <c r="Q42" s="640" t="s">
        <v>179</v>
      </c>
      <c r="R42" s="640" t="s">
        <v>180</v>
      </c>
      <c r="S42" s="423" t="s">
        <v>181</v>
      </c>
      <c r="T42" s="421"/>
      <c r="U42" s="421"/>
      <c r="V42" s="421"/>
      <c r="X42" s="539">
        <f>X39+(W39/L35)</f>
        <v>6.2350192405406775</v>
      </c>
      <c r="Y42" s="539">
        <f>Y39+W39</f>
        <v>11.41008521018944</v>
      </c>
      <c r="Z42" s="539">
        <f>X42*ASSUMPTIONS!$B$3</f>
        <v>63.908947215541943</v>
      </c>
      <c r="AA42" s="539">
        <f>Y42*ASSUMPTIONS!$B$3</f>
        <v>116.95337340444176</v>
      </c>
    </row>
    <row r="43" spans="1:32" x14ac:dyDescent="0.45">
      <c r="B43" s="640"/>
      <c r="C43" s="641"/>
      <c r="D43" s="640"/>
      <c r="E43" s="424" t="str">
        <f>+E30</f>
        <v>Fuel R</v>
      </c>
      <c r="F43" s="641"/>
      <c r="G43" s="640"/>
      <c r="H43" s="640"/>
      <c r="I43" s="640"/>
      <c r="J43" s="640"/>
      <c r="K43" s="640"/>
      <c r="L43" s="640"/>
      <c r="M43" s="640"/>
      <c r="N43" s="640"/>
      <c r="O43" s="640"/>
      <c r="P43" s="640"/>
      <c r="Q43" s="640"/>
      <c r="R43" s="640"/>
      <c r="S43" s="423">
        <v>60</v>
      </c>
      <c r="T43" s="421"/>
      <c r="U43" s="421"/>
      <c r="V43" s="421"/>
    </row>
    <row r="44" spans="1:32" x14ac:dyDescent="0.45">
      <c r="B44" s="425" t="s">
        <v>139</v>
      </c>
      <c r="C44" s="426">
        <f>+'Summary Equip'!Y43</f>
        <v>27.152802859182788</v>
      </c>
      <c r="D44" s="427">
        <f>+'Summary Equip'!T43</f>
        <v>43</v>
      </c>
      <c r="E44" s="426">
        <f>+D44*$E$7</f>
        <v>60.199999999999996</v>
      </c>
      <c r="F44" s="426">
        <f>C44+E44</f>
        <v>87.352802859182788</v>
      </c>
      <c r="G44" s="425">
        <v>0</v>
      </c>
      <c r="H44" s="426">
        <f>G44*C44</f>
        <v>0</v>
      </c>
      <c r="I44" s="426">
        <f>G44*F44</f>
        <v>0</v>
      </c>
      <c r="J44" s="423">
        <f>2000+ASSUMPTIONS!B47</f>
        <v>3321.4285714285716</v>
      </c>
      <c r="K44" s="428">
        <f>+J44*(60/(L44*1000))</f>
        <v>7.9714285714285706</v>
      </c>
      <c r="L44" s="429">
        <v>25</v>
      </c>
      <c r="M44" s="428">
        <f>+J44*(60/(N44*1000))</f>
        <v>5.6938775510204085</v>
      </c>
      <c r="N44" s="429">
        <v>35</v>
      </c>
      <c r="O44" s="430">
        <v>0</v>
      </c>
      <c r="P44" s="423">
        <v>0</v>
      </c>
      <c r="Q44" s="430">
        <v>1</v>
      </c>
      <c r="R44" s="431">
        <f>SUM(K44,M44,O44,P44,Q44)</f>
        <v>14.665306122448978</v>
      </c>
      <c r="S44" s="431">
        <f>S43/R44</f>
        <v>4.0912886167548015</v>
      </c>
      <c r="T44" s="421"/>
      <c r="U44" s="421"/>
      <c r="V44" s="432">
        <v>552.26880000000006</v>
      </c>
    </row>
    <row r="45" spans="1:32" x14ac:dyDescent="0.45">
      <c r="B45" s="425" t="s">
        <v>135</v>
      </c>
      <c r="C45" s="426">
        <f>+'Summary Equip'!Y39</f>
        <v>65.097674211732354</v>
      </c>
      <c r="D45" s="427">
        <f>+'Summary Equip'!T39</f>
        <v>25</v>
      </c>
      <c r="E45" s="426">
        <f>+D45*$E$7</f>
        <v>35</v>
      </c>
      <c r="F45" s="426">
        <f>C45+E45</f>
        <v>100.09767421173235</v>
      </c>
      <c r="G45" s="433">
        <v>1</v>
      </c>
      <c r="H45" s="426">
        <f>G45*C45</f>
        <v>65.097674211732354</v>
      </c>
      <c r="I45" s="426">
        <f>G45*F45</f>
        <v>100.09767421173235</v>
      </c>
      <c r="J45" s="642"/>
      <c r="K45" s="642"/>
      <c r="L45" s="642"/>
      <c r="M45" s="642"/>
      <c r="N45" s="642"/>
      <c r="O45" s="642"/>
      <c r="P45" s="660"/>
      <c r="Q45" s="644"/>
      <c r="R45" s="644"/>
      <c r="S45" s="644"/>
      <c r="T45" s="644"/>
      <c r="U45" s="644"/>
      <c r="V45" s="645"/>
    </row>
    <row r="46" spans="1:32" x14ac:dyDescent="0.45">
      <c r="B46" s="425" t="s">
        <v>183</v>
      </c>
      <c r="C46" s="426">
        <f>+'Summary Equip'!Y40</f>
        <v>63.818130750747699</v>
      </c>
      <c r="D46" s="427">
        <f>+'Summary Equip'!T40</f>
        <v>100</v>
      </c>
      <c r="E46" s="426">
        <f>+D46*$E$7</f>
        <v>140</v>
      </c>
      <c r="F46" s="426">
        <f>C46+E46</f>
        <v>203.81813075074768</v>
      </c>
      <c r="G46" s="425">
        <v>0</v>
      </c>
      <c r="H46" s="426">
        <f>G46*C46</f>
        <v>0</v>
      </c>
      <c r="I46" s="426">
        <f>G46*F46</f>
        <v>0</v>
      </c>
      <c r="J46" s="423"/>
      <c r="K46" s="423" t="s">
        <v>184</v>
      </c>
      <c r="L46" s="423" t="s">
        <v>185</v>
      </c>
      <c r="M46" s="423" t="s">
        <v>186</v>
      </c>
      <c r="N46" s="423" t="s">
        <v>187</v>
      </c>
      <c r="O46" s="423" t="s">
        <v>188</v>
      </c>
      <c r="P46" s="646"/>
      <c r="Q46" s="647"/>
      <c r="R46" s="647"/>
      <c r="S46" s="647"/>
      <c r="T46" s="647"/>
      <c r="U46" s="647"/>
      <c r="V46" s="648"/>
    </row>
    <row r="47" spans="1:32" x14ac:dyDescent="0.45">
      <c r="B47" s="425" t="s">
        <v>189</v>
      </c>
      <c r="C47" s="426">
        <f>+'Summary Equip'!Y41</f>
        <v>36.627256061720999</v>
      </c>
      <c r="D47" s="427">
        <f>+'Summary Equip'!T41</f>
        <v>32</v>
      </c>
      <c r="E47" s="426">
        <f>+D47*$E$7</f>
        <v>44.8</v>
      </c>
      <c r="F47" s="426">
        <f>C47+E47</f>
        <v>81.427256061720996</v>
      </c>
      <c r="G47" s="425">
        <v>0.05</v>
      </c>
      <c r="H47" s="426">
        <f>G47*C47</f>
        <v>1.83136280308605</v>
      </c>
      <c r="I47" s="426">
        <f>G47*F47</f>
        <v>4.0713628030860498</v>
      </c>
      <c r="J47" s="423" t="str">
        <f>B45</f>
        <v>TONLY TLD90</v>
      </c>
      <c r="K47" s="423">
        <v>60</v>
      </c>
      <c r="L47" s="434">
        <f>+ASSUMPTIONS!$B$53</f>
        <v>1.83</v>
      </c>
      <c r="M47" s="430">
        <v>43</v>
      </c>
      <c r="N47" s="434">
        <v>1</v>
      </c>
      <c r="O47" s="430">
        <f>M47*N47</f>
        <v>43</v>
      </c>
      <c r="P47" s="646"/>
      <c r="Q47" s="647"/>
      <c r="R47" s="647"/>
      <c r="S47" s="647"/>
      <c r="T47" s="647"/>
      <c r="U47" s="647"/>
      <c r="V47" s="648"/>
      <c r="AF47" s="537"/>
    </row>
    <row r="48" spans="1:32" ht="15.75" x14ac:dyDescent="0.5">
      <c r="B48" s="425" t="s">
        <v>190</v>
      </c>
      <c r="C48" s="426">
        <f>+'Summary Equip'!Y44</f>
        <v>19.578120442289652</v>
      </c>
      <c r="D48" s="427">
        <f>+'Summary Equip'!$T$44</f>
        <v>25</v>
      </c>
      <c r="E48" s="426">
        <f>+D48*$E$7</f>
        <v>35</v>
      </c>
      <c r="F48" s="426">
        <f>C48+E48</f>
        <v>54.578120442289652</v>
      </c>
      <c r="G48" s="425">
        <v>0.1</v>
      </c>
      <c r="H48" s="426">
        <f>G48*C48</f>
        <v>1.9578120442289653</v>
      </c>
      <c r="I48" s="426">
        <f>G48*F48</f>
        <v>5.4578120442289659</v>
      </c>
      <c r="J48" s="640"/>
      <c r="K48" s="640"/>
      <c r="L48" s="640"/>
      <c r="M48" s="640"/>
      <c r="N48" s="640"/>
      <c r="O48" s="640"/>
      <c r="P48" s="649"/>
      <c r="Q48" s="650"/>
      <c r="R48" s="650"/>
      <c r="S48" s="650"/>
      <c r="T48" s="650"/>
      <c r="U48" s="650"/>
      <c r="V48" s="651"/>
      <c r="W48" s="538" t="s">
        <v>271</v>
      </c>
      <c r="X48" s="624" t="s">
        <v>284</v>
      </c>
      <c r="Y48" s="624"/>
      <c r="Z48" s="624"/>
      <c r="AA48" s="624"/>
      <c r="AC48" s="622" t="s">
        <v>274</v>
      </c>
      <c r="AD48" s="622"/>
      <c r="AE48" s="622" t="s">
        <v>275</v>
      </c>
      <c r="AF48" s="622"/>
    </row>
    <row r="49" spans="2:32" ht="31.5" x14ac:dyDescent="0.45">
      <c r="B49" s="652" t="s">
        <v>28</v>
      </c>
      <c r="C49" s="653"/>
      <c r="D49" s="653"/>
      <c r="E49" s="653"/>
      <c r="F49" s="653"/>
      <c r="G49" s="654"/>
      <c r="H49" s="658">
        <f>SUM(H42:H48)</f>
        <v>68.886849059047364</v>
      </c>
      <c r="I49" s="658">
        <f>SUM(I42:I48)</f>
        <v>109.62684905904737</v>
      </c>
      <c r="J49" s="435" t="s">
        <v>191</v>
      </c>
      <c r="K49" s="436" t="s">
        <v>188</v>
      </c>
      <c r="L49" s="436" t="s">
        <v>181</v>
      </c>
      <c r="M49" s="437" t="s">
        <v>192</v>
      </c>
      <c r="N49" s="438" t="s">
        <v>193</v>
      </c>
      <c r="O49" s="438" t="s">
        <v>194</v>
      </c>
      <c r="P49" s="439" t="s">
        <v>195</v>
      </c>
      <c r="Q49" s="439" t="s">
        <v>57</v>
      </c>
      <c r="R49" s="438" t="s">
        <v>46</v>
      </c>
      <c r="S49" s="440" t="s">
        <v>196</v>
      </c>
      <c r="T49" s="438" t="s">
        <v>197</v>
      </c>
      <c r="U49" s="441" t="s">
        <v>198</v>
      </c>
      <c r="V49" s="442" t="s">
        <v>199</v>
      </c>
      <c r="W49" s="534" t="s">
        <v>236</v>
      </c>
      <c r="X49" s="534" t="s">
        <v>261</v>
      </c>
      <c r="Y49" s="534" t="s">
        <v>236</v>
      </c>
      <c r="Z49" s="534" t="s">
        <v>266</v>
      </c>
      <c r="AA49" s="534" t="s">
        <v>267</v>
      </c>
      <c r="AB49" s="540"/>
      <c r="AC49" s="442" t="s">
        <v>272</v>
      </c>
      <c r="AD49" s="442" t="s">
        <v>200</v>
      </c>
      <c r="AE49" s="442" t="s">
        <v>273</v>
      </c>
      <c r="AF49" s="442" t="s">
        <v>242</v>
      </c>
    </row>
    <row r="50" spans="2:32" ht="15.75" x14ac:dyDescent="0.5">
      <c r="B50" s="655"/>
      <c r="C50" s="656"/>
      <c r="D50" s="656"/>
      <c r="E50" s="656"/>
      <c r="F50" s="656"/>
      <c r="G50" s="657"/>
      <c r="H50" s="658"/>
      <c r="I50" s="658"/>
      <c r="J50" s="443">
        <f>+G45</f>
        <v>1</v>
      </c>
      <c r="K50" s="444">
        <f>O47</f>
        <v>43</v>
      </c>
      <c r="L50" s="444">
        <f>+S44</f>
        <v>4.0912886167548015</v>
      </c>
      <c r="M50" s="445">
        <f>J50*K50*L50</f>
        <v>175.92541052045647</v>
      </c>
      <c r="N50" s="446">
        <f>H49/M50</f>
        <v>0.39156849971390151</v>
      </c>
      <c r="O50" s="446">
        <f>I49/M50</f>
        <v>0.62314391499629351</v>
      </c>
      <c r="P50" s="447">
        <f>O50-N50</f>
        <v>0.23157541528239201</v>
      </c>
      <c r="Q50" s="447">
        <v>1</v>
      </c>
      <c r="R50" s="531">
        <f>ASSUMPTIONS!$B$18</f>
        <v>0.32</v>
      </c>
      <c r="S50" s="448">
        <f>N50/R50</f>
        <v>1.2236515616059422</v>
      </c>
      <c r="T50" s="447">
        <f>+$C$2</f>
        <v>0</v>
      </c>
      <c r="U50" s="449" t="e">
        <f>Q50/T50</f>
        <v>#DIV/0!</v>
      </c>
      <c r="V50" s="450">
        <f>O50*(1+R50)</f>
        <v>0.82254996779510747</v>
      </c>
      <c r="W50" s="535">
        <f>ASSUMPTIONS!$B$17</f>
        <v>4.9222948508092453E-2</v>
      </c>
      <c r="X50" s="539">
        <f>O50</f>
        <v>0.62314391499629351</v>
      </c>
      <c r="Y50" s="539">
        <f>X50*L47</f>
        <v>1.1403533644432171</v>
      </c>
      <c r="Z50" s="539">
        <f>X50*ASSUMPTIONS!$B$3</f>
        <v>6.3872251287120081</v>
      </c>
      <c r="AA50" s="539">
        <f>Y50*ASSUMPTIONS!$B$3</f>
        <v>11.688621985542975</v>
      </c>
      <c r="AB50" s="119"/>
      <c r="AC50" s="450">
        <f>X61*(1+R50)</f>
        <v>0.85805504540750199</v>
      </c>
      <c r="AD50" s="450">
        <f>Y61*(1+R50)</f>
        <v>1.5702407330957286</v>
      </c>
      <c r="AE50" s="517">
        <f>AC50*ASSUMPTIONS!$B$3</f>
        <v>8.7950642154268959</v>
      </c>
      <c r="AF50" s="517">
        <f>AD50*ASSUMPTIONS!$B$3</f>
        <v>16.094967514231218</v>
      </c>
    </row>
    <row r="51" spans="2:32" ht="15.75" x14ac:dyDescent="0.5">
      <c r="B51" s="486"/>
      <c r="C51" s="487"/>
      <c r="D51" s="487"/>
      <c r="E51" s="487"/>
      <c r="F51" s="487"/>
      <c r="G51" s="487"/>
      <c r="H51" s="487"/>
      <c r="I51" s="487"/>
      <c r="J51" s="487"/>
      <c r="K51" s="487"/>
      <c r="L51" s="487"/>
      <c r="M51" s="487"/>
      <c r="N51" s="487"/>
      <c r="O51" s="487"/>
      <c r="P51" s="487"/>
      <c r="Q51" s="487"/>
      <c r="R51" s="487"/>
      <c r="S51" s="487"/>
      <c r="T51" s="487"/>
      <c r="U51" s="487"/>
      <c r="V51" s="488"/>
      <c r="X51" s="624" t="s">
        <v>285</v>
      </c>
      <c r="Y51" s="624"/>
      <c r="Z51" s="624"/>
      <c r="AA51" s="624"/>
      <c r="AE51" s="119"/>
    </row>
    <row r="52" spans="2:32" ht="15.75" x14ac:dyDescent="0.45">
      <c r="B52" s="536"/>
      <c r="C52" s="536"/>
      <c r="D52" s="536"/>
      <c r="E52" s="536"/>
      <c r="F52" s="536"/>
      <c r="G52" s="536"/>
      <c r="H52" s="536"/>
      <c r="I52" s="536"/>
      <c r="J52" s="536"/>
      <c r="K52" s="536"/>
      <c r="L52" s="536"/>
      <c r="M52" s="536"/>
      <c r="N52" s="536"/>
      <c r="O52" s="536"/>
      <c r="P52" s="536"/>
      <c r="Q52" s="536"/>
      <c r="R52" s="536"/>
      <c r="S52" s="536"/>
      <c r="T52" s="536"/>
      <c r="U52" s="536"/>
      <c r="V52" s="536"/>
      <c r="X52" s="534" t="s">
        <v>261</v>
      </c>
      <c r="Y52" s="534" t="s">
        <v>236</v>
      </c>
      <c r="Z52" s="534" t="s">
        <v>266</v>
      </c>
      <c r="AA52" s="534" t="s">
        <v>267</v>
      </c>
      <c r="AE52" s="119"/>
    </row>
    <row r="53" spans="2:32" ht="15.75" x14ac:dyDescent="0.45">
      <c r="B53" s="536"/>
      <c r="C53" s="536"/>
      <c r="D53" s="536"/>
      <c r="E53" s="536"/>
      <c r="F53" s="536"/>
      <c r="G53" s="536"/>
      <c r="H53" s="536"/>
      <c r="I53" s="536"/>
      <c r="J53" s="536"/>
      <c r="K53" s="536"/>
      <c r="L53" s="536"/>
      <c r="M53" s="536"/>
      <c r="N53" s="536"/>
      <c r="O53" s="536"/>
      <c r="P53" s="536"/>
      <c r="Q53" s="536"/>
      <c r="R53" s="536"/>
      <c r="S53" s="536"/>
      <c r="T53" s="536"/>
      <c r="U53" s="536"/>
      <c r="V53" s="536"/>
      <c r="X53" s="534"/>
      <c r="Y53" s="534"/>
      <c r="Z53" s="534"/>
      <c r="AA53" s="534"/>
      <c r="AE53" s="119"/>
    </row>
    <row r="54" spans="2:32" ht="15.75" x14ac:dyDescent="0.45">
      <c r="B54" s="536"/>
      <c r="C54" s="536"/>
      <c r="D54" s="536"/>
      <c r="E54" s="536"/>
      <c r="F54" s="536"/>
      <c r="G54" s="536"/>
      <c r="H54" s="536"/>
      <c r="I54" s="536"/>
      <c r="J54" s="536"/>
      <c r="K54" s="536"/>
      <c r="L54" s="536"/>
      <c r="M54" s="536"/>
      <c r="N54" s="536"/>
      <c r="O54" s="536"/>
      <c r="P54" s="536"/>
      <c r="Q54" s="536"/>
      <c r="R54" s="536"/>
      <c r="S54" s="536"/>
      <c r="T54" s="536"/>
      <c r="U54" s="536"/>
      <c r="V54" s="536"/>
      <c r="X54" s="534"/>
      <c r="Y54" s="534"/>
      <c r="Z54" s="534"/>
      <c r="AA54" s="534"/>
      <c r="AE54" s="119"/>
    </row>
    <row r="55" spans="2:32" ht="15.75" x14ac:dyDescent="0.45">
      <c r="B55" s="536"/>
      <c r="C55" s="536"/>
      <c r="D55" s="536"/>
      <c r="E55" s="536"/>
      <c r="F55" s="536"/>
      <c r="G55" s="536"/>
      <c r="H55" s="536"/>
      <c r="I55" s="536"/>
      <c r="J55" s="536"/>
      <c r="K55" s="536"/>
      <c r="L55" s="536"/>
      <c r="M55" s="536"/>
      <c r="N55" s="536"/>
      <c r="O55" s="536"/>
      <c r="P55" s="536"/>
      <c r="Q55" s="536"/>
      <c r="R55" s="536"/>
      <c r="S55" s="536"/>
      <c r="T55" s="536"/>
      <c r="U55" s="536"/>
      <c r="V55" s="536"/>
      <c r="X55" s="534"/>
      <c r="Y55" s="534"/>
      <c r="Z55" s="534"/>
      <c r="AA55" s="534"/>
      <c r="AE55" s="119"/>
    </row>
    <row r="56" spans="2:32" ht="15.75" x14ac:dyDescent="0.45">
      <c r="B56" s="536"/>
      <c r="C56" s="536"/>
      <c r="D56" s="536"/>
      <c r="E56" s="536"/>
      <c r="F56" s="536"/>
      <c r="G56" s="536"/>
      <c r="H56" s="536"/>
      <c r="I56" s="536"/>
      <c r="J56" s="536"/>
      <c r="K56" s="536"/>
      <c r="L56" s="536"/>
      <c r="M56" s="536"/>
      <c r="N56" s="536"/>
      <c r="O56" s="536"/>
      <c r="P56" s="536"/>
      <c r="Q56" s="536"/>
      <c r="R56" s="536"/>
      <c r="S56" s="536"/>
      <c r="T56" s="536"/>
      <c r="U56" s="536"/>
      <c r="V56" s="536"/>
      <c r="X56" s="534"/>
      <c r="Y56" s="534"/>
      <c r="Z56" s="534"/>
      <c r="AA56" s="534"/>
      <c r="AE56" s="119"/>
    </row>
    <row r="57" spans="2:32" ht="15.75" x14ac:dyDescent="0.45">
      <c r="B57" s="536"/>
      <c r="C57" s="536"/>
      <c r="D57" s="536"/>
      <c r="E57" s="536"/>
      <c r="F57" s="536"/>
      <c r="G57" s="536"/>
      <c r="H57" s="536"/>
      <c r="I57" s="536"/>
      <c r="J57" s="536"/>
      <c r="K57" s="536"/>
      <c r="L57" s="536"/>
      <c r="M57" s="536"/>
      <c r="N57" s="536"/>
      <c r="O57" s="536"/>
      <c r="P57" s="536"/>
      <c r="Q57" s="536"/>
      <c r="R57" s="536"/>
      <c r="S57" s="536"/>
      <c r="T57" s="536"/>
      <c r="U57" s="536"/>
      <c r="V57" s="536"/>
      <c r="X57" s="534"/>
      <c r="Y57" s="534"/>
      <c r="Z57" s="534"/>
      <c r="AA57" s="534"/>
      <c r="AE57" s="119"/>
    </row>
    <row r="58" spans="2:32" ht="15.75" x14ac:dyDescent="0.45">
      <c r="B58" s="536"/>
      <c r="C58" s="536"/>
      <c r="D58" s="536"/>
      <c r="E58" s="536"/>
      <c r="F58" s="536"/>
      <c r="G58" s="536"/>
      <c r="H58" s="536"/>
      <c r="I58" s="536"/>
      <c r="J58" s="536"/>
      <c r="K58" s="536"/>
      <c r="L58" s="536"/>
      <c r="M58" s="536"/>
      <c r="N58" s="536"/>
      <c r="O58" s="536"/>
      <c r="P58" s="536"/>
      <c r="Q58" s="536"/>
      <c r="R58" s="536"/>
      <c r="S58" s="536"/>
      <c r="T58" s="536"/>
      <c r="U58" s="536"/>
      <c r="V58" s="536"/>
      <c r="X58" s="534"/>
      <c r="Y58" s="534"/>
      <c r="Z58" s="534"/>
      <c r="AA58" s="534"/>
      <c r="AE58" s="119"/>
    </row>
    <row r="59" spans="2:32" ht="15.75" x14ac:dyDescent="0.45">
      <c r="B59" s="536"/>
      <c r="C59" s="536"/>
      <c r="D59" s="536"/>
      <c r="E59" s="536"/>
      <c r="F59" s="536"/>
      <c r="G59" s="536"/>
      <c r="H59" s="536"/>
      <c r="I59" s="536"/>
      <c r="J59" s="536"/>
      <c r="K59" s="536"/>
      <c r="L59" s="536"/>
      <c r="M59" s="536"/>
      <c r="N59" s="536"/>
      <c r="O59" s="536"/>
      <c r="P59" s="536"/>
      <c r="Q59" s="536"/>
      <c r="R59" s="536"/>
      <c r="S59" s="536"/>
      <c r="T59" s="536"/>
      <c r="U59" s="536"/>
      <c r="V59" s="536"/>
      <c r="X59" s="534"/>
      <c r="Y59" s="534"/>
      <c r="Z59" s="534"/>
      <c r="AA59" s="534"/>
      <c r="AE59" s="119"/>
    </row>
    <row r="60" spans="2:32" ht="15.75" x14ac:dyDescent="0.45">
      <c r="B60" s="536"/>
      <c r="C60" s="536"/>
      <c r="D60" s="536"/>
      <c r="E60" s="536"/>
      <c r="F60" s="536"/>
      <c r="G60" s="536"/>
      <c r="H60" s="536"/>
      <c r="I60" s="536"/>
      <c r="J60" s="536"/>
      <c r="K60" s="536"/>
      <c r="L60" s="536"/>
      <c r="M60" s="536"/>
      <c r="N60" s="536"/>
      <c r="O60" s="536"/>
      <c r="P60" s="536"/>
      <c r="Q60" s="536"/>
      <c r="R60" s="536"/>
      <c r="S60" s="536"/>
      <c r="T60" s="536"/>
      <c r="U60" s="536"/>
      <c r="V60" s="536"/>
      <c r="X60" s="534"/>
      <c r="Y60" s="534"/>
      <c r="Z60" s="534"/>
      <c r="AA60" s="534"/>
      <c r="AE60" s="119"/>
    </row>
    <row r="61" spans="2:32" ht="15.75" x14ac:dyDescent="0.5">
      <c r="B61" s="536"/>
      <c r="C61" s="536"/>
      <c r="D61" s="536"/>
      <c r="E61" s="536"/>
      <c r="F61" s="536"/>
      <c r="G61" s="536"/>
      <c r="H61" s="536"/>
      <c r="I61" s="536"/>
      <c r="J61" s="536"/>
      <c r="K61" s="536"/>
      <c r="L61" s="536"/>
      <c r="M61" s="536"/>
      <c r="N61" s="536"/>
      <c r="O61" s="536"/>
      <c r="P61" s="536"/>
      <c r="Q61" s="536"/>
      <c r="R61" s="536"/>
      <c r="S61" s="536"/>
      <c r="T61" s="536"/>
      <c r="U61" s="536"/>
      <c r="V61" s="536"/>
      <c r="X61" s="539">
        <f>X50+(W50/L47)</f>
        <v>0.65004170106628933</v>
      </c>
      <c r="Y61" s="539">
        <f>Y50+W50</f>
        <v>1.1895763129513095</v>
      </c>
      <c r="Z61" s="539">
        <f>X61*ASSUMPTIONS!$B$3</f>
        <v>6.6629274359294657</v>
      </c>
      <c r="AA61" s="539">
        <f>Y61*ASSUMPTIONS!$B$3</f>
        <v>12.193157207750922</v>
      </c>
      <c r="AE61" s="119"/>
    </row>
    <row r="62" spans="2:32" x14ac:dyDescent="0.45">
      <c r="B62" s="536"/>
      <c r="C62" s="536"/>
      <c r="D62" s="536"/>
      <c r="E62" s="536"/>
      <c r="F62" s="536"/>
      <c r="G62" s="536"/>
      <c r="H62" s="536"/>
      <c r="I62" s="536"/>
      <c r="J62" s="536"/>
      <c r="K62" s="536"/>
      <c r="L62" s="536"/>
      <c r="M62" s="536"/>
      <c r="N62" s="536"/>
      <c r="O62" s="536"/>
      <c r="P62" s="536"/>
      <c r="Q62" s="536"/>
      <c r="R62" s="536"/>
      <c r="S62" s="536"/>
      <c r="T62" s="536"/>
      <c r="U62" s="536"/>
      <c r="V62" s="536"/>
      <c r="AE62" s="119"/>
    </row>
    <row r="63" spans="2:32" x14ac:dyDescent="0.45">
      <c r="AE63" s="119"/>
    </row>
    <row r="64" spans="2:32" ht="15.75" customHeight="1" x14ac:dyDescent="0.45">
      <c r="B64" s="454" t="s">
        <v>204</v>
      </c>
    </row>
    <row r="66" spans="2:33" x14ac:dyDescent="0.45">
      <c r="B66" s="456" t="str">
        <f>+B17</f>
        <v>BULK_EXCAVATION    WASTE</v>
      </c>
      <c r="C66" s="457">
        <v>1000</v>
      </c>
      <c r="D66" s="457" t="s">
        <v>167</v>
      </c>
      <c r="E66" s="457" t="s">
        <v>203</v>
      </c>
      <c r="F66" s="457" t="s">
        <v>205</v>
      </c>
      <c r="G66" s="458" t="s">
        <v>191</v>
      </c>
      <c r="H66" s="457" t="s">
        <v>28</v>
      </c>
      <c r="I66" s="457" t="s">
        <v>206</v>
      </c>
      <c r="J66" s="459">
        <v>2</v>
      </c>
      <c r="K66" s="460"/>
      <c r="L66" s="461"/>
      <c r="M66" s="460"/>
      <c r="N66" s="460" t="s">
        <v>166</v>
      </c>
      <c r="O66" s="460" t="s">
        <v>169</v>
      </c>
      <c r="P66" s="462" t="s">
        <v>195</v>
      </c>
      <c r="Q66" s="462" t="s">
        <v>57</v>
      </c>
      <c r="R66" s="463"/>
      <c r="S66" s="464"/>
      <c r="T66" s="464"/>
      <c r="U66" s="464"/>
      <c r="V66" s="464"/>
      <c r="W66" s="464"/>
      <c r="AE66" s="465"/>
      <c r="AF66" s="465"/>
      <c r="AG66" s="465"/>
    </row>
    <row r="67" spans="2:33" x14ac:dyDescent="0.45">
      <c r="B67" s="466"/>
      <c r="C67" s="457"/>
      <c r="D67" s="457"/>
      <c r="E67" s="460">
        <f>+E7</f>
        <v>1.4</v>
      </c>
      <c r="F67" s="457"/>
      <c r="G67" s="458"/>
      <c r="H67" s="457" t="s">
        <v>207</v>
      </c>
      <c r="I67" s="457"/>
      <c r="J67" s="459"/>
      <c r="K67" s="460"/>
      <c r="L67" s="461"/>
      <c r="M67" s="460"/>
      <c r="N67" s="460" t="s">
        <v>208</v>
      </c>
      <c r="O67" s="460" t="s">
        <v>208</v>
      </c>
      <c r="P67" s="467"/>
      <c r="Q67" s="467"/>
      <c r="R67" s="463"/>
      <c r="S67" s="464"/>
      <c r="T67" s="464"/>
      <c r="U67" s="464"/>
      <c r="V67" s="464"/>
      <c r="W67" s="464"/>
      <c r="AE67" s="465"/>
      <c r="AF67" s="465"/>
      <c r="AG67" s="465"/>
    </row>
    <row r="68" spans="2:33" x14ac:dyDescent="0.45">
      <c r="B68" s="460" t="str">
        <f>+B21</f>
        <v>TONLY TLD90</v>
      </c>
      <c r="C68" s="460">
        <f>+C21</f>
        <v>65.097674211732354</v>
      </c>
      <c r="D68" s="460">
        <f>+D21</f>
        <v>25</v>
      </c>
      <c r="E68" s="457">
        <f>+D68*E67</f>
        <v>35</v>
      </c>
      <c r="F68" s="457">
        <f>E68+C68</f>
        <v>100.09767421173235</v>
      </c>
      <c r="G68" s="461">
        <v>1</v>
      </c>
      <c r="H68" s="457">
        <f>+C68*G68</f>
        <v>65.097674211732354</v>
      </c>
      <c r="I68" s="457">
        <f>G68*F68</f>
        <v>100.09767421173235</v>
      </c>
      <c r="J68" s="459"/>
      <c r="K68" s="460"/>
      <c r="L68" s="461"/>
      <c r="M68" s="460"/>
      <c r="N68" s="460"/>
      <c r="O68" s="460"/>
      <c r="P68" s="467"/>
      <c r="Q68" s="467"/>
      <c r="R68" s="463"/>
      <c r="S68" s="464"/>
      <c r="T68" s="464"/>
      <c r="U68" s="464"/>
      <c r="V68" s="464"/>
      <c r="W68" s="464"/>
    </row>
    <row r="69" spans="2:33" x14ac:dyDescent="0.45">
      <c r="B69" s="460"/>
      <c r="C69" s="457"/>
      <c r="D69" s="457"/>
      <c r="E69" s="457"/>
      <c r="F69" s="457"/>
      <c r="G69" s="461"/>
      <c r="H69" s="457"/>
      <c r="I69" s="457"/>
      <c r="J69" s="459" t="s">
        <v>175</v>
      </c>
      <c r="K69" s="460" t="s">
        <v>209</v>
      </c>
      <c r="L69" s="461" t="s">
        <v>191</v>
      </c>
      <c r="M69" s="460" t="s">
        <v>210</v>
      </c>
      <c r="N69" s="460" t="s">
        <v>208</v>
      </c>
      <c r="O69" s="460" t="s">
        <v>208</v>
      </c>
      <c r="P69" s="467"/>
      <c r="Q69" s="467"/>
      <c r="R69" s="463"/>
      <c r="S69" s="468" t="s">
        <v>211</v>
      </c>
      <c r="T69" s="469"/>
      <c r="U69" s="469"/>
      <c r="V69" s="469"/>
      <c r="W69" s="468" t="s">
        <v>212</v>
      </c>
      <c r="AE69" s="470"/>
      <c r="AF69" s="470"/>
      <c r="AG69" s="470"/>
    </row>
    <row r="70" spans="2:33" x14ac:dyDescent="0.45">
      <c r="B70" s="471"/>
      <c r="C70" s="472"/>
      <c r="D70" s="472"/>
      <c r="E70" s="472"/>
      <c r="F70" s="472"/>
      <c r="G70" s="473" t="s">
        <v>28</v>
      </c>
      <c r="H70" s="472">
        <f>SUM(H68:H69)</f>
        <v>65.097674211732354</v>
      </c>
      <c r="I70" s="472">
        <f>SUM(I68:I69)</f>
        <v>100.09767421173235</v>
      </c>
      <c r="J70" s="474">
        <f>+L20</f>
        <v>25</v>
      </c>
      <c r="K70" s="471">
        <f>+O23</f>
        <v>32</v>
      </c>
      <c r="L70" s="473">
        <v>2</v>
      </c>
      <c r="M70" s="471">
        <f>+J70*K70/L70</f>
        <v>400</v>
      </c>
      <c r="N70" s="475">
        <f>+H70/M70</f>
        <v>0.1627441855293309</v>
      </c>
      <c r="O70" s="471">
        <f>+I70/M70</f>
        <v>0.25024418552933086</v>
      </c>
      <c r="P70" s="476">
        <f>+O70-N70</f>
        <v>8.7499999999999967E-2</v>
      </c>
      <c r="Q70" s="476">
        <f>+P70/E67</f>
        <v>6.2499999999999979E-2</v>
      </c>
      <c r="R70" s="447">
        <f>+$C$1</f>
        <v>0</v>
      </c>
      <c r="S70" s="477" t="e">
        <f>+N70/R70</f>
        <v>#DIV/0!</v>
      </c>
      <c r="T70" s="476">
        <f>+P70/E67</f>
        <v>6.2499999999999979E-2</v>
      </c>
      <c r="U70" s="478">
        <f>+$C$2</f>
        <v>0</v>
      </c>
      <c r="V70" s="479" t="e">
        <f>+T70/U70</f>
        <v>#DIV/0!</v>
      </c>
      <c r="W70" s="480" t="e">
        <f>+S70+(V70*E67)</f>
        <v>#DIV/0!</v>
      </c>
      <c r="AE70" s="451"/>
      <c r="AF70" s="465"/>
      <c r="AG70" s="465"/>
    </row>
    <row r="71" spans="2:33" x14ac:dyDescent="0.45">
      <c r="B71" s="456" t="str">
        <f>+B5</f>
        <v>ORE_EXCAVATION</v>
      </c>
      <c r="C71" s="481">
        <v>1000</v>
      </c>
      <c r="D71" s="481" t="s">
        <v>167</v>
      </c>
      <c r="E71" s="457" t="s">
        <v>203</v>
      </c>
      <c r="F71" s="457" t="s">
        <v>205</v>
      </c>
      <c r="G71" s="458" t="s">
        <v>191</v>
      </c>
      <c r="H71" s="457" t="s">
        <v>28</v>
      </c>
      <c r="I71" s="457" t="s">
        <v>206</v>
      </c>
      <c r="J71" s="459">
        <v>2</v>
      </c>
      <c r="K71" s="460"/>
      <c r="L71" s="461"/>
      <c r="M71" s="460"/>
      <c r="N71" s="482" t="s">
        <v>166</v>
      </c>
      <c r="O71" s="482" t="s">
        <v>169</v>
      </c>
      <c r="P71" s="483" t="s">
        <v>195</v>
      </c>
      <c r="Q71" s="483" t="s">
        <v>57</v>
      </c>
      <c r="R71" s="463"/>
      <c r="S71" s="464"/>
      <c r="T71" s="464"/>
      <c r="U71" s="464"/>
      <c r="V71" s="464"/>
      <c r="W71" s="464"/>
      <c r="X71" t="s">
        <v>213</v>
      </c>
      <c r="AE71" s="465"/>
      <c r="AF71" s="465"/>
      <c r="AG71" s="465"/>
    </row>
    <row r="72" spans="2:33" x14ac:dyDescent="0.45">
      <c r="B72" s="466"/>
      <c r="C72" s="457"/>
      <c r="D72" s="457"/>
      <c r="E72" s="460">
        <v>0.81</v>
      </c>
      <c r="F72" s="457"/>
      <c r="G72" s="461"/>
      <c r="H72" s="457" t="s">
        <v>207</v>
      </c>
      <c r="I72" s="457"/>
      <c r="J72" s="459"/>
      <c r="K72" s="460"/>
      <c r="L72" s="461"/>
      <c r="M72" s="460"/>
      <c r="N72" s="460" t="s">
        <v>208</v>
      </c>
      <c r="O72" s="460" t="s">
        <v>208</v>
      </c>
      <c r="P72" s="467"/>
      <c r="Q72" s="467"/>
      <c r="R72" s="463"/>
      <c r="S72" s="464"/>
      <c r="T72" s="464"/>
      <c r="U72" s="464"/>
      <c r="V72" s="464"/>
      <c r="W72" s="464"/>
      <c r="X72" t="s">
        <v>214</v>
      </c>
      <c r="AE72" s="465"/>
      <c r="AF72" s="465"/>
      <c r="AG72" s="465"/>
    </row>
    <row r="73" spans="2:33" x14ac:dyDescent="0.45">
      <c r="B73" s="460" t="str">
        <f>+B9</f>
        <v>MERC 8X4</v>
      </c>
      <c r="C73" s="460">
        <f>+C9</f>
        <v>20.014413001331896</v>
      </c>
      <c r="D73" s="460">
        <f>+D9</f>
        <v>25</v>
      </c>
      <c r="E73" s="457">
        <f>+D73*E72</f>
        <v>20.25</v>
      </c>
      <c r="F73" s="457">
        <f>E73+C73</f>
        <v>40.264413001331896</v>
      </c>
      <c r="G73" s="461">
        <v>1</v>
      </c>
      <c r="H73" s="457">
        <f>+C73*G73</f>
        <v>20.014413001331896</v>
      </c>
      <c r="I73" s="457">
        <f>G73*F73</f>
        <v>40.264413001331896</v>
      </c>
      <c r="J73" s="459"/>
      <c r="K73" s="460"/>
      <c r="L73" s="461"/>
      <c r="M73" s="460"/>
      <c r="N73" s="460"/>
      <c r="O73" s="460"/>
      <c r="P73" s="467"/>
      <c r="Q73" s="467"/>
      <c r="R73" s="463"/>
      <c r="S73" s="464"/>
      <c r="T73" s="464"/>
      <c r="U73" s="464"/>
      <c r="V73" s="464"/>
      <c r="W73" s="464"/>
    </row>
    <row r="74" spans="2:33" x14ac:dyDescent="0.45">
      <c r="B74" s="460"/>
      <c r="C74" s="457"/>
      <c r="D74" s="457"/>
      <c r="E74" s="457"/>
      <c r="F74" s="457"/>
      <c r="G74" s="461"/>
      <c r="H74" s="457"/>
      <c r="I74" s="457"/>
      <c r="J74" s="459" t="s">
        <v>175</v>
      </c>
      <c r="K74" s="460" t="s">
        <v>209</v>
      </c>
      <c r="L74" s="461" t="s">
        <v>191</v>
      </c>
      <c r="M74" s="460" t="str">
        <f>+M69</f>
        <v>Prod 1.0km</v>
      </c>
      <c r="N74" s="460" t="s">
        <v>208</v>
      </c>
      <c r="O74" s="460" t="s">
        <v>208</v>
      </c>
      <c r="P74" s="467"/>
      <c r="Q74" s="467"/>
      <c r="R74" s="463"/>
      <c r="S74" s="468" t="s">
        <v>211</v>
      </c>
      <c r="T74" s="464"/>
      <c r="U74" s="464"/>
      <c r="V74" s="464"/>
      <c r="W74" s="468" t="s">
        <v>212</v>
      </c>
      <c r="AE74" s="470"/>
      <c r="AF74" s="470"/>
      <c r="AG74" s="470"/>
    </row>
    <row r="75" spans="2:33" x14ac:dyDescent="0.45">
      <c r="B75" s="471"/>
      <c r="C75" s="472"/>
      <c r="D75" s="472"/>
      <c r="E75" s="472"/>
      <c r="F75" s="472"/>
      <c r="G75" s="473" t="s">
        <v>28</v>
      </c>
      <c r="H75" s="472">
        <f>SUM(H73:H74)</f>
        <v>20.014413001331896</v>
      </c>
      <c r="I75" s="472">
        <f>SUM(I73:I74)</f>
        <v>40.264413001331896</v>
      </c>
      <c r="J75" s="474">
        <f>+L8</f>
        <v>20</v>
      </c>
      <c r="K75" s="471">
        <f>+O11</f>
        <v>17.486338797814206</v>
      </c>
      <c r="L75" s="473">
        <v>2</v>
      </c>
      <c r="M75" s="471">
        <f>+J75*K75/L75</f>
        <v>174.86338797814204</v>
      </c>
      <c r="N75" s="475">
        <f>+H75/M75</f>
        <v>0.1144574243513668</v>
      </c>
      <c r="O75" s="471">
        <f>+I75/M75</f>
        <v>0.23026211185136683</v>
      </c>
      <c r="P75" s="476">
        <f>+O75-N75</f>
        <v>0.11580468750000003</v>
      </c>
      <c r="Q75" s="476">
        <f>+P75/E72</f>
        <v>0.14296875000000003</v>
      </c>
      <c r="R75" s="447">
        <f>+$C$1</f>
        <v>0</v>
      </c>
      <c r="S75" s="477" t="e">
        <f>+N75/R75</f>
        <v>#DIV/0!</v>
      </c>
      <c r="T75" s="476">
        <f>+P75/E72</f>
        <v>0.14296875000000003</v>
      </c>
      <c r="U75" s="478">
        <f>+$C$2</f>
        <v>0</v>
      </c>
      <c r="V75" s="479" t="e">
        <f>+T75/U75</f>
        <v>#DIV/0!</v>
      </c>
      <c r="W75" s="480" t="e">
        <f>+S75+(V75*E72)</f>
        <v>#DIV/0!</v>
      </c>
      <c r="AE75" s="451"/>
      <c r="AF75" s="465"/>
      <c r="AG75" s="465"/>
    </row>
    <row r="76" spans="2:33" x14ac:dyDescent="0.45">
      <c r="B76" s="456" t="str">
        <f>+B29</f>
        <v>LOAD OUT AND HAULAGE    ORE 8X4 TRUCK</v>
      </c>
      <c r="C76" s="481">
        <v>1000</v>
      </c>
      <c r="D76" s="481" t="s">
        <v>167</v>
      </c>
      <c r="E76" s="457" t="s">
        <v>203</v>
      </c>
      <c r="F76" s="457" t="s">
        <v>205</v>
      </c>
      <c r="G76" s="458" t="s">
        <v>191</v>
      </c>
      <c r="H76" s="457" t="s">
        <v>28</v>
      </c>
      <c r="I76" s="457" t="s">
        <v>206</v>
      </c>
      <c r="J76" s="459">
        <v>2</v>
      </c>
      <c r="K76" s="460"/>
      <c r="L76" s="461"/>
      <c r="M76" s="460"/>
      <c r="N76" s="482" t="s">
        <v>166</v>
      </c>
      <c r="O76" s="482" t="s">
        <v>169</v>
      </c>
      <c r="P76" s="483" t="s">
        <v>195</v>
      </c>
      <c r="Q76" s="483" t="s">
        <v>57</v>
      </c>
      <c r="R76" s="463"/>
      <c r="S76" s="464"/>
      <c r="T76" s="464"/>
      <c r="U76" s="464"/>
      <c r="V76" s="464"/>
      <c r="W76" s="464"/>
      <c r="X76" t="s">
        <v>213</v>
      </c>
      <c r="AE76" s="465"/>
      <c r="AF76" s="465"/>
      <c r="AG76" s="465"/>
    </row>
    <row r="77" spans="2:33" x14ac:dyDescent="0.45">
      <c r="B77" s="466"/>
      <c r="C77" s="457"/>
      <c r="D77" s="457"/>
      <c r="E77" s="460">
        <v>0.81</v>
      </c>
      <c r="F77" s="457"/>
      <c r="G77" s="461"/>
      <c r="H77" s="457" t="s">
        <v>207</v>
      </c>
      <c r="I77" s="457"/>
      <c r="J77" s="459"/>
      <c r="K77" s="460"/>
      <c r="L77" s="461"/>
      <c r="M77" s="460"/>
      <c r="N77" s="460" t="s">
        <v>208</v>
      </c>
      <c r="O77" s="460" t="s">
        <v>208</v>
      </c>
      <c r="P77" s="467"/>
      <c r="Q77" s="467"/>
      <c r="R77" s="463"/>
      <c r="S77" s="464"/>
      <c r="T77" s="464"/>
      <c r="U77" s="464"/>
      <c r="V77" s="464"/>
      <c r="W77" s="464"/>
      <c r="X77" t="s">
        <v>214</v>
      </c>
      <c r="AE77" s="465"/>
      <c r="AF77" s="465"/>
      <c r="AG77" s="465"/>
    </row>
    <row r="78" spans="2:33" x14ac:dyDescent="0.45">
      <c r="B78" s="460" t="str">
        <f>+B33</f>
        <v>MERC 8X4</v>
      </c>
      <c r="C78" s="460">
        <f>+C33</f>
        <v>20.014413001331896</v>
      </c>
      <c r="D78" s="460">
        <f>+D33</f>
        <v>25</v>
      </c>
      <c r="E78" s="457">
        <f>+D78*E77</f>
        <v>20.25</v>
      </c>
      <c r="F78" s="457">
        <f>E78+C78</f>
        <v>40.264413001331896</v>
      </c>
      <c r="G78" s="461">
        <v>1</v>
      </c>
      <c r="H78" s="457">
        <f>+C78*G78</f>
        <v>20.014413001331896</v>
      </c>
      <c r="I78" s="457">
        <f>G78*F78</f>
        <v>40.264413001331896</v>
      </c>
      <c r="J78" s="459"/>
      <c r="K78" s="460"/>
      <c r="L78" s="461"/>
      <c r="M78" s="460"/>
      <c r="N78" s="460"/>
      <c r="O78" s="460"/>
      <c r="P78" s="467"/>
      <c r="Q78" s="467"/>
      <c r="R78" s="463"/>
      <c r="S78" s="464"/>
      <c r="T78" s="464"/>
      <c r="U78" s="464"/>
      <c r="V78" s="464"/>
      <c r="W78" s="464"/>
    </row>
    <row r="79" spans="2:33" x14ac:dyDescent="0.45">
      <c r="B79" s="460"/>
      <c r="C79" s="457"/>
      <c r="D79" s="457"/>
      <c r="E79" s="457"/>
      <c r="F79" s="457"/>
      <c r="G79" s="461"/>
      <c r="H79" s="457"/>
      <c r="I79" s="457"/>
      <c r="J79" s="459" t="s">
        <v>175</v>
      </c>
      <c r="K79" s="460" t="s">
        <v>209</v>
      </c>
      <c r="L79" s="461" t="s">
        <v>191</v>
      </c>
      <c r="M79" s="460" t="str">
        <f>+M74</f>
        <v>Prod 1.0km</v>
      </c>
      <c r="N79" s="460" t="s">
        <v>208</v>
      </c>
      <c r="O79" s="460" t="s">
        <v>208</v>
      </c>
      <c r="P79" s="467"/>
      <c r="Q79" s="467"/>
      <c r="R79" s="463"/>
      <c r="S79" s="468" t="s">
        <v>211</v>
      </c>
      <c r="T79" s="464"/>
      <c r="U79" s="464"/>
      <c r="V79" s="464"/>
      <c r="W79" s="468" t="s">
        <v>212</v>
      </c>
      <c r="AE79" s="470"/>
      <c r="AF79" s="470"/>
      <c r="AG79" s="470"/>
    </row>
    <row r="80" spans="2:33" x14ac:dyDescent="0.45">
      <c r="B80" s="471"/>
      <c r="C80" s="472"/>
      <c r="D80" s="472"/>
      <c r="E80" s="472"/>
      <c r="F80" s="472"/>
      <c r="G80" s="473" t="s">
        <v>28</v>
      </c>
      <c r="H80" s="472">
        <f>SUM(H78:H79)</f>
        <v>20.014413001331896</v>
      </c>
      <c r="I80" s="472">
        <f>SUM(I78:I79)</f>
        <v>40.264413001331896</v>
      </c>
      <c r="J80" s="474">
        <f>+L32</f>
        <v>20</v>
      </c>
      <c r="K80" s="471">
        <f>+O35</f>
        <v>17.486338797814206</v>
      </c>
      <c r="L80" s="473">
        <v>2</v>
      </c>
      <c r="M80" s="471">
        <f>+J80*K80/L80</f>
        <v>174.86338797814204</v>
      </c>
      <c r="N80" s="475">
        <f>+H80/M80</f>
        <v>0.1144574243513668</v>
      </c>
      <c r="O80" s="471">
        <f>+I80/M80</f>
        <v>0.23026211185136683</v>
      </c>
      <c r="P80" s="476">
        <f>+O80-N80</f>
        <v>0.11580468750000003</v>
      </c>
      <c r="Q80" s="476">
        <f>+P80/E77</f>
        <v>0.14296875000000003</v>
      </c>
      <c r="R80" s="447">
        <f>+$C$1</f>
        <v>0</v>
      </c>
      <c r="S80" s="477" t="e">
        <f>+N80/R80</f>
        <v>#DIV/0!</v>
      </c>
      <c r="T80" s="476">
        <f>+P80/E77</f>
        <v>0.14296875000000003</v>
      </c>
      <c r="U80" s="478">
        <f>+$C$2</f>
        <v>0</v>
      </c>
      <c r="V80" s="479" t="e">
        <f>+T80/U80</f>
        <v>#DIV/0!</v>
      </c>
      <c r="W80" s="480" t="e">
        <f>+S80+(V80*E77)</f>
        <v>#DIV/0!</v>
      </c>
      <c r="AE80" s="451"/>
      <c r="AF80" s="465"/>
      <c r="AG80" s="465"/>
    </row>
    <row r="81" spans="4:33" x14ac:dyDescent="0.45">
      <c r="D81" s="419"/>
      <c r="E81" s="419"/>
      <c r="F81" s="419"/>
      <c r="G81" s="419"/>
      <c r="H81" s="419"/>
      <c r="I81" s="419"/>
      <c r="J81" s="419"/>
      <c r="K81" s="419"/>
      <c r="L81" s="419"/>
      <c r="X81" t="s">
        <v>213</v>
      </c>
      <c r="AE81" s="465"/>
      <c r="AF81" s="465"/>
      <c r="AG81" s="465"/>
    </row>
    <row r="82" spans="4:33" x14ac:dyDescent="0.45">
      <c r="D82" s="419"/>
      <c r="E82" s="419"/>
      <c r="F82" s="419"/>
      <c r="G82" s="419"/>
      <c r="H82" s="419"/>
      <c r="I82" s="419"/>
      <c r="J82" s="419"/>
      <c r="K82" s="419"/>
      <c r="L82" s="419"/>
      <c r="X82" t="s">
        <v>214</v>
      </c>
      <c r="AE82" s="465"/>
      <c r="AF82" s="465"/>
      <c r="AG82" s="465"/>
    </row>
    <row r="83" spans="4:33" x14ac:dyDescent="0.45">
      <c r="E83" s="419"/>
      <c r="F83" s="419"/>
      <c r="G83" s="419"/>
      <c r="H83" s="419"/>
      <c r="I83" s="419"/>
      <c r="J83" s="419"/>
      <c r="K83" s="419"/>
      <c r="L83" s="419"/>
    </row>
    <row r="84" spans="4:33" x14ac:dyDescent="0.45">
      <c r="E84" s="419"/>
      <c r="F84" s="419"/>
      <c r="G84" s="419"/>
      <c r="H84" s="419"/>
      <c r="I84" s="419"/>
      <c r="J84" s="419"/>
      <c r="K84" s="419"/>
      <c r="L84" s="419"/>
    </row>
    <row r="85" spans="4:33" x14ac:dyDescent="0.45">
      <c r="E85" s="419"/>
      <c r="F85" s="419"/>
      <c r="G85" s="419"/>
      <c r="H85" s="419"/>
      <c r="I85" s="419"/>
      <c r="J85" s="419"/>
      <c r="K85" s="419"/>
      <c r="L85" s="419"/>
      <c r="M85" s="453"/>
      <c r="P85" s="453"/>
      <c r="S85" s="119"/>
      <c r="V85" s="119"/>
    </row>
    <row r="86" spans="4:33" x14ac:dyDescent="0.45">
      <c r="N86" s="119"/>
      <c r="X86" s="410">
        <f>V27/O27</f>
        <v>1.32</v>
      </c>
      <c r="Y86" s="410"/>
      <c r="Z86" s="410"/>
      <c r="AA86" s="410"/>
      <c r="AB86" s="410"/>
      <c r="AC86" s="410"/>
      <c r="AD86" s="410"/>
    </row>
    <row r="87" spans="4:33" x14ac:dyDescent="0.45">
      <c r="S87" s="119"/>
    </row>
    <row r="90" spans="4:33" x14ac:dyDescent="0.45">
      <c r="S90" s="490"/>
      <c r="U90" s="410"/>
      <c r="AE90" s="119"/>
    </row>
    <row r="91" spans="4:33" x14ac:dyDescent="0.45">
      <c r="N91" s="119"/>
    </row>
  </sheetData>
  <mergeCells count="112">
    <mergeCell ref="X48:AA48"/>
    <mergeCell ref="AC48:AD48"/>
    <mergeCell ref="AE48:AF48"/>
    <mergeCell ref="B49:G50"/>
    <mergeCell ref="H49:H50"/>
    <mergeCell ref="I49:I50"/>
    <mergeCell ref="N42:N43"/>
    <mergeCell ref="O42:O43"/>
    <mergeCell ref="P42:P43"/>
    <mergeCell ref="Q42:Q43"/>
    <mergeCell ref="R42:R43"/>
    <mergeCell ref="J45:O45"/>
    <mergeCell ref="P45:V48"/>
    <mergeCell ref="J48:O48"/>
    <mergeCell ref="H42:H43"/>
    <mergeCell ref="I42:I43"/>
    <mergeCell ref="J42:J43"/>
    <mergeCell ref="K42:K43"/>
    <mergeCell ref="L42:L43"/>
    <mergeCell ref="M42:M43"/>
    <mergeCell ref="AE36:AF36"/>
    <mergeCell ref="B38:G39"/>
    <mergeCell ref="H38:H39"/>
    <mergeCell ref="I38:I39"/>
    <mergeCell ref="B41:V41"/>
    <mergeCell ref="B42:B43"/>
    <mergeCell ref="C42:C43"/>
    <mergeCell ref="D42:D43"/>
    <mergeCell ref="F42:F43"/>
    <mergeCell ref="G42:G43"/>
    <mergeCell ref="G30:G31"/>
    <mergeCell ref="H30:H31"/>
    <mergeCell ref="I30:I31"/>
    <mergeCell ref="J30:J31"/>
    <mergeCell ref="K30:K31"/>
    <mergeCell ref="R30:R31"/>
    <mergeCell ref="J33:O33"/>
    <mergeCell ref="P33:V36"/>
    <mergeCell ref="AC35:AD35"/>
    <mergeCell ref="J36:O36"/>
    <mergeCell ref="X36:AA36"/>
    <mergeCell ref="AC36:AD36"/>
    <mergeCell ref="L30:L31"/>
    <mergeCell ref="M30:M31"/>
    <mergeCell ref="N30:N31"/>
    <mergeCell ref="O30:O31"/>
    <mergeCell ref="P30:P31"/>
    <mergeCell ref="Q30:Q31"/>
    <mergeCell ref="AC25:AD25"/>
    <mergeCell ref="AE25:AF25"/>
    <mergeCell ref="B26:G27"/>
    <mergeCell ref="H26:H27"/>
    <mergeCell ref="I26:I27"/>
    <mergeCell ref="N18:N19"/>
    <mergeCell ref="O18:O19"/>
    <mergeCell ref="P18:P19"/>
    <mergeCell ref="Q18:Q19"/>
    <mergeCell ref="R18:R19"/>
    <mergeCell ref="J21:O21"/>
    <mergeCell ref="P21:V25"/>
    <mergeCell ref="J25:O25"/>
    <mergeCell ref="H18:H19"/>
    <mergeCell ref="I18:I19"/>
    <mergeCell ref="J18:J19"/>
    <mergeCell ref="K18:K19"/>
    <mergeCell ref="L18:L19"/>
    <mergeCell ref="M18:M19"/>
    <mergeCell ref="AE13:AF13"/>
    <mergeCell ref="B14:G15"/>
    <mergeCell ref="H14:H15"/>
    <mergeCell ref="I14:I15"/>
    <mergeCell ref="B17:V17"/>
    <mergeCell ref="B18:B19"/>
    <mergeCell ref="C18:C19"/>
    <mergeCell ref="D18:D19"/>
    <mergeCell ref="F18:F19"/>
    <mergeCell ref="G18:G19"/>
    <mergeCell ref="X16:AA16"/>
    <mergeCell ref="AC12:AD12"/>
    <mergeCell ref="J13:O13"/>
    <mergeCell ref="X13:AA13"/>
    <mergeCell ref="AC13:AD13"/>
    <mergeCell ref="J6:J7"/>
    <mergeCell ref="K6:K7"/>
    <mergeCell ref="L6:L7"/>
    <mergeCell ref="M6:M7"/>
    <mergeCell ref="N6:N7"/>
    <mergeCell ref="O6:O7"/>
    <mergeCell ref="X28:AA28"/>
    <mergeCell ref="X40:AA40"/>
    <mergeCell ref="X51:AA51"/>
    <mergeCell ref="B3:V3"/>
    <mergeCell ref="B4:V4"/>
    <mergeCell ref="B5:V5"/>
    <mergeCell ref="B6:B7"/>
    <mergeCell ref="C6:C7"/>
    <mergeCell ref="D6:D7"/>
    <mergeCell ref="F6:F7"/>
    <mergeCell ref="G6:G7"/>
    <mergeCell ref="H6:H7"/>
    <mergeCell ref="I6:I7"/>
    <mergeCell ref="P6:P7"/>
    <mergeCell ref="Q6:Q7"/>
    <mergeCell ref="R6:R7"/>
    <mergeCell ref="J9:O9"/>
    <mergeCell ref="P9:V13"/>
    <mergeCell ref="X25:AA25"/>
    <mergeCell ref="B29:V29"/>
    <mergeCell ref="B30:B31"/>
    <mergeCell ref="C30:C31"/>
    <mergeCell ref="D30:D31"/>
    <mergeCell ref="F30:F31"/>
  </mergeCells>
  <pageMargins left="0.7" right="0.7" top="0.75" bottom="0.75" header="0.3" footer="0.3"/>
  <pageSetup paperSize="8" scale="4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045F-66D6-4CDC-85D9-FC40C249CB10}">
  <sheetPr>
    <pageSetUpPr fitToPage="1"/>
  </sheetPr>
  <dimension ref="A1:AG65"/>
  <sheetViews>
    <sheetView tabSelected="1" zoomScale="85" zoomScaleNormal="85" zoomScalePageLayoutView="115" workbookViewId="0">
      <selection activeCell="C12" sqref="C12"/>
    </sheetView>
  </sheetViews>
  <sheetFormatPr defaultColWidth="8.86328125" defaultRowHeight="14.25" x14ac:dyDescent="0.45"/>
  <cols>
    <col min="1" max="1" width="3.86328125" customWidth="1"/>
    <col min="2" max="2" width="30.3984375" customWidth="1"/>
    <col min="3" max="3" width="14.73046875" style="455" bestFit="1" customWidth="1"/>
    <col min="5" max="5" width="17.3984375" customWidth="1"/>
    <col min="6" max="6" width="9.59765625" bestFit="1" customWidth="1"/>
    <col min="7" max="7" width="10.86328125" customWidth="1"/>
    <col min="8" max="8" width="11.73046875" bestFit="1" customWidth="1"/>
    <col min="9" max="9" width="12.3984375" bestFit="1" customWidth="1"/>
    <col min="10" max="12" width="10.265625" customWidth="1"/>
    <col min="13" max="13" width="12.265625" bestFit="1" customWidth="1"/>
    <col min="15" max="15" width="11" customWidth="1"/>
    <col min="18" max="18" width="14" bestFit="1" customWidth="1"/>
    <col min="19" max="19" width="12.265625" bestFit="1" customWidth="1"/>
    <col min="22" max="22" width="10.73046875" bestFit="1" customWidth="1"/>
    <col min="23" max="23" width="21" customWidth="1"/>
    <col min="24" max="24" width="15.3984375" bestFit="1" customWidth="1"/>
    <col min="25" max="27" width="15.3984375" customWidth="1"/>
    <col min="28" max="28" width="7.46484375" customWidth="1"/>
    <col min="29" max="30" width="15.3984375" customWidth="1"/>
    <col min="31" max="31" width="17.19921875" customWidth="1"/>
    <col min="32" max="32" width="17.06640625" bestFit="1" customWidth="1"/>
    <col min="33" max="33" width="11.3984375" customWidth="1"/>
  </cols>
  <sheetData>
    <row r="1" spans="1:33" x14ac:dyDescent="0.45">
      <c r="C1" s="420"/>
    </row>
    <row r="2" spans="1:33" x14ac:dyDescent="0.45">
      <c r="C2" s="420"/>
      <c r="X2" s="410"/>
      <c r="Y2" s="410"/>
      <c r="Z2" s="410"/>
      <c r="AA2" s="410"/>
      <c r="AB2" s="410"/>
      <c r="AC2" s="410"/>
      <c r="AD2" s="410"/>
    </row>
    <row r="3" spans="1:33" ht="25.5" x14ac:dyDescent="0.75">
      <c r="B3" s="635" t="s">
        <v>359</v>
      </c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  <c r="Q3" s="635"/>
      <c r="R3" s="635"/>
      <c r="S3" s="635"/>
      <c r="T3" s="635"/>
      <c r="U3" s="635"/>
      <c r="V3" s="635"/>
      <c r="W3" s="529"/>
    </row>
    <row r="4" spans="1:33" x14ac:dyDescent="0.45">
      <c r="B4" s="636"/>
      <c r="C4" s="637"/>
      <c r="D4" s="637"/>
      <c r="E4" s="637"/>
      <c r="F4" s="637"/>
      <c r="G4" s="637"/>
      <c r="H4" s="637"/>
      <c r="I4" s="637"/>
      <c r="J4" s="637"/>
      <c r="K4" s="637"/>
      <c r="L4" s="637"/>
      <c r="M4" s="637"/>
      <c r="N4" s="637"/>
      <c r="O4" s="637"/>
      <c r="P4" s="637"/>
      <c r="Q4" s="637"/>
      <c r="R4" s="637"/>
      <c r="S4" s="637"/>
      <c r="T4" s="637"/>
      <c r="U4" s="637"/>
      <c r="V4" s="638"/>
    </row>
    <row r="5" spans="1:33" ht="21" x14ac:dyDescent="0.65">
      <c r="B5" s="639" t="s">
        <v>244</v>
      </c>
      <c r="C5" s="639"/>
      <c r="D5" s="639"/>
      <c r="E5" s="639"/>
      <c r="F5" s="639"/>
      <c r="G5" s="639"/>
      <c r="H5" s="639"/>
      <c r="I5" s="639"/>
      <c r="J5" s="639"/>
      <c r="K5" s="639"/>
      <c r="L5" s="639"/>
      <c r="M5" s="639"/>
      <c r="N5" s="639"/>
      <c r="O5" s="639"/>
      <c r="P5" s="639"/>
      <c r="Q5" s="639"/>
      <c r="R5" s="639"/>
      <c r="S5" s="639"/>
      <c r="T5" s="639"/>
      <c r="U5" s="639"/>
      <c r="V5" s="639"/>
    </row>
    <row r="6" spans="1:33" x14ac:dyDescent="0.45">
      <c r="B6" s="640" t="s">
        <v>165</v>
      </c>
      <c r="C6" s="641" t="s">
        <v>166</v>
      </c>
      <c r="D6" s="640" t="s">
        <v>167</v>
      </c>
      <c r="E6" s="422" t="s">
        <v>168</v>
      </c>
      <c r="F6" s="641" t="s">
        <v>169</v>
      </c>
      <c r="G6" s="640" t="s">
        <v>170</v>
      </c>
      <c r="H6" s="640" t="s">
        <v>171</v>
      </c>
      <c r="I6" s="640" t="s">
        <v>172</v>
      </c>
      <c r="J6" s="640" t="s">
        <v>173</v>
      </c>
      <c r="K6" s="640" t="s">
        <v>174</v>
      </c>
      <c r="L6" s="640" t="s">
        <v>175</v>
      </c>
      <c r="M6" s="640" t="s">
        <v>176</v>
      </c>
      <c r="N6" s="640" t="s">
        <v>175</v>
      </c>
      <c r="O6" s="640" t="s">
        <v>177</v>
      </c>
      <c r="P6" s="640" t="s">
        <v>178</v>
      </c>
      <c r="Q6" s="640" t="s">
        <v>179</v>
      </c>
      <c r="R6" s="640" t="s">
        <v>180</v>
      </c>
      <c r="S6" s="423" t="s">
        <v>181</v>
      </c>
      <c r="T6" s="421"/>
      <c r="U6" s="421"/>
      <c r="V6" s="421"/>
    </row>
    <row r="7" spans="1:33" x14ac:dyDescent="0.45">
      <c r="B7" s="640"/>
      <c r="C7" s="641"/>
      <c r="D7" s="640"/>
      <c r="E7" s="424">
        <f>+ASSUMPTIONS!$B$14</f>
        <v>1.4</v>
      </c>
      <c r="F7" s="641"/>
      <c r="G7" s="640"/>
      <c r="H7" s="640"/>
      <c r="I7" s="640"/>
      <c r="J7" s="640"/>
      <c r="K7" s="640"/>
      <c r="L7" s="640"/>
      <c r="M7" s="640"/>
      <c r="N7" s="640"/>
      <c r="O7" s="640"/>
      <c r="P7" s="640"/>
      <c r="Q7" s="640"/>
      <c r="R7" s="640"/>
      <c r="S7" s="423">
        <v>60</v>
      </c>
      <c r="T7" s="421"/>
      <c r="U7" s="421"/>
      <c r="V7" s="421"/>
    </row>
    <row r="8" spans="1:33" x14ac:dyDescent="0.45">
      <c r="A8">
        <v>2</v>
      </c>
      <c r="B8" s="425" t="s">
        <v>182</v>
      </c>
      <c r="C8" s="426">
        <f>+'Summary Equip'!$Y$34</f>
        <v>50.535816852722071</v>
      </c>
      <c r="D8" s="427">
        <f>+'Summary Equip'!$T$34</f>
        <v>40</v>
      </c>
      <c r="E8" s="426">
        <f t="shared" ref="E8:E13" si="0">+D8*$E$7</f>
        <v>56</v>
      </c>
      <c r="F8" s="426">
        <f t="shared" ref="F8:F13" si="1">C8+E8</f>
        <v>106.53581685272206</v>
      </c>
      <c r="G8" s="425">
        <v>1</v>
      </c>
      <c r="H8" s="426">
        <f t="shared" ref="H8:H13" si="2">G8*C8</f>
        <v>50.535816852722071</v>
      </c>
      <c r="I8" s="426">
        <f t="shared" ref="I8:I13" si="3">G8*F8</f>
        <v>106.53581685272206</v>
      </c>
      <c r="J8" s="423">
        <v>0</v>
      </c>
      <c r="K8" s="428">
        <f>+J8*(60/(L8*1000))</f>
        <v>0</v>
      </c>
      <c r="L8" s="429">
        <v>20</v>
      </c>
      <c r="M8" s="428">
        <f>+J8*(60/(N8*1000))</f>
        <v>0</v>
      </c>
      <c r="N8" s="429">
        <v>30</v>
      </c>
      <c r="O8" s="430">
        <v>4</v>
      </c>
      <c r="P8" s="423">
        <v>1</v>
      </c>
      <c r="Q8" s="430">
        <v>0.5</v>
      </c>
      <c r="R8" s="431">
        <f>SUM(K8,M8,O8,P8,Q8)</f>
        <v>5.5</v>
      </c>
      <c r="S8" s="431">
        <f>S7/R8</f>
        <v>10.909090909090908</v>
      </c>
      <c r="T8" s="421"/>
      <c r="U8" s="421"/>
      <c r="V8" s="432">
        <v>381.54240000000004</v>
      </c>
    </row>
    <row r="9" spans="1:33" x14ac:dyDescent="0.45">
      <c r="A9">
        <v>6</v>
      </c>
      <c r="B9" s="425" t="s">
        <v>136</v>
      </c>
      <c r="C9" s="426">
        <f>+'Summary Equip'!$Y$37</f>
        <v>20.014413001331896</v>
      </c>
      <c r="D9" s="427">
        <f>+'Summary Equip'!$T$37</f>
        <v>25</v>
      </c>
      <c r="E9" s="426">
        <f t="shared" si="0"/>
        <v>35</v>
      </c>
      <c r="F9" s="426">
        <f t="shared" si="1"/>
        <v>55.014413001331896</v>
      </c>
      <c r="G9" s="433">
        <v>0</v>
      </c>
      <c r="H9" s="426">
        <f t="shared" si="2"/>
        <v>0</v>
      </c>
      <c r="I9" s="426">
        <f t="shared" si="3"/>
        <v>0</v>
      </c>
      <c r="J9" s="642"/>
      <c r="K9" s="642"/>
      <c r="L9" s="642"/>
      <c r="M9" s="642"/>
      <c r="N9" s="642"/>
      <c r="O9" s="642"/>
      <c r="P9" s="643">
        <f>15/M11</f>
        <v>0.85781250000000009</v>
      </c>
      <c r="Q9" s="644"/>
      <c r="R9" s="644"/>
      <c r="S9" s="644"/>
      <c r="T9" s="644"/>
      <c r="U9" s="644"/>
      <c r="V9" s="645"/>
    </row>
    <row r="10" spans="1:33" x14ac:dyDescent="0.45">
      <c r="A10">
        <v>12</v>
      </c>
      <c r="B10" s="425" t="s">
        <v>183</v>
      </c>
      <c r="C10" s="426">
        <f>+'Summary Equip'!Y40</f>
        <v>63.818130750747699</v>
      </c>
      <c r="D10" s="427">
        <f>+'Summary Equip'!$T$40</f>
        <v>100</v>
      </c>
      <c r="E10" s="426">
        <f t="shared" si="0"/>
        <v>140</v>
      </c>
      <c r="F10" s="426">
        <f t="shared" si="1"/>
        <v>203.81813075074768</v>
      </c>
      <c r="G10" s="425">
        <v>0</v>
      </c>
      <c r="H10" s="426">
        <f t="shared" si="2"/>
        <v>0</v>
      </c>
      <c r="I10" s="426">
        <f t="shared" si="3"/>
        <v>0</v>
      </c>
      <c r="J10" s="423"/>
      <c r="K10" s="423" t="s">
        <v>184</v>
      </c>
      <c r="L10" s="423" t="s">
        <v>185</v>
      </c>
      <c r="M10" s="423" t="s">
        <v>186</v>
      </c>
      <c r="N10" s="423" t="s">
        <v>187</v>
      </c>
      <c r="O10" s="423" t="s">
        <v>188</v>
      </c>
      <c r="P10" s="646"/>
      <c r="Q10" s="647"/>
      <c r="R10" s="647"/>
      <c r="S10" s="647"/>
      <c r="T10" s="647"/>
      <c r="U10" s="647"/>
      <c r="V10" s="648"/>
    </row>
    <row r="11" spans="1:33" x14ac:dyDescent="0.45">
      <c r="A11">
        <v>11</v>
      </c>
      <c r="B11" s="425" t="s">
        <v>189</v>
      </c>
      <c r="C11" s="426">
        <f>+'Summary Equip'!Y41</f>
        <v>36.627256061720999</v>
      </c>
      <c r="D11" s="427">
        <f>+'Summary Equip'!$T$41</f>
        <v>32</v>
      </c>
      <c r="E11" s="426">
        <f t="shared" si="0"/>
        <v>44.8</v>
      </c>
      <c r="F11" s="426">
        <f t="shared" si="1"/>
        <v>81.427256061720996</v>
      </c>
      <c r="G11" s="425">
        <v>0</v>
      </c>
      <c r="H11" s="426">
        <f t="shared" si="2"/>
        <v>0</v>
      </c>
      <c r="I11" s="426">
        <f t="shared" si="3"/>
        <v>0</v>
      </c>
      <c r="J11" s="423" t="str">
        <f>B9</f>
        <v>MERC 8X4</v>
      </c>
      <c r="K11" s="423">
        <v>32</v>
      </c>
      <c r="L11" s="434">
        <f>ASSUMPTIONS!B53</f>
        <v>1.83</v>
      </c>
      <c r="M11" s="430">
        <f>K11/L11</f>
        <v>17.486338797814206</v>
      </c>
      <c r="N11" s="434">
        <v>1</v>
      </c>
      <c r="O11" s="430">
        <f>M11*N11</f>
        <v>17.486338797814206</v>
      </c>
      <c r="P11" s="646"/>
      <c r="Q11" s="647"/>
      <c r="R11" s="647"/>
      <c r="S11" s="647"/>
      <c r="T11" s="647"/>
      <c r="U11" s="647"/>
      <c r="V11" s="648"/>
    </row>
    <row r="12" spans="1:33" x14ac:dyDescent="0.45">
      <c r="B12" s="425" t="s">
        <v>227</v>
      </c>
      <c r="C12" s="426">
        <f>+'Summary Equip'!Y47</f>
        <v>23.436920918820121</v>
      </c>
      <c r="D12" s="427">
        <f>+'Summary Equip'!T47</f>
        <v>18</v>
      </c>
      <c r="E12" s="426">
        <f t="shared" si="0"/>
        <v>25.2</v>
      </c>
      <c r="F12" s="426">
        <f t="shared" si="1"/>
        <v>48.636920918820124</v>
      </c>
      <c r="G12" s="425">
        <v>0.4</v>
      </c>
      <c r="H12" s="426">
        <f t="shared" si="2"/>
        <v>9.3747683675280484</v>
      </c>
      <c r="I12" s="426">
        <f t="shared" si="3"/>
        <v>19.45476836752805</v>
      </c>
      <c r="J12" s="423"/>
      <c r="K12" s="423"/>
      <c r="L12" s="434"/>
      <c r="M12" s="430"/>
      <c r="N12" s="434"/>
      <c r="O12" s="430"/>
      <c r="P12" s="646"/>
      <c r="Q12" s="647"/>
      <c r="R12" s="647"/>
      <c r="S12" s="647"/>
      <c r="T12" s="647"/>
      <c r="U12" s="647"/>
      <c r="V12" s="648"/>
      <c r="AC12" s="620"/>
      <c r="AD12" s="620"/>
      <c r="AF12" s="537"/>
    </row>
    <row r="13" spans="1:33" ht="15.75" x14ac:dyDescent="0.5">
      <c r="A13">
        <v>7</v>
      </c>
      <c r="B13" s="425" t="s">
        <v>190</v>
      </c>
      <c r="C13" s="426">
        <f>+'Summary Equip'!$Y$44</f>
        <v>19.578120442289652</v>
      </c>
      <c r="D13" s="427">
        <f>+'Summary Equip'!$T$44</f>
        <v>25</v>
      </c>
      <c r="E13" s="426">
        <f t="shared" si="0"/>
        <v>35</v>
      </c>
      <c r="F13" s="426">
        <f t="shared" si="1"/>
        <v>54.578120442289652</v>
      </c>
      <c r="G13" s="425">
        <v>0</v>
      </c>
      <c r="H13" s="426">
        <f t="shared" si="2"/>
        <v>0</v>
      </c>
      <c r="I13" s="426">
        <f t="shared" si="3"/>
        <v>0</v>
      </c>
      <c r="J13" s="640"/>
      <c r="K13" s="640"/>
      <c r="L13" s="640"/>
      <c r="M13" s="640"/>
      <c r="N13" s="640"/>
      <c r="O13" s="640"/>
      <c r="P13" s="649"/>
      <c r="Q13" s="650"/>
      <c r="R13" s="650"/>
      <c r="S13" s="650"/>
      <c r="T13" s="650"/>
      <c r="U13" s="650"/>
      <c r="V13" s="651"/>
      <c r="W13" s="538" t="s">
        <v>271</v>
      </c>
      <c r="X13" s="624" t="s">
        <v>284</v>
      </c>
      <c r="Y13" s="624"/>
      <c r="Z13" s="624"/>
      <c r="AA13" s="624"/>
      <c r="AC13" s="622" t="s">
        <v>274</v>
      </c>
      <c r="AD13" s="622"/>
      <c r="AE13" s="622" t="s">
        <v>275</v>
      </c>
      <c r="AF13" s="622"/>
      <c r="AG13" s="410"/>
    </row>
    <row r="14" spans="1:33" ht="31.5" x14ac:dyDescent="0.45">
      <c r="B14" s="652" t="s">
        <v>28</v>
      </c>
      <c r="C14" s="653"/>
      <c r="D14" s="653"/>
      <c r="E14" s="653"/>
      <c r="F14" s="653"/>
      <c r="G14" s="654"/>
      <c r="H14" s="658">
        <f>SUM(H6:H13)</f>
        <v>59.91058522025012</v>
      </c>
      <c r="I14" s="658">
        <f>SUM(I6:I13)</f>
        <v>125.99058522025011</v>
      </c>
      <c r="J14" s="435" t="s">
        <v>191</v>
      </c>
      <c r="K14" s="436" t="s">
        <v>188</v>
      </c>
      <c r="L14" s="436" t="s">
        <v>181</v>
      </c>
      <c r="M14" s="437" t="s">
        <v>192</v>
      </c>
      <c r="N14" s="438" t="s">
        <v>193</v>
      </c>
      <c r="O14" s="438" t="s">
        <v>194</v>
      </c>
      <c r="P14" s="439" t="s">
        <v>243</v>
      </c>
      <c r="Q14" s="439" t="s">
        <v>57</v>
      </c>
      <c r="R14" s="438" t="s">
        <v>46</v>
      </c>
      <c r="S14" s="440" t="s">
        <v>196</v>
      </c>
      <c r="T14" s="438" t="s">
        <v>197</v>
      </c>
      <c r="U14" s="441" t="s">
        <v>198</v>
      </c>
      <c r="V14" s="442" t="s">
        <v>199</v>
      </c>
      <c r="W14" s="534" t="s">
        <v>236</v>
      </c>
      <c r="X14" s="534" t="s">
        <v>261</v>
      </c>
      <c r="Y14" s="534" t="s">
        <v>236</v>
      </c>
      <c r="Z14" s="534" t="s">
        <v>266</v>
      </c>
      <c r="AA14" s="534" t="s">
        <v>267</v>
      </c>
      <c r="AB14" s="540"/>
      <c r="AC14" s="442" t="s">
        <v>272</v>
      </c>
      <c r="AD14" s="442" t="s">
        <v>200</v>
      </c>
      <c r="AE14" s="442" t="s">
        <v>273</v>
      </c>
      <c r="AF14" s="442" t="s">
        <v>242</v>
      </c>
    </row>
    <row r="15" spans="1:33" ht="15.75" x14ac:dyDescent="0.5">
      <c r="B15" s="655"/>
      <c r="C15" s="656"/>
      <c r="D15" s="656"/>
      <c r="E15" s="656"/>
      <c r="F15" s="656"/>
      <c r="G15" s="657"/>
      <c r="H15" s="658"/>
      <c r="I15" s="658"/>
      <c r="J15" s="443">
        <f>G9</f>
        <v>0</v>
      </c>
      <c r="K15" s="444">
        <v>0</v>
      </c>
      <c r="L15" s="444">
        <v>0</v>
      </c>
      <c r="M15" s="445">
        <v>100</v>
      </c>
      <c r="N15" s="446">
        <f>H14/M15</f>
        <v>0.59910585220250123</v>
      </c>
      <c r="O15" s="446">
        <f>I14/M15</f>
        <v>1.2599058522025011</v>
      </c>
      <c r="P15" s="447">
        <f>O15-N15</f>
        <v>0.66079999999999983</v>
      </c>
      <c r="Q15" s="447">
        <v>1</v>
      </c>
      <c r="R15" s="531">
        <f>ASSUMPTIONS!$B$18</f>
        <v>0.32</v>
      </c>
      <c r="S15" s="448">
        <f>N15/R15</f>
        <v>1.8722057881328162</v>
      </c>
      <c r="T15" s="447">
        <f>+$C$2</f>
        <v>0</v>
      </c>
      <c r="U15" s="449" t="e">
        <f>Q15/T15</f>
        <v>#DIV/0!</v>
      </c>
      <c r="V15" s="450">
        <f>O15*(1+R15)</f>
        <v>1.6630757249073014</v>
      </c>
      <c r="W15" s="535">
        <f>ASSUMPTIONS!$B$16</f>
        <v>4.0777974265984701E-2</v>
      </c>
      <c r="X15" s="539">
        <f>O15</f>
        <v>1.2599058522025011</v>
      </c>
      <c r="Y15" s="539">
        <f>X15*L11</f>
        <v>2.3056277095305768</v>
      </c>
      <c r="Z15" s="539">
        <f>X15*ASSUMPTIONS!$B$3</f>
        <v>12.914034985075636</v>
      </c>
      <c r="AA15" s="539">
        <f>Y15*ASSUMPTIONS!$B$3</f>
        <v>23.632684022688412</v>
      </c>
      <c r="AB15" s="119"/>
      <c r="AC15" s="450">
        <f>X18*(1+R15)</f>
        <v>1.6924893456893233</v>
      </c>
      <c r="AD15" s="450">
        <f>Y18*(1+R15)</f>
        <v>3.0972555026114614</v>
      </c>
      <c r="AE15" s="517">
        <f>AC15*ASSUMPTIONS!$B$3</f>
        <v>17.348015793315565</v>
      </c>
      <c r="AF15" s="517">
        <f>AD15*ASSUMPTIONS!$B$3</f>
        <v>31.746868901767481</v>
      </c>
    </row>
    <row r="16" spans="1:33" ht="15.75" x14ac:dyDescent="0.5">
      <c r="B16" s="486"/>
      <c r="C16" s="487"/>
      <c r="D16" s="487"/>
      <c r="E16" s="487"/>
      <c r="F16" s="487"/>
      <c r="G16" s="487"/>
      <c r="H16" s="487"/>
      <c r="I16" s="487"/>
      <c r="J16" s="487"/>
      <c r="K16" s="487"/>
      <c r="L16" s="487"/>
      <c r="M16" s="489"/>
      <c r="N16" s="487"/>
      <c r="O16" s="487"/>
      <c r="P16" s="489"/>
      <c r="Q16" s="487"/>
      <c r="R16" s="487"/>
      <c r="S16" s="487"/>
      <c r="T16" s="487"/>
      <c r="U16" s="487"/>
      <c r="V16" s="521"/>
      <c r="X16" s="624" t="s">
        <v>285</v>
      </c>
      <c r="Y16" s="624"/>
      <c r="Z16" s="624"/>
      <c r="AA16" s="624"/>
      <c r="AB16" s="515"/>
      <c r="AC16" s="515"/>
      <c r="AD16" s="515"/>
      <c r="AE16" s="453"/>
    </row>
    <row r="17" spans="1:32" ht="21" x14ac:dyDescent="0.65">
      <c r="B17" s="659" t="s">
        <v>201</v>
      </c>
      <c r="C17" s="659"/>
      <c r="D17" s="659"/>
      <c r="E17" s="659"/>
      <c r="F17" s="659"/>
      <c r="G17" s="659"/>
      <c r="H17" s="659"/>
      <c r="I17" s="659"/>
      <c r="J17" s="659"/>
      <c r="K17" s="659"/>
      <c r="L17" s="659"/>
      <c r="M17" s="659"/>
      <c r="N17" s="659"/>
      <c r="O17" s="659"/>
      <c r="P17" s="659"/>
      <c r="Q17" s="659"/>
      <c r="R17" s="659"/>
      <c r="S17" s="659"/>
      <c r="T17" s="659"/>
      <c r="U17" s="659"/>
      <c r="V17" s="659"/>
      <c r="W17" s="529"/>
      <c r="X17" s="534" t="s">
        <v>261</v>
      </c>
      <c r="Y17" s="534" t="s">
        <v>236</v>
      </c>
      <c r="Z17" s="534" t="s">
        <v>266</v>
      </c>
      <c r="AA17" s="534" t="s">
        <v>267</v>
      </c>
      <c r="AB17" s="119"/>
      <c r="AC17" s="119"/>
      <c r="AD17" s="119"/>
    </row>
    <row r="18" spans="1:32" ht="15.75" x14ac:dyDescent="0.5">
      <c r="B18" s="640" t="s">
        <v>165</v>
      </c>
      <c r="C18" s="641" t="s">
        <v>166</v>
      </c>
      <c r="D18" s="640" t="s">
        <v>167</v>
      </c>
      <c r="E18" s="422" t="s">
        <v>168</v>
      </c>
      <c r="F18" s="641" t="s">
        <v>169</v>
      </c>
      <c r="G18" s="640" t="s">
        <v>170</v>
      </c>
      <c r="H18" s="640" t="s">
        <v>171</v>
      </c>
      <c r="I18" s="640" t="s">
        <v>172</v>
      </c>
      <c r="J18" s="640" t="s">
        <v>173</v>
      </c>
      <c r="K18" s="640" t="s">
        <v>174</v>
      </c>
      <c r="L18" s="640" t="s">
        <v>175</v>
      </c>
      <c r="M18" s="640" t="s">
        <v>176</v>
      </c>
      <c r="N18" s="640" t="s">
        <v>175</v>
      </c>
      <c r="O18" s="640" t="s">
        <v>177</v>
      </c>
      <c r="P18" s="640" t="s">
        <v>178</v>
      </c>
      <c r="Q18" s="640" t="s">
        <v>179</v>
      </c>
      <c r="R18" s="640" t="s">
        <v>180</v>
      </c>
      <c r="S18" s="423" t="s">
        <v>181</v>
      </c>
      <c r="T18" s="421"/>
      <c r="U18" s="421"/>
      <c r="V18" s="421"/>
      <c r="W18" s="119"/>
      <c r="X18" s="539">
        <f>X15+(W15/L11)</f>
        <v>1.2821888982494873</v>
      </c>
      <c r="Y18" s="539">
        <f>Y15+W15</f>
        <v>2.3464056837965614</v>
      </c>
      <c r="Z18" s="539">
        <f>X18*ASSUMPTIONS!$B$3</f>
        <v>13.142436207057246</v>
      </c>
      <c r="AA18" s="539">
        <f>Y18*ASSUMPTIONS!$B$3</f>
        <v>24.050658258914755</v>
      </c>
    </row>
    <row r="19" spans="1:32" x14ac:dyDescent="0.45">
      <c r="B19" s="640"/>
      <c r="C19" s="641"/>
      <c r="D19" s="640"/>
      <c r="E19" s="424">
        <f>+E7</f>
        <v>1.4</v>
      </c>
      <c r="F19" s="641"/>
      <c r="G19" s="640"/>
      <c r="H19" s="640"/>
      <c r="I19" s="640"/>
      <c r="J19" s="640"/>
      <c r="K19" s="640"/>
      <c r="L19" s="640"/>
      <c r="M19" s="640"/>
      <c r="N19" s="640"/>
      <c r="O19" s="640"/>
      <c r="P19" s="640"/>
      <c r="Q19" s="640"/>
      <c r="R19" s="640"/>
      <c r="S19" s="423">
        <v>60</v>
      </c>
      <c r="T19" s="421"/>
      <c r="U19" s="421"/>
      <c r="V19" s="421"/>
      <c r="X19" s="410"/>
      <c r="Y19" s="410"/>
      <c r="Z19" s="410"/>
      <c r="AA19" s="410"/>
      <c r="AB19" s="410"/>
      <c r="AC19" s="410"/>
      <c r="AD19" s="410"/>
    </row>
    <row r="20" spans="1:32" x14ac:dyDescent="0.45">
      <c r="A20">
        <v>22</v>
      </c>
      <c r="B20" s="425" t="str">
        <f>'Summary Equip'!B35</f>
        <v>EXC 90t</v>
      </c>
      <c r="C20" s="426">
        <f>'Summary Equip'!Y35</f>
        <v>125.80460597118052</v>
      </c>
      <c r="D20" s="427">
        <f>+'Summary Equip'!$T$35</f>
        <v>100</v>
      </c>
      <c r="E20" s="426">
        <f t="shared" ref="E20:E25" si="4">+D20*$E$7</f>
        <v>140</v>
      </c>
      <c r="F20" s="426">
        <f t="shared" ref="F20:F25" si="5">C20+E20</f>
        <v>265.80460597118054</v>
      </c>
      <c r="G20" s="425">
        <v>1</v>
      </c>
      <c r="H20" s="426">
        <f t="shared" ref="H20:H25" si="6">G20*C20</f>
        <v>125.80460597118052</v>
      </c>
      <c r="I20" s="426">
        <f t="shared" ref="I20:I25" si="7">G20*F20</f>
        <v>265.80460597118054</v>
      </c>
      <c r="J20" s="423">
        <v>0</v>
      </c>
      <c r="K20" s="428">
        <f>+J20*(60/(L20*1000))</f>
        <v>0</v>
      </c>
      <c r="L20" s="429">
        <v>25</v>
      </c>
      <c r="M20" s="428">
        <f>+J20*(60/(N20*1000))</f>
        <v>0</v>
      </c>
      <c r="N20" s="429">
        <v>30</v>
      </c>
      <c r="O20" s="430">
        <v>5</v>
      </c>
      <c r="P20" s="423">
        <v>1</v>
      </c>
      <c r="Q20" s="430">
        <v>2</v>
      </c>
      <c r="R20" s="431">
        <f>SUM(K20,M20,O20,P20,Q20)</f>
        <v>8</v>
      </c>
      <c r="S20" s="431">
        <f>S19/R20</f>
        <v>7.5</v>
      </c>
      <c r="T20" s="421"/>
      <c r="U20" s="421"/>
      <c r="V20" s="432">
        <v>111</v>
      </c>
    </row>
    <row r="21" spans="1:32" x14ac:dyDescent="0.45">
      <c r="A21">
        <v>5</v>
      </c>
      <c r="B21" s="425" t="s">
        <v>311</v>
      </c>
      <c r="C21" s="426">
        <f>'Summary Equip'!Y38</f>
        <v>51.163116935372344</v>
      </c>
      <c r="D21" s="427">
        <f>+'Summary Equip'!$T$38</f>
        <v>53</v>
      </c>
      <c r="E21" s="426">
        <f t="shared" si="4"/>
        <v>74.199999999999989</v>
      </c>
      <c r="F21" s="426">
        <f t="shared" si="5"/>
        <v>125.36311693537233</v>
      </c>
      <c r="G21" s="433">
        <v>0</v>
      </c>
      <c r="H21" s="426">
        <f t="shared" si="6"/>
        <v>0</v>
      </c>
      <c r="I21" s="426">
        <f t="shared" si="7"/>
        <v>0</v>
      </c>
      <c r="J21" s="642"/>
      <c r="K21" s="642"/>
      <c r="L21" s="642"/>
      <c r="M21" s="642"/>
      <c r="N21" s="642"/>
      <c r="O21" s="642"/>
      <c r="P21" s="660"/>
      <c r="Q21" s="644"/>
      <c r="R21" s="644"/>
      <c r="S21" s="644"/>
      <c r="T21" s="644"/>
      <c r="U21" s="644"/>
      <c r="V21" s="645"/>
    </row>
    <row r="22" spans="1:32" x14ac:dyDescent="0.45">
      <c r="A22">
        <v>12</v>
      </c>
      <c r="B22" s="425" t="s">
        <v>183</v>
      </c>
      <c r="C22" s="426">
        <f>+'Summary Equip'!$Y$40</f>
        <v>63.818130750747699</v>
      </c>
      <c r="D22" s="427">
        <f>+'Summary Equip'!$T$40</f>
        <v>100</v>
      </c>
      <c r="E22" s="426">
        <f t="shared" si="4"/>
        <v>140</v>
      </c>
      <c r="F22" s="426">
        <f t="shared" si="5"/>
        <v>203.81813075074768</v>
      </c>
      <c r="G22" s="425">
        <v>1.1000000000000001</v>
      </c>
      <c r="H22" s="426">
        <f t="shared" si="6"/>
        <v>70.199943825822473</v>
      </c>
      <c r="I22" s="426">
        <f t="shared" si="7"/>
        <v>224.19994382582246</v>
      </c>
      <c r="J22" s="423"/>
      <c r="K22" s="423" t="s">
        <v>184</v>
      </c>
      <c r="L22" s="423" t="s">
        <v>185</v>
      </c>
      <c r="M22" s="423" t="s">
        <v>186</v>
      </c>
      <c r="N22" s="423" t="s">
        <v>187</v>
      </c>
      <c r="O22" s="423" t="s">
        <v>188</v>
      </c>
      <c r="P22" s="646"/>
      <c r="Q22" s="647"/>
      <c r="R22" s="647"/>
      <c r="S22" s="647"/>
      <c r="T22" s="647"/>
      <c r="U22" s="647"/>
      <c r="V22" s="648"/>
      <c r="W22" s="410"/>
    </row>
    <row r="23" spans="1:32" x14ac:dyDescent="0.45">
      <c r="A23">
        <v>11</v>
      </c>
      <c r="B23" s="425" t="s">
        <v>189</v>
      </c>
      <c r="C23" s="426">
        <f>+'Summary Equip'!$Y$41</f>
        <v>36.627256061720999</v>
      </c>
      <c r="D23" s="427">
        <f>+'Summary Equip'!$T$41</f>
        <v>32</v>
      </c>
      <c r="E23" s="426">
        <f t="shared" si="4"/>
        <v>44.8</v>
      </c>
      <c r="F23" s="426">
        <f t="shared" si="5"/>
        <v>81.427256061720996</v>
      </c>
      <c r="G23" s="425">
        <v>0</v>
      </c>
      <c r="H23" s="426">
        <f t="shared" si="6"/>
        <v>0</v>
      </c>
      <c r="I23" s="426">
        <f t="shared" si="7"/>
        <v>0</v>
      </c>
      <c r="J23" s="423" t="str">
        <f>B21</f>
        <v>DT-80t</v>
      </c>
      <c r="K23" s="423">
        <v>60</v>
      </c>
      <c r="L23" s="434">
        <f>+ASSUMPTIONS!$B$53</f>
        <v>1.83</v>
      </c>
      <c r="M23" s="430">
        <f>K23/L23</f>
        <v>32.786885245901637</v>
      </c>
      <c r="N23" s="434"/>
      <c r="O23" s="452">
        <v>32</v>
      </c>
      <c r="P23" s="646"/>
      <c r="Q23" s="647"/>
      <c r="R23" s="647"/>
      <c r="S23" s="647"/>
      <c r="T23" s="647"/>
      <c r="U23" s="647"/>
      <c r="V23" s="648"/>
    </row>
    <row r="24" spans="1:32" x14ac:dyDescent="0.45">
      <c r="B24" s="425" t="s">
        <v>227</v>
      </c>
      <c r="C24" s="426">
        <f>+'Summary Equip'!Y47</f>
        <v>23.436920918820121</v>
      </c>
      <c r="D24" s="427">
        <f>+'Summary Equip'!T47</f>
        <v>18</v>
      </c>
      <c r="E24" s="426">
        <f t="shared" si="4"/>
        <v>25.2</v>
      </c>
      <c r="F24" s="426">
        <f t="shared" si="5"/>
        <v>48.636920918820124</v>
      </c>
      <c r="G24" s="425">
        <v>0.6</v>
      </c>
      <c r="H24" s="426">
        <f t="shared" si="6"/>
        <v>14.062152551292073</v>
      </c>
      <c r="I24" s="426">
        <f t="shared" si="7"/>
        <v>29.182152551292074</v>
      </c>
      <c r="J24" s="423"/>
      <c r="K24" s="423"/>
      <c r="L24" s="434"/>
      <c r="M24" s="430"/>
      <c r="N24" s="434"/>
      <c r="O24" s="452"/>
      <c r="P24" s="646"/>
      <c r="Q24" s="647"/>
      <c r="R24" s="647"/>
      <c r="S24" s="647"/>
      <c r="T24" s="647"/>
      <c r="U24" s="647"/>
      <c r="V24" s="648"/>
      <c r="AC24" s="470"/>
      <c r="AD24" s="470"/>
      <c r="AF24" s="532"/>
    </row>
    <row r="25" spans="1:32" ht="15.75" x14ac:dyDescent="0.5">
      <c r="A25">
        <v>7</v>
      </c>
      <c r="B25" s="425" t="s">
        <v>190</v>
      </c>
      <c r="C25" s="426">
        <f>+'Summary Equip'!$Y$44</f>
        <v>19.578120442289652</v>
      </c>
      <c r="D25" s="427">
        <f>+'Summary Equip'!$T$44</f>
        <v>25</v>
      </c>
      <c r="E25" s="426">
        <f t="shared" si="4"/>
        <v>35</v>
      </c>
      <c r="F25" s="426">
        <f t="shared" si="5"/>
        <v>54.578120442289652</v>
      </c>
      <c r="G25" s="425">
        <v>0</v>
      </c>
      <c r="H25" s="426">
        <f t="shared" si="6"/>
        <v>0</v>
      </c>
      <c r="I25" s="426">
        <f t="shared" si="7"/>
        <v>0</v>
      </c>
      <c r="J25" s="640"/>
      <c r="K25" s="640"/>
      <c r="L25" s="640"/>
      <c r="M25" s="640"/>
      <c r="N25" s="640"/>
      <c r="O25" s="640"/>
      <c r="P25" s="649"/>
      <c r="Q25" s="650"/>
      <c r="R25" s="650"/>
      <c r="S25" s="650"/>
      <c r="T25" s="650"/>
      <c r="U25" s="650"/>
      <c r="V25" s="651"/>
      <c r="W25" s="538" t="s">
        <v>271</v>
      </c>
      <c r="X25" s="624" t="s">
        <v>284</v>
      </c>
      <c r="Y25" s="624"/>
      <c r="Z25" s="624"/>
      <c r="AA25" s="624"/>
      <c r="AC25" s="622" t="s">
        <v>274</v>
      </c>
      <c r="AD25" s="622"/>
      <c r="AE25" s="622" t="s">
        <v>275</v>
      </c>
      <c r="AF25" s="622"/>
    </row>
    <row r="26" spans="1:32" ht="31.5" x14ac:dyDescent="0.45">
      <c r="B26" s="652" t="s">
        <v>28</v>
      </c>
      <c r="C26" s="653"/>
      <c r="D26" s="653"/>
      <c r="E26" s="653"/>
      <c r="F26" s="653"/>
      <c r="G26" s="654"/>
      <c r="H26" s="658">
        <f>SUM(H18:H25)</f>
        <v>210.06670234829505</v>
      </c>
      <c r="I26" s="658">
        <f>SUM(I18:I25)</f>
        <v>519.18670234829506</v>
      </c>
      <c r="J26" s="435" t="s">
        <v>191</v>
      </c>
      <c r="K26" s="436" t="s">
        <v>188</v>
      </c>
      <c r="L26" s="436" t="s">
        <v>181</v>
      </c>
      <c r="M26" s="437" t="s">
        <v>192</v>
      </c>
      <c r="N26" s="438" t="s">
        <v>193</v>
      </c>
      <c r="O26" s="438" t="s">
        <v>194</v>
      </c>
      <c r="P26" s="439" t="s">
        <v>243</v>
      </c>
      <c r="Q26" s="439" t="s">
        <v>57</v>
      </c>
      <c r="R26" s="438" t="s">
        <v>46</v>
      </c>
      <c r="S26" s="440" t="s">
        <v>196</v>
      </c>
      <c r="T26" s="438" t="s">
        <v>197</v>
      </c>
      <c r="U26" s="441" t="s">
        <v>198</v>
      </c>
      <c r="V26" s="442" t="s">
        <v>199</v>
      </c>
      <c r="W26" s="534" t="s">
        <v>236</v>
      </c>
      <c r="X26" s="534" t="s">
        <v>261</v>
      </c>
      <c r="Y26" s="534" t="s">
        <v>236</v>
      </c>
      <c r="Z26" s="534" t="s">
        <v>266</v>
      </c>
      <c r="AA26" s="534" t="s">
        <v>267</v>
      </c>
      <c r="AB26" s="540"/>
      <c r="AC26" s="442" t="s">
        <v>272</v>
      </c>
      <c r="AD26" s="442" t="s">
        <v>200</v>
      </c>
      <c r="AE26" s="442" t="s">
        <v>273</v>
      </c>
      <c r="AF26" s="442" t="s">
        <v>242</v>
      </c>
    </row>
    <row r="27" spans="1:32" ht="15.75" x14ac:dyDescent="0.5">
      <c r="B27" s="655"/>
      <c r="C27" s="656"/>
      <c r="D27" s="656"/>
      <c r="E27" s="656"/>
      <c r="F27" s="656"/>
      <c r="G27" s="657"/>
      <c r="H27" s="658"/>
      <c r="I27" s="658"/>
      <c r="J27" s="443">
        <f>G21</f>
        <v>0</v>
      </c>
      <c r="K27" s="444">
        <v>0</v>
      </c>
      <c r="L27" s="444">
        <v>0</v>
      </c>
      <c r="M27" s="445">
        <v>430</v>
      </c>
      <c r="N27" s="446">
        <f>H26/M27</f>
        <v>0.48852721476347688</v>
      </c>
      <c r="O27" s="446">
        <f>I26/M27</f>
        <v>1.2074109356937095</v>
      </c>
      <c r="P27" s="447">
        <f>O27-N27</f>
        <v>0.71888372093023256</v>
      </c>
      <c r="Q27" s="447">
        <v>1</v>
      </c>
      <c r="R27" s="531">
        <f>ASSUMPTIONS!$B$18</f>
        <v>0.32</v>
      </c>
      <c r="S27" s="448">
        <f>N27/R27</f>
        <v>1.5266475461358653</v>
      </c>
      <c r="T27" s="447">
        <f>+$C$2</f>
        <v>0</v>
      </c>
      <c r="U27" s="449" t="e">
        <f>Q27/T27</f>
        <v>#DIV/0!</v>
      </c>
      <c r="V27" s="450">
        <f>O27*(1+R27)</f>
        <v>1.5937824351156966</v>
      </c>
      <c r="W27" s="535">
        <f>ASSUMPTIONS!$B$16</f>
        <v>4.0777974265984701E-2</v>
      </c>
      <c r="X27" s="539">
        <f>O27</f>
        <v>1.2074109356937095</v>
      </c>
      <c r="Y27" s="539">
        <f>X27*L23</f>
        <v>2.2095620123194886</v>
      </c>
      <c r="Z27" s="539">
        <f>X27*ASSUMPTIONS!$B$3</f>
        <v>12.375962090860522</v>
      </c>
      <c r="AA27" s="539">
        <f>Y27*ASSUMPTIONS!$B$3</f>
        <v>22.648010626274758</v>
      </c>
      <c r="AB27" s="119"/>
      <c r="AC27" s="450">
        <f>X30*(1+R27)</f>
        <v>1.6231960558977185</v>
      </c>
      <c r="AD27" s="450">
        <f>Y30*(1+R27)</f>
        <v>2.9704487822928249</v>
      </c>
      <c r="AE27" s="517">
        <f>AC27*ASSUMPTIONS!$B$3</f>
        <v>16.637759572951616</v>
      </c>
      <c r="AF27" s="517">
        <f>AD27*ASSUMPTIONS!$B$3</f>
        <v>30.447100018501455</v>
      </c>
    </row>
    <row r="28" spans="1:32" ht="15.75" x14ac:dyDescent="0.5">
      <c r="B28" s="486"/>
      <c r="C28" s="487"/>
      <c r="D28" s="487"/>
      <c r="E28" s="487"/>
      <c r="F28" s="487"/>
      <c r="G28" s="487"/>
      <c r="H28" s="487"/>
      <c r="I28" s="487"/>
      <c r="J28" s="487"/>
      <c r="K28" s="487"/>
      <c r="L28" s="487"/>
      <c r="M28" s="487"/>
      <c r="N28" s="487"/>
      <c r="O28" s="533"/>
      <c r="P28" s="487"/>
      <c r="Q28" s="487"/>
      <c r="R28" s="487"/>
      <c r="S28" s="487"/>
      <c r="T28" s="487"/>
      <c r="U28" s="487"/>
      <c r="V28" s="488"/>
      <c r="X28" s="624" t="s">
        <v>285</v>
      </c>
      <c r="Y28" s="624"/>
      <c r="Z28" s="624"/>
      <c r="AA28" s="624"/>
      <c r="AB28" s="515"/>
      <c r="AC28" s="515"/>
      <c r="AD28" s="515"/>
      <c r="AE28" s="453"/>
    </row>
    <row r="29" spans="1:32" ht="21" x14ac:dyDescent="0.65">
      <c r="B29" s="639" t="s">
        <v>249</v>
      </c>
      <c r="C29" s="639"/>
      <c r="D29" s="639"/>
      <c r="E29" s="639"/>
      <c r="F29" s="639"/>
      <c r="G29" s="639"/>
      <c r="H29" s="639"/>
      <c r="I29" s="639"/>
      <c r="J29" s="639"/>
      <c r="K29" s="639"/>
      <c r="L29" s="639"/>
      <c r="M29" s="639"/>
      <c r="N29" s="639"/>
      <c r="O29" s="639"/>
      <c r="P29" s="639"/>
      <c r="Q29" s="639"/>
      <c r="R29" s="639"/>
      <c r="S29" s="639"/>
      <c r="T29" s="639"/>
      <c r="U29" s="639"/>
      <c r="V29" s="639"/>
      <c r="X29" s="534" t="s">
        <v>261</v>
      </c>
      <c r="Y29" s="534" t="s">
        <v>236</v>
      </c>
      <c r="Z29" s="534" t="s">
        <v>266</v>
      </c>
      <c r="AA29" s="534" t="s">
        <v>267</v>
      </c>
      <c r="AB29" s="119"/>
      <c r="AC29" s="119"/>
      <c r="AD29" s="119"/>
    </row>
    <row r="30" spans="1:32" ht="15.75" x14ac:dyDescent="0.5">
      <c r="B30" s="640" t="s">
        <v>165</v>
      </c>
      <c r="C30" s="641" t="s">
        <v>166</v>
      </c>
      <c r="D30" s="640" t="s">
        <v>167</v>
      </c>
      <c r="E30" s="422" t="s">
        <v>203</v>
      </c>
      <c r="F30" s="641" t="s">
        <v>169</v>
      </c>
      <c r="G30" s="640" t="s">
        <v>170</v>
      </c>
      <c r="H30" s="640" t="s">
        <v>171</v>
      </c>
      <c r="I30" s="640" t="s">
        <v>172</v>
      </c>
      <c r="J30" s="640" t="s">
        <v>173</v>
      </c>
      <c r="K30" s="640" t="s">
        <v>174</v>
      </c>
      <c r="L30" s="640" t="s">
        <v>175</v>
      </c>
      <c r="M30" s="640" t="s">
        <v>176</v>
      </c>
      <c r="N30" s="640" t="s">
        <v>175</v>
      </c>
      <c r="O30" s="640" t="s">
        <v>177</v>
      </c>
      <c r="P30" s="640" t="s">
        <v>178</v>
      </c>
      <c r="Q30" s="640" t="s">
        <v>179</v>
      </c>
      <c r="R30" s="640" t="s">
        <v>180</v>
      </c>
      <c r="S30" s="423" t="s">
        <v>181</v>
      </c>
      <c r="T30" s="421"/>
      <c r="U30" s="421"/>
      <c r="V30" s="421"/>
      <c r="W30" s="410"/>
      <c r="X30" s="539">
        <f>X27+(W27/L23)</f>
        <v>1.2296939817406958</v>
      </c>
      <c r="Y30" s="539">
        <f>Y27+W27</f>
        <v>2.2503399865854732</v>
      </c>
      <c r="Z30" s="539">
        <f>X30*ASSUMPTIONS!$B$3</f>
        <v>12.604363312842132</v>
      </c>
      <c r="AA30" s="539">
        <f>Y30*ASSUMPTIONS!$B$3</f>
        <v>23.0659848625011</v>
      </c>
      <c r="AB30" s="410"/>
      <c r="AC30" s="410"/>
      <c r="AD30" s="410"/>
      <c r="AF30" s="410"/>
    </row>
    <row r="31" spans="1:32" x14ac:dyDescent="0.45">
      <c r="B31" s="640"/>
      <c r="C31" s="641"/>
      <c r="D31" s="640"/>
      <c r="E31" s="424">
        <f>+E19</f>
        <v>1.4</v>
      </c>
      <c r="F31" s="641"/>
      <c r="G31" s="640"/>
      <c r="H31" s="640"/>
      <c r="I31" s="640"/>
      <c r="J31" s="640"/>
      <c r="K31" s="640"/>
      <c r="L31" s="640"/>
      <c r="M31" s="640"/>
      <c r="N31" s="640"/>
      <c r="O31" s="640"/>
      <c r="P31" s="640"/>
      <c r="Q31" s="640"/>
      <c r="R31" s="640"/>
      <c r="S31" s="423">
        <v>60</v>
      </c>
      <c r="T31" s="421"/>
      <c r="U31" s="421"/>
      <c r="V31" s="421"/>
    </row>
    <row r="32" spans="1:32" x14ac:dyDescent="0.45">
      <c r="A32">
        <v>2</v>
      </c>
      <c r="B32" s="425" t="s">
        <v>139</v>
      </c>
      <c r="C32" s="426">
        <f>+'Summary Equip'!Y43</f>
        <v>27.152802859182788</v>
      </c>
      <c r="D32" s="427">
        <f>+'Summary Equip'!T43</f>
        <v>43</v>
      </c>
      <c r="E32" s="426">
        <f t="shared" ref="E32:E37" si="8">+D32*$E$7</f>
        <v>60.199999999999996</v>
      </c>
      <c r="F32" s="426">
        <f t="shared" ref="F32:F37" si="9">C32+E32</f>
        <v>87.352802859182788</v>
      </c>
      <c r="G32" s="425">
        <v>0</v>
      </c>
      <c r="H32" s="426">
        <f t="shared" ref="H32:H37" si="10">G32*C32</f>
        <v>0</v>
      </c>
      <c r="I32" s="426">
        <f t="shared" ref="I32:I37" si="11">G32*F32</f>
        <v>0</v>
      </c>
      <c r="J32" s="423">
        <f>11370+(ASSUMPTIONS!B46*0.8)</f>
        <v>13513.2</v>
      </c>
      <c r="K32" s="428">
        <f>+J32*(60/(L32*1000))</f>
        <v>40.5396</v>
      </c>
      <c r="L32" s="429">
        <v>20</v>
      </c>
      <c r="M32" s="428">
        <f>+J32*(60/(N32*1000))</f>
        <v>23.165485714285715</v>
      </c>
      <c r="N32" s="429">
        <v>35</v>
      </c>
      <c r="O32" s="430">
        <v>0</v>
      </c>
      <c r="P32" s="423">
        <v>0</v>
      </c>
      <c r="Q32" s="430">
        <v>1</v>
      </c>
      <c r="R32" s="431">
        <f>SUM(K32,M32,O32,P32,Q32)</f>
        <v>64.705085714285715</v>
      </c>
      <c r="S32" s="431">
        <f>S31/R32</f>
        <v>0.92728414370608092</v>
      </c>
      <c r="T32" s="421"/>
      <c r="U32" s="421"/>
      <c r="V32" s="432">
        <v>381.54240000000004</v>
      </c>
    </row>
    <row r="33" spans="1:32" x14ac:dyDescent="0.45">
      <c r="A33">
        <v>6</v>
      </c>
      <c r="B33" s="425" t="s">
        <v>136</v>
      </c>
      <c r="C33" s="426">
        <f>+'Summary Equip'!Y37</f>
        <v>20.014413001331896</v>
      </c>
      <c r="D33" s="427">
        <f>+'Summary Equip'!T37</f>
        <v>25</v>
      </c>
      <c r="E33" s="426">
        <f t="shared" si="8"/>
        <v>35</v>
      </c>
      <c r="F33" s="426">
        <f t="shared" si="9"/>
        <v>55.014413001331896</v>
      </c>
      <c r="G33" s="433">
        <v>1</v>
      </c>
      <c r="H33" s="426">
        <f t="shared" si="10"/>
        <v>20.014413001331896</v>
      </c>
      <c r="I33" s="426">
        <f t="shared" si="11"/>
        <v>55.014413001331896</v>
      </c>
      <c r="J33" s="642"/>
      <c r="K33" s="642"/>
      <c r="L33" s="642"/>
      <c r="M33" s="642"/>
      <c r="N33" s="642"/>
      <c r="O33" s="642"/>
      <c r="P33" s="660"/>
      <c r="Q33" s="644"/>
      <c r="R33" s="644"/>
      <c r="S33" s="644"/>
      <c r="T33" s="644"/>
      <c r="U33" s="644"/>
      <c r="V33" s="645"/>
    </row>
    <row r="34" spans="1:32" x14ac:dyDescent="0.45">
      <c r="A34">
        <v>12</v>
      </c>
      <c r="B34" s="425" t="s">
        <v>183</v>
      </c>
      <c r="C34" s="426">
        <f>+'Summary Equip'!Y40</f>
        <v>63.818130750747699</v>
      </c>
      <c r="D34" s="427">
        <f>+'Summary Equip'!T40</f>
        <v>100</v>
      </c>
      <c r="E34" s="426">
        <f t="shared" si="8"/>
        <v>140</v>
      </c>
      <c r="F34" s="426">
        <f t="shared" si="9"/>
        <v>203.81813075074768</v>
      </c>
      <c r="G34" s="425">
        <v>0</v>
      </c>
      <c r="H34" s="426">
        <f t="shared" si="10"/>
        <v>0</v>
      </c>
      <c r="I34" s="426">
        <f t="shared" si="11"/>
        <v>0</v>
      </c>
      <c r="J34" s="423"/>
      <c r="K34" s="423" t="s">
        <v>184</v>
      </c>
      <c r="L34" s="423" t="s">
        <v>185</v>
      </c>
      <c r="M34" s="423" t="s">
        <v>186</v>
      </c>
      <c r="N34" s="423" t="s">
        <v>187</v>
      </c>
      <c r="O34" s="423" t="s">
        <v>188</v>
      </c>
      <c r="P34" s="646"/>
      <c r="Q34" s="647"/>
      <c r="R34" s="647"/>
      <c r="S34" s="647"/>
      <c r="T34" s="647"/>
      <c r="U34" s="647"/>
      <c r="V34" s="648"/>
    </row>
    <row r="35" spans="1:32" x14ac:dyDescent="0.45">
      <c r="A35">
        <v>11</v>
      </c>
      <c r="B35" s="425" t="s">
        <v>189</v>
      </c>
      <c r="C35" s="426">
        <f>+'Summary Equip'!Y41</f>
        <v>36.627256061720999</v>
      </c>
      <c r="D35" s="427">
        <f>+'Summary Equip'!$T$41</f>
        <v>32</v>
      </c>
      <c r="E35" s="426">
        <f t="shared" si="8"/>
        <v>44.8</v>
      </c>
      <c r="F35" s="426">
        <f t="shared" si="9"/>
        <v>81.427256061720996</v>
      </c>
      <c r="G35" s="425">
        <v>0.6</v>
      </c>
      <c r="H35" s="426">
        <f t="shared" si="10"/>
        <v>21.976353637032599</v>
      </c>
      <c r="I35" s="426">
        <f t="shared" si="11"/>
        <v>48.856353637032598</v>
      </c>
      <c r="J35" s="423" t="str">
        <f>B33</f>
        <v>MERC 8X4</v>
      </c>
      <c r="K35" s="423">
        <v>32</v>
      </c>
      <c r="L35" s="434">
        <f>+ASSUMPTIONS!$B$53</f>
        <v>1.83</v>
      </c>
      <c r="M35" s="430">
        <f>K35/L35</f>
        <v>17.486338797814206</v>
      </c>
      <c r="N35" s="434">
        <v>1</v>
      </c>
      <c r="O35" s="430">
        <f>M35*N35</f>
        <v>17.486338797814206</v>
      </c>
      <c r="P35" s="646"/>
      <c r="Q35" s="647"/>
      <c r="R35" s="647"/>
      <c r="S35" s="647"/>
      <c r="T35" s="647"/>
      <c r="U35" s="647"/>
      <c r="V35" s="648"/>
      <c r="AC35" s="620"/>
      <c r="AD35" s="620"/>
      <c r="AF35" s="537"/>
    </row>
    <row r="36" spans="1:32" ht="15.75" x14ac:dyDescent="0.5">
      <c r="A36">
        <v>7</v>
      </c>
      <c r="B36" s="425" t="s">
        <v>190</v>
      </c>
      <c r="C36" s="426">
        <f>+'Summary Equip'!Y44</f>
        <v>19.578120442289652</v>
      </c>
      <c r="D36" s="427">
        <f>+'Summary Equip'!$T$44</f>
        <v>25</v>
      </c>
      <c r="E36" s="426">
        <f t="shared" si="8"/>
        <v>35</v>
      </c>
      <c r="F36" s="426">
        <f t="shared" si="9"/>
        <v>54.578120442289652</v>
      </c>
      <c r="G36" s="425">
        <v>0.9</v>
      </c>
      <c r="H36" s="426">
        <f t="shared" si="10"/>
        <v>17.620308398060686</v>
      </c>
      <c r="I36" s="426">
        <f t="shared" si="11"/>
        <v>49.120308398060686</v>
      </c>
      <c r="J36" s="640"/>
      <c r="K36" s="640"/>
      <c r="L36" s="640"/>
      <c r="M36" s="640"/>
      <c r="N36" s="640"/>
      <c r="O36" s="640"/>
      <c r="P36" s="649"/>
      <c r="Q36" s="650"/>
      <c r="R36" s="650"/>
      <c r="S36" s="650"/>
      <c r="T36" s="650"/>
      <c r="U36" s="650"/>
      <c r="V36" s="651"/>
      <c r="W36" s="538" t="s">
        <v>271</v>
      </c>
      <c r="X36" s="624" t="s">
        <v>284</v>
      </c>
      <c r="Y36" s="624"/>
      <c r="Z36" s="624"/>
      <c r="AA36" s="624"/>
      <c r="AC36" s="622" t="s">
        <v>274</v>
      </c>
      <c r="AD36" s="622"/>
      <c r="AE36" s="622" t="s">
        <v>275</v>
      </c>
      <c r="AF36" s="622"/>
    </row>
    <row r="37" spans="1:32" ht="15.75" x14ac:dyDescent="0.5">
      <c r="B37" s="563" t="s">
        <v>301</v>
      </c>
      <c r="C37" s="564">
        <f>'Summary Equip'!Y42</f>
        <v>30.771081896796723</v>
      </c>
      <c r="D37" s="565">
        <f>'Summary Equip'!T42</f>
        <v>13</v>
      </c>
      <c r="E37" s="426">
        <f t="shared" si="8"/>
        <v>18.2</v>
      </c>
      <c r="F37" s="426">
        <f t="shared" si="9"/>
        <v>48.971081896796719</v>
      </c>
      <c r="G37" s="566">
        <v>0.5</v>
      </c>
      <c r="H37" s="426">
        <f t="shared" si="10"/>
        <v>15.385540948398361</v>
      </c>
      <c r="I37" s="426">
        <f t="shared" si="11"/>
        <v>24.485540948398359</v>
      </c>
      <c r="J37" s="568"/>
      <c r="K37" s="568"/>
      <c r="L37" s="568"/>
      <c r="M37" s="568"/>
      <c r="N37" s="568"/>
      <c r="O37" s="568"/>
      <c r="P37" s="559"/>
      <c r="Q37" s="560"/>
      <c r="R37" s="560"/>
      <c r="S37" s="560"/>
      <c r="T37" s="560"/>
      <c r="U37" s="560"/>
      <c r="V37" s="561"/>
      <c r="W37" s="538"/>
      <c r="X37" s="558"/>
      <c r="Y37" s="558"/>
      <c r="Z37" s="558"/>
      <c r="AA37" s="558"/>
      <c r="AC37" s="538"/>
      <c r="AD37" s="538"/>
      <c r="AE37" s="538"/>
      <c r="AF37" s="538"/>
    </row>
    <row r="38" spans="1:32" ht="31.5" x14ac:dyDescent="0.45">
      <c r="B38" s="652" t="s">
        <v>28</v>
      </c>
      <c r="C38" s="653"/>
      <c r="D38" s="653"/>
      <c r="E38" s="653"/>
      <c r="F38" s="653"/>
      <c r="G38" s="654"/>
      <c r="H38" s="658">
        <f>SUM(H30:H37)</f>
        <v>74.996615984823535</v>
      </c>
      <c r="I38" s="658">
        <f>SUM(I30:I37)</f>
        <v>177.47661598482352</v>
      </c>
      <c r="J38" s="435" t="s">
        <v>191</v>
      </c>
      <c r="K38" s="436" t="s">
        <v>188</v>
      </c>
      <c r="L38" s="436" t="s">
        <v>181</v>
      </c>
      <c r="M38" s="437" t="s">
        <v>192</v>
      </c>
      <c r="N38" s="438" t="s">
        <v>193</v>
      </c>
      <c r="O38" s="438" t="s">
        <v>194</v>
      </c>
      <c r="P38" s="439" t="s">
        <v>195</v>
      </c>
      <c r="Q38" s="439" t="s">
        <v>57</v>
      </c>
      <c r="R38" s="438" t="s">
        <v>46</v>
      </c>
      <c r="S38" s="440" t="s">
        <v>196</v>
      </c>
      <c r="T38" s="438" t="s">
        <v>197</v>
      </c>
      <c r="U38" s="441" t="s">
        <v>198</v>
      </c>
      <c r="V38" s="442" t="s">
        <v>199</v>
      </c>
      <c r="W38" s="534" t="s">
        <v>236</v>
      </c>
      <c r="X38" s="534" t="s">
        <v>261</v>
      </c>
      <c r="Y38" s="534" t="s">
        <v>236</v>
      </c>
      <c r="Z38" s="534" t="s">
        <v>266</v>
      </c>
      <c r="AA38" s="534" t="s">
        <v>267</v>
      </c>
      <c r="AB38" s="540"/>
      <c r="AC38" s="442" t="s">
        <v>272</v>
      </c>
      <c r="AD38" s="442" t="s">
        <v>200</v>
      </c>
      <c r="AE38" s="442" t="s">
        <v>273</v>
      </c>
      <c r="AF38" s="442" t="s">
        <v>242</v>
      </c>
    </row>
    <row r="39" spans="1:32" ht="15.75" x14ac:dyDescent="0.5">
      <c r="B39" s="655"/>
      <c r="C39" s="656"/>
      <c r="D39" s="656"/>
      <c r="E39" s="656"/>
      <c r="F39" s="656"/>
      <c r="G39" s="657"/>
      <c r="H39" s="658"/>
      <c r="I39" s="658"/>
      <c r="J39" s="443">
        <f>+G33</f>
        <v>1</v>
      </c>
      <c r="K39" s="444">
        <f>O35</f>
        <v>17.486338797814206</v>
      </c>
      <c r="L39" s="444">
        <f>+S32</f>
        <v>0.92728414370608092</v>
      </c>
      <c r="M39" s="445">
        <f>J39*K39*L39</f>
        <v>16.214804698685565</v>
      </c>
      <c r="N39" s="446">
        <f>H38/M39</f>
        <v>4.6251939125053445</v>
      </c>
      <c r="O39" s="446">
        <f>I38/M39</f>
        <v>10.945344041005345</v>
      </c>
      <c r="P39" s="447">
        <f>O39-N39</f>
        <v>6.3201501285000008</v>
      </c>
      <c r="Q39" s="447">
        <v>1</v>
      </c>
      <c r="R39" s="531">
        <f>ASSUMPTIONS!$B$18</f>
        <v>0.32</v>
      </c>
      <c r="S39" s="448">
        <f>N39/R39</f>
        <v>14.453730976579202</v>
      </c>
      <c r="T39" s="447">
        <f>+$C$2</f>
        <v>0</v>
      </c>
      <c r="U39" s="449" t="e">
        <f>Q39/T39</f>
        <v>#DIV/0!</v>
      </c>
      <c r="V39" s="450">
        <f>O39*(1+R39)</f>
        <v>14.447854134127056</v>
      </c>
      <c r="W39" s="535">
        <f>ASSUMPTIONS!$B$16</f>
        <v>4.0777974265984701E-2</v>
      </c>
      <c r="X39" s="539">
        <f>O39</f>
        <v>10.945344041005345</v>
      </c>
      <c r="Y39" s="539">
        <f>X39*L35</f>
        <v>20.029979595039784</v>
      </c>
      <c r="Z39" s="539">
        <f>X39*ASSUMPTIONS!$B$3</f>
        <v>112.1897764203048</v>
      </c>
      <c r="AA39" s="539">
        <f>Y39*ASSUMPTIONS!$B$3</f>
        <v>205.30729084915779</v>
      </c>
      <c r="AB39" s="119"/>
      <c r="AC39" s="450">
        <f>X42*(1+R39)</f>
        <v>14.477267754909079</v>
      </c>
      <c r="AD39" s="450">
        <f>Y42*(1+R39)</f>
        <v>26.493399991483617</v>
      </c>
      <c r="AE39" s="517">
        <f>AC39*ASSUMPTIONS!$B$3</f>
        <v>148.39199448781807</v>
      </c>
      <c r="AF39" s="517">
        <f>AD39*ASSUMPTIONS!$B$3</f>
        <v>271.55734991270708</v>
      </c>
    </row>
    <row r="40" spans="1:32" ht="15.75" x14ac:dyDescent="0.5">
      <c r="X40" s="624" t="s">
        <v>285</v>
      </c>
      <c r="Y40" s="624"/>
      <c r="Z40" s="624"/>
      <c r="AA40" s="624"/>
      <c r="AF40" s="515"/>
    </row>
    <row r="41" spans="1:32" ht="21" x14ac:dyDescent="0.65">
      <c r="B41" s="659" t="s">
        <v>250</v>
      </c>
      <c r="C41" s="659"/>
      <c r="D41" s="659"/>
      <c r="E41" s="659"/>
      <c r="F41" s="659"/>
      <c r="G41" s="659"/>
      <c r="H41" s="659"/>
      <c r="I41" s="659"/>
      <c r="J41" s="659"/>
      <c r="K41" s="659"/>
      <c r="L41" s="659"/>
      <c r="M41" s="659"/>
      <c r="N41" s="659"/>
      <c r="O41" s="659"/>
      <c r="P41" s="659"/>
      <c r="Q41" s="659"/>
      <c r="R41" s="659"/>
      <c r="S41" s="659"/>
      <c r="T41" s="659"/>
      <c r="U41" s="659"/>
      <c r="V41" s="659"/>
      <c r="X41" s="534" t="s">
        <v>261</v>
      </c>
      <c r="Y41" s="534" t="s">
        <v>236</v>
      </c>
      <c r="Z41" s="534" t="s">
        <v>266</v>
      </c>
      <c r="AA41" s="534" t="s">
        <v>267</v>
      </c>
    </row>
    <row r="42" spans="1:32" ht="15.75" x14ac:dyDescent="0.5">
      <c r="B42" s="640" t="s">
        <v>165</v>
      </c>
      <c r="C42" s="641" t="s">
        <v>166</v>
      </c>
      <c r="D42" s="640" t="s">
        <v>167</v>
      </c>
      <c r="E42" s="422" t="s">
        <v>203</v>
      </c>
      <c r="F42" s="641" t="s">
        <v>169</v>
      </c>
      <c r="G42" s="640" t="s">
        <v>170</v>
      </c>
      <c r="H42" s="640" t="s">
        <v>171</v>
      </c>
      <c r="I42" s="640" t="s">
        <v>172</v>
      </c>
      <c r="J42" s="640" t="s">
        <v>173</v>
      </c>
      <c r="K42" s="640" t="s">
        <v>174</v>
      </c>
      <c r="L42" s="640" t="s">
        <v>175</v>
      </c>
      <c r="M42" s="640" t="s">
        <v>176</v>
      </c>
      <c r="N42" s="640" t="s">
        <v>175</v>
      </c>
      <c r="O42" s="640" t="s">
        <v>177</v>
      </c>
      <c r="P42" s="640" t="s">
        <v>178</v>
      </c>
      <c r="Q42" s="640" t="s">
        <v>179</v>
      </c>
      <c r="R42" s="640" t="s">
        <v>180</v>
      </c>
      <c r="S42" s="423" t="s">
        <v>181</v>
      </c>
      <c r="T42" s="421"/>
      <c r="U42" s="421"/>
      <c r="V42" s="421"/>
      <c r="X42" s="539">
        <f>X39+(W39/L35)</f>
        <v>10.967627087052332</v>
      </c>
      <c r="Y42" s="539">
        <f>Y39+W39</f>
        <v>20.070757569305769</v>
      </c>
      <c r="Z42" s="539">
        <f>X42*ASSUMPTIONS!$B$3</f>
        <v>112.41817764228639</v>
      </c>
      <c r="AA42" s="539">
        <f>Y42*ASSUMPTIONS!$B$3</f>
        <v>205.72526508538414</v>
      </c>
    </row>
    <row r="43" spans="1:32" x14ac:dyDescent="0.45">
      <c r="B43" s="640"/>
      <c r="C43" s="641"/>
      <c r="D43" s="640"/>
      <c r="E43" s="424">
        <f>+E31</f>
        <v>1.4</v>
      </c>
      <c r="F43" s="641"/>
      <c r="G43" s="640"/>
      <c r="H43" s="640"/>
      <c r="I43" s="640"/>
      <c r="J43" s="640"/>
      <c r="K43" s="640"/>
      <c r="L43" s="640"/>
      <c r="M43" s="640"/>
      <c r="N43" s="640"/>
      <c r="O43" s="640"/>
      <c r="P43" s="640"/>
      <c r="Q43" s="640"/>
      <c r="R43" s="640"/>
      <c r="S43" s="423">
        <v>60</v>
      </c>
      <c r="T43" s="421"/>
      <c r="U43" s="421"/>
      <c r="V43" s="421"/>
    </row>
    <row r="44" spans="1:32" x14ac:dyDescent="0.45">
      <c r="B44" s="425" t="s">
        <v>310</v>
      </c>
      <c r="C44" s="426">
        <f>'Summary Equip'!Y35</f>
        <v>125.80460597118052</v>
      </c>
      <c r="D44" s="427">
        <f>'Summary Equip'!T35</f>
        <v>100</v>
      </c>
      <c r="E44" s="426">
        <f>+D44*$E$7</f>
        <v>140</v>
      </c>
      <c r="F44" s="426">
        <f>C44+E44</f>
        <v>265.80460597118054</v>
      </c>
      <c r="G44" s="425">
        <v>0</v>
      </c>
      <c r="H44" s="426">
        <f>G44*C44</f>
        <v>0</v>
      </c>
      <c r="I44" s="426">
        <f>G44*F44</f>
        <v>0</v>
      </c>
      <c r="J44" s="423">
        <f>2000+ASSUMPTIONS!B46</f>
        <v>4679</v>
      </c>
      <c r="K44" s="428">
        <f>+J44*(60/(L44*1000))</f>
        <v>11.2296</v>
      </c>
      <c r="L44" s="429">
        <v>25</v>
      </c>
      <c r="M44" s="428">
        <f>+J44*(60/(N44*1000))</f>
        <v>8.0211428571428574</v>
      </c>
      <c r="N44" s="429">
        <v>35</v>
      </c>
      <c r="O44" s="430">
        <v>0</v>
      </c>
      <c r="P44" s="423">
        <v>0</v>
      </c>
      <c r="Q44" s="430">
        <v>1</v>
      </c>
      <c r="R44" s="431">
        <f>SUM(K44,M44,O44,P44,Q44)</f>
        <v>20.250742857142857</v>
      </c>
      <c r="S44" s="431">
        <f>S43/R44</f>
        <v>2.962854272718038</v>
      </c>
      <c r="T44" s="421"/>
      <c r="U44" s="421"/>
      <c r="V44" s="432">
        <v>552.26880000000006</v>
      </c>
    </row>
    <row r="45" spans="1:32" x14ac:dyDescent="0.45">
      <c r="B45" s="425" t="s">
        <v>311</v>
      </c>
      <c r="C45" s="426">
        <f>+'Summary Equip'!Y38</f>
        <v>51.163116935372344</v>
      </c>
      <c r="D45" s="427">
        <f>+'Summary Equip'!T38</f>
        <v>53</v>
      </c>
      <c r="E45" s="426">
        <f>+D45*$E$7</f>
        <v>74.199999999999989</v>
      </c>
      <c r="F45" s="426">
        <f>C45+E45</f>
        <v>125.36311693537233</v>
      </c>
      <c r="G45" s="433">
        <v>1</v>
      </c>
      <c r="H45" s="426">
        <f>G45*C45</f>
        <v>51.163116935372344</v>
      </c>
      <c r="I45" s="426">
        <f>G45*F45</f>
        <v>125.36311693537233</v>
      </c>
      <c r="J45" s="642"/>
      <c r="K45" s="642"/>
      <c r="L45" s="642"/>
      <c r="M45" s="642"/>
      <c r="N45" s="642"/>
      <c r="O45" s="642"/>
      <c r="P45" s="660"/>
      <c r="Q45" s="644"/>
      <c r="R45" s="644"/>
      <c r="S45" s="644"/>
      <c r="T45" s="644"/>
      <c r="U45" s="644"/>
      <c r="V45" s="645"/>
    </row>
    <row r="46" spans="1:32" x14ac:dyDescent="0.45">
      <c r="B46" s="425" t="s">
        <v>183</v>
      </c>
      <c r="C46" s="426">
        <f>+'Summary Equip'!Y40</f>
        <v>63.818130750747699</v>
      </c>
      <c r="D46" s="427">
        <f>+'Summary Equip'!T40</f>
        <v>100</v>
      </c>
      <c r="E46" s="426">
        <f>+D46*$E$7</f>
        <v>140</v>
      </c>
      <c r="F46" s="426">
        <f>C46+E46</f>
        <v>203.81813075074768</v>
      </c>
      <c r="G46" s="425">
        <v>0</v>
      </c>
      <c r="H46" s="426">
        <f>G46*C46</f>
        <v>0</v>
      </c>
      <c r="I46" s="426">
        <f>G46*F46</f>
        <v>0</v>
      </c>
      <c r="J46" s="423"/>
      <c r="K46" s="423" t="s">
        <v>184</v>
      </c>
      <c r="L46" s="423" t="s">
        <v>185</v>
      </c>
      <c r="M46" s="423" t="s">
        <v>186</v>
      </c>
      <c r="N46" s="423" t="s">
        <v>187</v>
      </c>
      <c r="O46" s="423" t="s">
        <v>188</v>
      </c>
      <c r="P46" s="646"/>
      <c r="Q46" s="647"/>
      <c r="R46" s="647"/>
      <c r="S46" s="647"/>
      <c r="T46" s="647"/>
      <c r="U46" s="647"/>
      <c r="V46" s="648"/>
    </row>
    <row r="47" spans="1:32" x14ac:dyDescent="0.45">
      <c r="B47" s="425" t="s">
        <v>189</v>
      </c>
      <c r="C47" s="426">
        <f>+'Summary Equip'!Y41</f>
        <v>36.627256061720999</v>
      </c>
      <c r="D47" s="427">
        <f>+'Summary Equip'!T41</f>
        <v>32</v>
      </c>
      <c r="E47" s="426">
        <f>+D47*$E$7</f>
        <v>44.8</v>
      </c>
      <c r="F47" s="426">
        <f>C47+E47</f>
        <v>81.427256061720996</v>
      </c>
      <c r="G47" s="425">
        <v>0.05</v>
      </c>
      <c r="H47" s="426">
        <f>G47*C47</f>
        <v>1.83136280308605</v>
      </c>
      <c r="I47" s="426">
        <f>G47*F47</f>
        <v>4.0713628030860498</v>
      </c>
      <c r="J47" s="423" t="str">
        <f>B45</f>
        <v>DT-80t</v>
      </c>
      <c r="K47" s="609">
        <f>M47*L47</f>
        <v>78.69</v>
      </c>
      <c r="L47" s="434">
        <f>+ASSUMPTIONS!$B$53</f>
        <v>1.83</v>
      </c>
      <c r="M47" s="430">
        <v>43</v>
      </c>
      <c r="N47" s="434">
        <v>1</v>
      </c>
      <c r="O47" s="430">
        <f>M47*N47</f>
        <v>43</v>
      </c>
      <c r="P47" s="646"/>
      <c r="Q47" s="647"/>
      <c r="R47" s="647"/>
      <c r="S47" s="647"/>
      <c r="T47" s="647"/>
      <c r="U47" s="647"/>
      <c r="V47" s="648"/>
      <c r="AF47" s="537"/>
    </row>
    <row r="48" spans="1:32" ht="15.75" x14ac:dyDescent="0.5">
      <c r="B48" s="425" t="s">
        <v>190</v>
      </c>
      <c r="C48" s="426">
        <f>+'Summary Equip'!Y44</f>
        <v>19.578120442289652</v>
      </c>
      <c r="D48" s="427">
        <f>+'Summary Equip'!$T$44</f>
        <v>25</v>
      </c>
      <c r="E48" s="426">
        <f>+D48*$E$7</f>
        <v>35</v>
      </c>
      <c r="F48" s="426">
        <f>C48+E48</f>
        <v>54.578120442289652</v>
      </c>
      <c r="G48" s="425">
        <v>0.1</v>
      </c>
      <c r="H48" s="426">
        <f>G48*C48</f>
        <v>1.9578120442289653</v>
      </c>
      <c r="I48" s="426">
        <f>G48*F48</f>
        <v>5.4578120442289659</v>
      </c>
      <c r="J48" s="640"/>
      <c r="K48" s="640"/>
      <c r="L48" s="640"/>
      <c r="M48" s="640"/>
      <c r="N48" s="640"/>
      <c r="O48" s="640"/>
      <c r="P48" s="649"/>
      <c r="Q48" s="650"/>
      <c r="R48" s="650"/>
      <c r="S48" s="650"/>
      <c r="T48" s="650"/>
      <c r="U48" s="650"/>
      <c r="V48" s="651"/>
      <c r="W48" s="538" t="s">
        <v>271</v>
      </c>
      <c r="X48" s="624" t="s">
        <v>284</v>
      </c>
      <c r="Y48" s="624"/>
      <c r="Z48" s="624"/>
      <c r="AA48" s="624"/>
      <c r="AC48" s="622" t="s">
        <v>274</v>
      </c>
      <c r="AD48" s="622"/>
      <c r="AE48" s="622" t="s">
        <v>275</v>
      </c>
      <c r="AF48" s="622"/>
    </row>
    <row r="49" spans="2:32" ht="31.5" x14ac:dyDescent="0.45">
      <c r="B49" s="652" t="s">
        <v>28</v>
      </c>
      <c r="C49" s="653"/>
      <c r="D49" s="653"/>
      <c r="E49" s="653"/>
      <c r="F49" s="653"/>
      <c r="G49" s="654"/>
      <c r="H49" s="658">
        <f>SUM(H42:H48)</f>
        <v>54.952291782687361</v>
      </c>
      <c r="I49" s="658">
        <f>SUM(I42:I48)</f>
        <v>134.89229178268735</v>
      </c>
      <c r="J49" s="435" t="s">
        <v>191</v>
      </c>
      <c r="K49" s="436" t="s">
        <v>188</v>
      </c>
      <c r="L49" s="436" t="s">
        <v>181</v>
      </c>
      <c r="M49" s="437" t="s">
        <v>192</v>
      </c>
      <c r="N49" s="438" t="s">
        <v>193</v>
      </c>
      <c r="O49" s="438" t="s">
        <v>194</v>
      </c>
      <c r="P49" s="439" t="s">
        <v>195</v>
      </c>
      <c r="Q49" s="439" t="s">
        <v>57</v>
      </c>
      <c r="R49" s="438" t="s">
        <v>46</v>
      </c>
      <c r="S49" s="440" t="s">
        <v>196</v>
      </c>
      <c r="T49" s="438" t="s">
        <v>197</v>
      </c>
      <c r="U49" s="441" t="s">
        <v>198</v>
      </c>
      <c r="V49" s="442" t="s">
        <v>199</v>
      </c>
      <c r="W49" s="534" t="s">
        <v>236</v>
      </c>
      <c r="X49" s="534" t="s">
        <v>261</v>
      </c>
      <c r="Y49" s="534" t="s">
        <v>236</v>
      </c>
      <c r="Z49" s="534" t="s">
        <v>266</v>
      </c>
      <c r="AA49" s="534" t="s">
        <v>267</v>
      </c>
      <c r="AB49" s="540"/>
      <c r="AC49" s="442" t="s">
        <v>272</v>
      </c>
      <c r="AD49" s="442" t="s">
        <v>200</v>
      </c>
      <c r="AE49" s="442" t="s">
        <v>273</v>
      </c>
      <c r="AF49" s="442" t="s">
        <v>242</v>
      </c>
    </row>
    <row r="50" spans="2:32" ht="15.75" x14ac:dyDescent="0.5">
      <c r="B50" s="655"/>
      <c r="C50" s="656"/>
      <c r="D50" s="656"/>
      <c r="E50" s="656"/>
      <c r="F50" s="656"/>
      <c r="G50" s="657"/>
      <c r="H50" s="658"/>
      <c r="I50" s="658"/>
      <c r="J50" s="443">
        <f>+G45</f>
        <v>1</v>
      </c>
      <c r="K50" s="444">
        <f>O47</f>
        <v>43</v>
      </c>
      <c r="L50" s="444">
        <f>+S44</f>
        <v>2.962854272718038</v>
      </c>
      <c r="M50" s="445">
        <f>J50*K50*L50</f>
        <v>127.40273372687564</v>
      </c>
      <c r="N50" s="446">
        <f>H49/M50</f>
        <v>0.43132741484569231</v>
      </c>
      <c r="O50" s="446">
        <f>I49/M50</f>
        <v>1.0587864784115837</v>
      </c>
      <c r="P50" s="447">
        <f>O50-N50</f>
        <v>0.62745906356589143</v>
      </c>
      <c r="Q50" s="447">
        <v>1</v>
      </c>
      <c r="R50" s="531">
        <f>ASSUMPTIONS!$B$18</f>
        <v>0.32</v>
      </c>
      <c r="S50" s="448">
        <f>N50/R50</f>
        <v>1.3478981713927884</v>
      </c>
      <c r="T50" s="447">
        <f>+$C$2</f>
        <v>0</v>
      </c>
      <c r="U50" s="449" t="e">
        <f>Q50/T50</f>
        <v>#DIV/0!</v>
      </c>
      <c r="V50" s="450">
        <f>O50*(1+R50)</f>
        <v>1.3975981515032905</v>
      </c>
      <c r="W50" s="535">
        <f>ASSUMPTIONS!$B$16</f>
        <v>4.0777974265984701E-2</v>
      </c>
      <c r="X50" s="539">
        <f>O50</f>
        <v>1.0587864784115837</v>
      </c>
      <c r="Y50" s="539">
        <f>X50*L47</f>
        <v>1.9375792554931983</v>
      </c>
      <c r="Z50" s="539">
        <f>X50*ASSUMPTIONS!$B$3</f>
        <v>10.852561403718733</v>
      </c>
      <c r="AA50" s="539">
        <f>Y50*ASSUMPTIONS!$B$3</f>
        <v>19.860187368805281</v>
      </c>
      <c r="AB50" s="119"/>
      <c r="AC50" s="450">
        <f>X55*(1+R50)</f>
        <v>1.4270117722853124</v>
      </c>
      <c r="AD50" s="450">
        <f>Y55*(1+R50)</f>
        <v>2.6114315432821216</v>
      </c>
      <c r="AE50" s="517">
        <f>AC50*ASSUMPTIONS!$B$3</f>
        <v>14.626870665924452</v>
      </c>
      <c r="AF50" s="517">
        <f>AD50*ASSUMPTIONS!$B$3</f>
        <v>26.767173318641746</v>
      </c>
    </row>
    <row r="51" spans="2:32" ht="15.75" x14ac:dyDescent="0.5">
      <c r="B51" s="486"/>
      <c r="C51" s="487"/>
      <c r="D51" s="487"/>
      <c r="E51" s="487"/>
      <c r="F51" s="487"/>
      <c r="G51" s="487"/>
      <c r="H51" s="487"/>
      <c r="I51" s="487"/>
      <c r="J51" s="487"/>
      <c r="K51" s="487"/>
      <c r="L51" s="487"/>
      <c r="M51" s="487"/>
      <c r="N51" s="487"/>
      <c r="O51" s="487"/>
      <c r="P51" s="487"/>
      <c r="Q51" s="487"/>
      <c r="R51" s="487"/>
      <c r="S51" s="487"/>
      <c r="T51" s="487"/>
      <c r="U51" s="487"/>
      <c r="V51" s="488"/>
      <c r="X51" s="624" t="s">
        <v>285</v>
      </c>
      <c r="Y51" s="624"/>
      <c r="Z51" s="624"/>
      <c r="AA51" s="624"/>
      <c r="AE51" s="119"/>
    </row>
    <row r="52" spans="2:32" ht="15.75" x14ac:dyDescent="0.45">
      <c r="B52" s="536"/>
      <c r="C52" s="536"/>
      <c r="D52" s="536"/>
      <c r="E52" s="536"/>
      <c r="F52" s="536"/>
      <c r="G52" s="536"/>
      <c r="H52" s="536"/>
      <c r="I52" s="536"/>
      <c r="J52" s="536"/>
      <c r="K52" s="536"/>
      <c r="L52" s="536"/>
      <c r="M52" s="536"/>
      <c r="N52" s="536"/>
      <c r="O52" s="536"/>
      <c r="P52" s="536"/>
      <c r="Q52" s="536"/>
      <c r="R52" s="536"/>
      <c r="S52" s="536"/>
      <c r="T52" s="536"/>
      <c r="U52" s="536"/>
      <c r="V52" s="536"/>
      <c r="X52" s="534" t="s">
        <v>261</v>
      </c>
      <c r="Y52" s="534" t="s">
        <v>236</v>
      </c>
      <c r="Z52" s="534" t="s">
        <v>266</v>
      </c>
      <c r="AA52" s="534" t="s">
        <v>267</v>
      </c>
      <c r="AE52" s="119"/>
    </row>
    <row r="53" spans="2:32" ht="15.75" x14ac:dyDescent="0.45">
      <c r="B53" s="536"/>
      <c r="C53" s="536"/>
      <c r="D53" s="536"/>
      <c r="E53" s="536"/>
      <c r="F53" s="536"/>
      <c r="G53" s="536"/>
      <c r="H53" s="536"/>
      <c r="I53" s="536"/>
      <c r="J53" s="536"/>
      <c r="K53" s="536"/>
      <c r="L53" s="536"/>
      <c r="M53" s="536"/>
      <c r="N53" s="536"/>
      <c r="O53" s="536"/>
      <c r="P53" s="536"/>
      <c r="Q53" s="536"/>
      <c r="R53" s="536"/>
      <c r="S53" s="536"/>
      <c r="T53" s="536"/>
      <c r="U53" s="536"/>
      <c r="V53" s="536"/>
      <c r="X53" s="534"/>
      <c r="Y53" s="534"/>
      <c r="Z53" s="534"/>
      <c r="AA53" s="534"/>
      <c r="AE53" s="119"/>
    </row>
    <row r="54" spans="2:32" ht="15.75" x14ac:dyDescent="0.45">
      <c r="B54" s="536"/>
      <c r="C54" s="536"/>
      <c r="D54" s="536"/>
      <c r="E54" s="536"/>
      <c r="F54" s="536"/>
      <c r="G54" s="536"/>
      <c r="H54" s="536"/>
      <c r="I54" s="536"/>
      <c r="J54" s="536"/>
      <c r="K54" s="536"/>
      <c r="L54" s="536"/>
      <c r="M54" s="536"/>
      <c r="N54" s="536"/>
      <c r="O54" s="536"/>
      <c r="P54" s="536"/>
      <c r="Q54" s="536"/>
      <c r="R54" s="536"/>
      <c r="S54" s="536"/>
      <c r="T54" s="536"/>
      <c r="U54" s="536"/>
      <c r="V54" s="536"/>
      <c r="X54" s="534"/>
      <c r="Y54" s="534"/>
      <c r="Z54" s="534"/>
      <c r="AA54" s="534"/>
      <c r="AE54" s="119"/>
    </row>
    <row r="55" spans="2:32" ht="15.75" x14ac:dyDescent="0.5">
      <c r="B55" s="536"/>
      <c r="C55" s="536"/>
      <c r="D55" s="536"/>
      <c r="E55" s="536"/>
      <c r="F55" s="536"/>
      <c r="G55" s="536"/>
      <c r="H55" s="536"/>
      <c r="I55" s="536"/>
      <c r="J55" s="536"/>
      <c r="K55" s="536"/>
      <c r="L55" s="536"/>
      <c r="M55" s="536"/>
      <c r="N55" s="536"/>
      <c r="O55" s="536"/>
      <c r="P55" s="536"/>
      <c r="Q55" s="536"/>
      <c r="R55" s="536"/>
      <c r="S55" s="536"/>
      <c r="T55" s="536"/>
      <c r="U55" s="536"/>
      <c r="V55" s="536"/>
      <c r="X55" s="539">
        <f>X50+(W50/L47)</f>
        <v>1.08106952445857</v>
      </c>
      <c r="Y55" s="539">
        <f>Y50+W50</f>
        <v>1.9783572297591829</v>
      </c>
      <c r="Z55" s="539">
        <f>X55*ASSUMPTIONS!$B$3</f>
        <v>11.080962625700343</v>
      </c>
      <c r="AA55" s="539">
        <f>Y55*ASSUMPTIONS!$B$3</f>
        <v>20.278161605031624</v>
      </c>
      <c r="AE55" s="119"/>
    </row>
    <row r="56" spans="2:32" x14ac:dyDescent="0.45">
      <c r="N56" s="119"/>
      <c r="X56" s="410">
        <f>V27/O27</f>
        <v>1.32</v>
      </c>
      <c r="Y56" s="410"/>
      <c r="Z56" s="410"/>
      <c r="AA56" s="410"/>
      <c r="AB56" s="410"/>
      <c r="AC56" s="410"/>
      <c r="AD56" s="410"/>
    </row>
    <row r="57" spans="2:32" x14ac:dyDescent="0.45">
      <c r="S57" s="119"/>
    </row>
    <row r="59" spans="2:32" x14ac:dyDescent="0.45">
      <c r="B59" s="580" t="s">
        <v>308</v>
      </c>
    </row>
    <row r="60" spans="2:32" x14ac:dyDescent="0.45">
      <c r="B60" t="s">
        <v>302</v>
      </c>
      <c r="C60" s="410">
        <f>G11+G23+G35+G47</f>
        <v>0.65</v>
      </c>
    </row>
    <row r="61" spans="2:32" x14ac:dyDescent="0.45">
      <c r="B61" t="s">
        <v>303</v>
      </c>
      <c r="C61" s="410">
        <f>G13+G25+G36+G48</f>
        <v>1</v>
      </c>
    </row>
    <row r="62" spans="2:32" x14ac:dyDescent="0.45">
      <c r="B62" t="s">
        <v>309</v>
      </c>
      <c r="C62" s="410">
        <f>G37</f>
        <v>0.5</v>
      </c>
    </row>
    <row r="64" spans="2:32" x14ac:dyDescent="0.45">
      <c r="S64" s="490"/>
      <c r="U64" s="410"/>
      <c r="AE64" s="119"/>
    </row>
    <row r="65" spans="14:14" x14ac:dyDescent="0.45">
      <c r="N65" s="119"/>
    </row>
  </sheetData>
  <mergeCells count="112">
    <mergeCell ref="X51:AA51"/>
    <mergeCell ref="AE25:AF25"/>
    <mergeCell ref="AC36:AD36"/>
    <mergeCell ref="AE36:AF36"/>
    <mergeCell ref="AC13:AD13"/>
    <mergeCell ref="AE13:AF13"/>
    <mergeCell ref="X13:AA13"/>
    <mergeCell ref="AC12:AD12"/>
    <mergeCell ref="X25:AA25"/>
    <mergeCell ref="AC35:AD35"/>
    <mergeCell ref="AC25:AD25"/>
    <mergeCell ref="X16:AA16"/>
    <mergeCell ref="X28:AA28"/>
    <mergeCell ref="X36:AA36"/>
    <mergeCell ref="X48:AA48"/>
    <mergeCell ref="AC48:AD48"/>
    <mergeCell ref="AE48:AF48"/>
    <mergeCell ref="X40:AA40"/>
    <mergeCell ref="B3:V3"/>
    <mergeCell ref="B4:V4"/>
    <mergeCell ref="B5:V5"/>
    <mergeCell ref="B6:B7"/>
    <mergeCell ref="C6:C7"/>
    <mergeCell ref="D6:D7"/>
    <mergeCell ref="F6:F7"/>
    <mergeCell ref="G6:G7"/>
    <mergeCell ref="H6:H7"/>
    <mergeCell ref="I6:I7"/>
    <mergeCell ref="P6:P7"/>
    <mergeCell ref="Q6:Q7"/>
    <mergeCell ref="R6:R7"/>
    <mergeCell ref="J9:O9"/>
    <mergeCell ref="P9:V13"/>
    <mergeCell ref="J13:O13"/>
    <mergeCell ref="J6:J7"/>
    <mergeCell ref="K6:K7"/>
    <mergeCell ref="L6:L7"/>
    <mergeCell ref="M6:M7"/>
    <mergeCell ref="N6:N7"/>
    <mergeCell ref="O6:O7"/>
    <mergeCell ref="B14:G15"/>
    <mergeCell ref="H14:H15"/>
    <mergeCell ref="I14:I15"/>
    <mergeCell ref="B17:V17"/>
    <mergeCell ref="B18:B19"/>
    <mergeCell ref="C18:C19"/>
    <mergeCell ref="D18:D19"/>
    <mergeCell ref="F18:F19"/>
    <mergeCell ref="G18:G19"/>
    <mergeCell ref="J21:O21"/>
    <mergeCell ref="P21:V25"/>
    <mergeCell ref="J25:O25"/>
    <mergeCell ref="H18:H19"/>
    <mergeCell ref="I18:I19"/>
    <mergeCell ref="J18:J19"/>
    <mergeCell ref="K18:K19"/>
    <mergeCell ref="L18:L19"/>
    <mergeCell ref="M18:M19"/>
    <mergeCell ref="N18:N19"/>
    <mergeCell ref="O18:O19"/>
    <mergeCell ref="P18:P19"/>
    <mergeCell ref="Q18:Q19"/>
    <mergeCell ref="R18:R19"/>
    <mergeCell ref="P33:V36"/>
    <mergeCell ref="B26:G27"/>
    <mergeCell ref="H26:H27"/>
    <mergeCell ref="I26:I27"/>
    <mergeCell ref="B29:V29"/>
    <mergeCell ref="B30:B31"/>
    <mergeCell ref="C30:C31"/>
    <mergeCell ref="D30:D31"/>
    <mergeCell ref="F30:F31"/>
    <mergeCell ref="G30:G31"/>
    <mergeCell ref="P30:P31"/>
    <mergeCell ref="Q30:Q31"/>
    <mergeCell ref="R30:R31"/>
    <mergeCell ref="B38:G39"/>
    <mergeCell ref="H38:H39"/>
    <mergeCell ref="I38:I39"/>
    <mergeCell ref="N30:N31"/>
    <mergeCell ref="O30:O31"/>
    <mergeCell ref="H30:H31"/>
    <mergeCell ref="I30:I31"/>
    <mergeCell ref="J33:O33"/>
    <mergeCell ref="J36:O36"/>
    <mergeCell ref="J30:J31"/>
    <mergeCell ref="K30:K31"/>
    <mergeCell ref="L30:L31"/>
    <mergeCell ref="M30:M31"/>
    <mergeCell ref="B49:G50"/>
    <mergeCell ref="H49:H50"/>
    <mergeCell ref="I49:I50"/>
    <mergeCell ref="B41:V41"/>
    <mergeCell ref="B42:B43"/>
    <mergeCell ref="C42:C43"/>
    <mergeCell ref="D42:D43"/>
    <mergeCell ref="F42:F43"/>
    <mergeCell ref="G42:G43"/>
    <mergeCell ref="H42:H43"/>
    <mergeCell ref="I42:I43"/>
    <mergeCell ref="J42:J43"/>
    <mergeCell ref="K42:K43"/>
    <mergeCell ref="L42:L43"/>
    <mergeCell ref="M42:M43"/>
    <mergeCell ref="N42:N43"/>
    <mergeCell ref="R42:R43"/>
    <mergeCell ref="J45:O45"/>
    <mergeCell ref="P45:V48"/>
    <mergeCell ref="J48:O48"/>
    <mergeCell ref="O42:O43"/>
    <mergeCell ref="P42:P43"/>
    <mergeCell ref="Q42:Q43"/>
  </mergeCells>
  <pageMargins left="0.7" right="0.7" top="0.75" bottom="0.75" header="0.3" footer="0.3"/>
  <pageSetup paperSize="8" scale="4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4BAE-EBFA-4387-AA2B-1E3B034C376C}">
  <sheetPr>
    <tabColor theme="9" tint="-0.249977111117893"/>
    <pageSetUpPr fitToPage="1"/>
  </sheetPr>
  <dimension ref="A1:AE73"/>
  <sheetViews>
    <sheetView topLeftCell="A3" zoomScaleNormal="100" workbookViewId="0">
      <selection activeCell="G19" sqref="G19"/>
    </sheetView>
  </sheetViews>
  <sheetFormatPr defaultColWidth="9.1328125" defaultRowHeight="14.25" x14ac:dyDescent="0.45"/>
  <cols>
    <col min="1" max="1" width="6.265625" style="3" customWidth="1"/>
    <col min="2" max="2" width="18.265625" style="3" bestFit="1" customWidth="1"/>
    <col min="3" max="4" width="15" style="3" bestFit="1" customWidth="1"/>
    <col min="5" max="5" width="14" style="3" bestFit="1" customWidth="1"/>
    <col min="6" max="6" width="17.3984375" style="3" bestFit="1" customWidth="1"/>
    <col min="7" max="7" width="15.1328125" style="3" bestFit="1" customWidth="1"/>
    <col min="8" max="8" width="9.1328125" style="3"/>
    <col min="9" max="9" width="7.3984375" style="3" bestFit="1" customWidth="1"/>
    <col min="10" max="10" width="15" style="3" bestFit="1" customWidth="1"/>
    <col min="11" max="11" width="14" style="3" bestFit="1" customWidth="1"/>
    <col min="12" max="12" width="13.1328125" style="3" bestFit="1" customWidth="1"/>
    <col min="13" max="13" width="15" style="3" bestFit="1" customWidth="1"/>
    <col min="14" max="16" width="9.1328125" style="3"/>
    <col min="17" max="19" width="15.86328125" style="3" bestFit="1" customWidth="1"/>
    <col min="20" max="21" width="14.73046875" style="3" customWidth="1"/>
    <col min="22" max="22" width="13.265625" style="3" bestFit="1" customWidth="1"/>
    <col min="23" max="23" width="14.86328125" style="3" bestFit="1" customWidth="1"/>
    <col min="24" max="24" width="15.1328125" style="3" bestFit="1" customWidth="1"/>
    <col min="25" max="25" width="9.1328125" style="3"/>
    <col min="26" max="26" width="12.73046875" style="3" bestFit="1" customWidth="1"/>
    <col min="27" max="27" width="9.1328125" style="3"/>
    <col min="28" max="29" width="16.265625" style="3" customWidth="1"/>
    <col min="30" max="30" width="16.3984375" style="3" customWidth="1"/>
    <col min="31" max="16384" width="9.1328125" style="3"/>
  </cols>
  <sheetData>
    <row r="1" spans="1:31" ht="62.25" customHeight="1" thickBot="1" x14ac:dyDescent="0.5">
      <c r="A1" s="676">
        <f>+ASSUMPTIONS!B1</f>
        <v>0</v>
      </c>
      <c r="B1" s="677"/>
      <c r="C1" s="677"/>
      <c r="D1" s="677"/>
      <c r="E1" s="677"/>
      <c r="F1" s="677"/>
      <c r="G1" s="677"/>
      <c r="H1" s="677"/>
      <c r="I1" s="677"/>
      <c r="J1" s="677"/>
      <c r="K1" s="677"/>
      <c r="L1" s="677"/>
      <c r="M1" s="677"/>
      <c r="N1" s="677"/>
      <c r="O1" s="677"/>
      <c r="P1" s="677"/>
      <c r="Q1" s="677"/>
      <c r="R1" s="677"/>
      <c r="S1" s="677"/>
      <c r="T1" s="677"/>
      <c r="U1" s="677"/>
      <c r="V1" s="677"/>
      <c r="W1" s="677"/>
      <c r="X1" s="678"/>
    </row>
    <row r="2" spans="1:31" ht="16.149999999999999" thickBot="1" x14ac:dyDescent="0.5">
      <c r="A2" s="308"/>
      <c r="B2" s="308"/>
      <c r="C2" s="309"/>
      <c r="D2" s="309"/>
      <c r="E2" s="309"/>
      <c r="F2" s="309"/>
      <c r="G2" s="309"/>
      <c r="H2" s="309"/>
      <c r="I2" s="310"/>
      <c r="J2" s="309"/>
      <c r="K2" s="309"/>
      <c r="L2" s="309"/>
      <c r="M2" s="309"/>
    </row>
    <row r="3" spans="1:31" ht="32.25" customHeight="1" thickBot="1" x14ac:dyDescent="0.5">
      <c r="A3" s="679" t="str">
        <f>'Summary Equip'!B6</f>
        <v>CAT 350 - 50t Excav</v>
      </c>
      <c r="B3" s="680"/>
      <c r="C3" s="681"/>
      <c r="D3" s="682" t="s">
        <v>2</v>
      </c>
      <c r="E3" s="683"/>
      <c r="F3" s="683"/>
      <c r="G3" s="683"/>
      <c r="H3" s="683"/>
      <c r="I3" s="683"/>
      <c r="J3" s="683"/>
      <c r="K3" s="683"/>
      <c r="L3" s="683"/>
      <c r="M3" s="683"/>
      <c r="N3" s="683"/>
      <c r="O3" s="683"/>
      <c r="P3" s="683"/>
      <c r="Q3" s="683"/>
      <c r="R3" s="683"/>
      <c r="S3" s="683"/>
      <c r="T3" s="683"/>
      <c r="U3" s="683"/>
      <c r="V3" s="683"/>
      <c r="W3" s="683"/>
      <c r="X3" s="684"/>
    </row>
    <row r="4" spans="1:31" ht="14.65" thickBot="1" x14ac:dyDescent="0.5">
      <c r="C4" s="11"/>
      <c r="D4" s="11"/>
      <c r="E4" s="11"/>
      <c r="F4" s="11"/>
      <c r="G4" s="11"/>
      <c r="H4" s="11"/>
      <c r="I4" s="12"/>
      <c r="J4" s="11"/>
      <c r="K4" s="11"/>
      <c r="L4" s="11"/>
      <c r="M4" s="11"/>
      <c r="Q4" s="368">
        <f>+'Summary Equip'!AC6</f>
        <v>520.125</v>
      </c>
      <c r="U4" s="57">
        <v>0.05</v>
      </c>
    </row>
    <row r="5" spans="1:31" ht="23.25" customHeight="1" thickBot="1" x14ac:dyDescent="0.5">
      <c r="A5" s="685" t="s">
        <v>9</v>
      </c>
      <c r="B5" s="686"/>
      <c r="C5" s="687"/>
      <c r="D5" s="11"/>
      <c r="E5" s="11"/>
      <c r="F5" s="11"/>
      <c r="G5" s="11"/>
      <c r="H5" s="11"/>
      <c r="I5" s="688" t="s">
        <v>34</v>
      </c>
      <c r="J5" s="689"/>
      <c r="K5" s="689"/>
      <c r="L5" s="689"/>
      <c r="M5" s="690"/>
      <c r="O5" s="688" t="s">
        <v>35</v>
      </c>
      <c r="P5" s="691"/>
      <c r="Q5" s="689"/>
      <c r="R5" s="689"/>
      <c r="S5" s="689"/>
      <c r="T5" s="689"/>
      <c r="U5" s="689"/>
      <c r="V5" s="689"/>
      <c r="W5" s="692"/>
      <c r="X5" s="693"/>
      <c r="AA5" s="145">
        <v>0.03</v>
      </c>
    </row>
    <row r="6" spans="1:31" ht="28.9" thickBot="1" x14ac:dyDescent="0.5">
      <c r="A6" s="29" t="s">
        <v>0</v>
      </c>
      <c r="B6" s="28" t="s">
        <v>1</v>
      </c>
      <c r="C6" s="50" t="s">
        <v>10</v>
      </c>
      <c r="D6" s="11"/>
      <c r="E6" s="11"/>
      <c r="F6" s="11"/>
      <c r="G6" s="11"/>
      <c r="H6" s="11"/>
      <c r="I6" s="16" t="s">
        <v>15</v>
      </c>
      <c r="J6" s="17" t="s">
        <v>70</v>
      </c>
      <c r="K6" s="17" t="s">
        <v>17</v>
      </c>
      <c r="L6" s="17" t="s">
        <v>18</v>
      </c>
      <c r="M6" s="18" t="s">
        <v>19</v>
      </c>
      <c r="O6" s="16" t="s">
        <v>15</v>
      </c>
      <c r="P6" s="52" t="s">
        <v>39</v>
      </c>
      <c r="Q6" s="17" t="s">
        <v>36</v>
      </c>
      <c r="R6" s="17" t="s">
        <v>37</v>
      </c>
      <c r="S6" s="17" t="s">
        <v>27</v>
      </c>
      <c r="T6" s="17" t="s">
        <v>38</v>
      </c>
      <c r="U6" s="17" t="s">
        <v>7</v>
      </c>
      <c r="V6" s="17" t="s">
        <v>41</v>
      </c>
      <c r="W6" s="18" t="s">
        <v>40</v>
      </c>
      <c r="X6" s="55" t="s">
        <v>42</v>
      </c>
      <c r="Z6" s="5" t="s">
        <v>71</v>
      </c>
      <c r="AA6" s="5" t="s">
        <v>46</v>
      </c>
      <c r="AB6" s="5" t="s">
        <v>47</v>
      </c>
    </row>
    <row r="7" spans="1:31" x14ac:dyDescent="0.45">
      <c r="A7" s="8">
        <v>1</v>
      </c>
      <c r="B7" s="9" t="s">
        <v>11</v>
      </c>
      <c r="C7" s="152">
        <f>+F11*(1+'Summary Equip'!$N$3)</f>
        <v>361491</v>
      </c>
      <c r="D7" s="11"/>
      <c r="E7" s="8" t="s">
        <v>61</v>
      </c>
      <c r="F7" s="150">
        <f>'Summary Equip'!F75</f>
        <v>361491</v>
      </c>
      <c r="G7" s="379"/>
      <c r="H7" s="383">
        <v>1</v>
      </c>
      <c r="I7" s="53">
        <v>1</v>
      </c>
      <c r="J7" s="77">
        <f>C7</f>
        <v>361491</v>
      </c>
      <c r="K7" s="77">
        <f>J7*$C$8*30.44/365.25</f>
        <v>1596.716386365503</v>
      </c>
      <c r="L7" s="77">
        <f>+L69</f>
        <v>-6871.5770949552589</v>
      </c>
      <c r="M7" s="78">
        <f t="shared" ref="M7:M66" si="0">J7+K7+L7</f>
        <v>356216.13929141028</v>
      </c>
      <c r="O7" s="15">
        <v>1</v>
      </c>
      <c r="P7" s="53">
        <f>Q4</f>
        <v>520.125</v>
      </c>
      <c r="Q7" s="77">
        <f>$F$42+($Q$4*$G$42)</f>
        <v>7936.0532238950145</v>
      </c>
      <c r="R7" s="77">
        <f>+L7</f>
        <v>-6871.5770949552589</v>
      </c>
      <c r="S7" s="77">
        <f>+IF(R7=0,,-S68/C12)</f>
        <v>0</v>
      </c>
      <c r="T7" s="77"/>
      <c r="U7" s="77">
        <f>-Q7*U4</f>
        <v>-396.80266119475073</v>
      </c>
      <c r="V7" s="77">
        <f>-(AB7*$C$9/12)</f>
        <v>-762.90039678125004</v>
      </c>
      <c r="W7" s="83">
        <f>SUM(Q7:V7)</f>
        <v>-95.22692903624511</v>
      </c>
      <c r="X7" s="84">
        <f>W7</f>
        <v>-95.22692903624511</v>
      </c>
      <c r="Z7" s="92">
        <f>+$D$27-(($D$27+$D$28)*O7/$B$22)</f>
        <v>355526.39850000001</v>
      </c>
      <c r="AA7" s="5">
        <f>+Z7*$AA$5</f>
        <v>10665.791955000001</v>
      </c>
      <c r="AB7" s="92">
        <f>+Z7+AA7</f>
        <v>366192.19045500003</v>
      </c>
      <c r="AC7" s="132"/>
      <c r="AD7" s="132">
        <f>+S7</f>
        <v>0</v>
      </c>
      <c r="AE7" s="3">
        <f>+IF(AD7=0,0,1)</f>
        <v>0</v>
      </c>
    </row>
    <row r="8" spans="1:31" ht="28.5" x14ac:dyDescent="0.45">
      <c r="A8" s="4">
        <f>A7+1</f>
        <v>2</v>
      </c>
      <c r="B8" s="5" t="s">
        <v>3</v>
      </c>
      <c r="C8" s="156">
        <f>+'Summary Equip'!R6</f>
        <v>5.2999999999999999E-2</v>
      </c>
      <c r="D8" s="11"/>
      <c r="E8" s="107" t="s">
        <v>64</v>
      </c>
      <c r="F8" s="311">
        <f>+'Summary Equip'!D6</f>
        <v>0</v>
      </c>
      <c r="G8" s="380"/>
      <c r="H8" s="383">
        <f>+'Summary Equip'!C6</f>
        <v>1</v>
      </c>
      <c r="I8" s="54">
        <f>I7+1</f>
        <v>2</v>
      </c>
      <c r="J8" s="63">
        <f>+IF(M7&lt;0,,M7)</f>
        <v>356216.13929141028</v>
      </c>
      <c r="K8" s="63">
        <f t="shared" ref="K8:K54" si="1">J8*$C$8*30.44/365.25</f>
        <v>1573.4171713665105</v>
      </c>
      <c r="L8" s="63">
        <f>IF(M7&lt;0,,L7)</f>
        <v>-6871.5770949552589</v>
      </c>
      <c r="M8" s="65">
        <f t="shared" si="0"/>
        <v>350917.97936782154</v>
      </c>
      <c r="O8" s="14">
        <f>O7+1</f>
        <v>2</v>
      </c>
      <c r="P8" s="54">
        <f>P7+$Q$4</f>
        <v>1040.25</v>
      </c>
      <c r="Q8" s="63">
        <f>$F$42+($Q$4*$G$42)</f>
        <v>7936.0532238950145</v>
      </c>
      <c r="R8" s="77">
        <f t="shared" ref="R8:R66" si="2">+L8</f>
        <v>-6871.5770949552589</v>
      </c>
      <c r="S8" s="63">
        <f>+IF(R8=0,,S7)</f>
        <v>0</v>
      </c>
      <c r="T8" s="63"/>
      <c r="U8" s="63">
        <f>U7</f>
        <v>-396.80266119475073</v>
      </c>
      <c r="V8" s="77">
        <f t="shared" ref="V8:V14" si="3">-(AB8*$C$9/12)</f>
        <v>-750.10135606250014</v>
      </c>
      <c r="W8" s="83">
        <f t="shared" ref="W8:W66" si="4">SUM(Q8:V8)</f>
        <v>-82.427888317495217</v>
      </c>
      <c r="X8" s="85">
        <f>X7+W8</f>
        <v>-177.65481735374033</v>
      </c>
      <c r="Z8" s="92">
        <f>+$D$27-(($D$27+$D$28)*O8/$B$22)</f>
        <v>349561.79700000002</v>
      </c>
      <c r="AA8" s="5">
        <f t="shared" ref="AA8:AA66" si="5">+Z8*$AA$5</f>
        <v>10486.85391</v>
      </c>
      <c r="AB8" s="92">
        <f t="shared" ref="AB8:AB66" si="6">+Z8+AA8</f>
        <v>360048.65091000003</v>
      </c>
      <c r="AD8" s="133">
        <f t="shared" ref="AD8:AD53" si="7">IF(AD7=0,0,IF(+S8+AD7&lt;-$S$72,0,+S8+AD7))</f>
        <v>0</v>
      </c>
      <c r="AE8" s="3">
        <f t="shared" ref="AE8:AE66" si="8">+IF(AD8=0,0,1)</f>
        <v>0</v>
      </c>
    </row>
    <row r="9" spans="1:31" x14ac:dyDescent="0.45">
      <c r="A9" s="4">
        <f t="shared" ref="A9:A14" si="9">A8+1</f>
        <v>3</v>
      </c>
      <c r="B9" s="5" t="s">
        <v>4</v>
      </c>
      <c r="C9" s="157">
        <f>+'Summary Equip'!S6</f>
        <v>2.5000000000000001E-2</v>
      </c>
      <c r="D9" s="11"/>
      <c r="E9" s="338" t="s">
        <v>69</v>
      </c>
      <c r="F9" s="550">
        <v>0</v>
      </c>
      <c r="G9" s="381"/>
      <c r="H9" s="383">
        <f>+'Summary Equip'!E6</f>
        <v>1</v>
      </c>
      <c r="I9" s="54">
        <f t="shared" ref="I9:I66" si="10">I8+1</f>
        <v>3</v>
      </c>
      <c r="J9" s="63">
        <f t="shared" ref="J9:J66" si="11">+IF(M8&lt;0,,M8)</f>
        <v>350917.97936782154</v>
      </c>
      <c r="K9" s="63">
        <f t="shared" si="1"/>
        <v>1550.0150430491276</v>
      </c>
      <c r="L9" s="63">
        <f t="shared" ref="L9:L66" si="12">IF(M8&lt;0,,L8)</f>
        <v>-6871.5770949552589</v>
      </c>
      <c r="M9" s="65">
        <f t="shared" si="0"/>
        <v>345596.4173159154</v>
      </c>
      <c r="O9" s="14">
        <f t="shared" ref="O9:O66" si="13">O8+1</f>
        <v>3</v>
      </c>
      <c r="P9" s="54">
        <f t="shared" ref="P9:P66" si="14">P8+$Q$4</f>
        <v>1560.375</v>
      </c>
      <c r="Q9" s="63">
        <f t="shared" ref="Q9:Q66" si="15">$F$42+($Q$4*$G$42)</f>
        <v>7936.0532238950145</v>
      </c>
      <c r="R9" s="77">
        <f t="shared" si="2"/>
        <v>-6871.5770949552589</v>
      </c>
      <c r="S9" s="63">
        <f t="shared" ref="S9:S62" si="16">+S8</f>
        <v>0</v>
      </c>
      <c r="T9" s="63"/>
      <c r="U9" s="63">
        <f t="shared" ref="U9:U62" si="17">U8</f>
        <v>-396.80266119475073</v>
      </c>
      <c r="V9" s="77">
        <f t="shared" si="3"/>
        <v>-737.30231534374991</v>
      </c>
      <c r="W9" s="83">
        <f t="shared" si="4"/>
        <v>-69.628847598744983</v>
      </c>
      <c r="X9" s="85">
        <f t="shared" ref="X9:X62" si="18">X8+W9</f>
        <v>-247.28366495248531</v>
      </c>
      <c r="Z9" s="92">
        <f t="shared" ref="Z9:Z66" si="19">+$D$27-(($D$27+$D$28)*O9/$B$22)</f>
        <v>343597.19549999997</v>
      </c>
      <c r="AA9" s="5">
        <f t="shared" si="5"/>
        <v>10307.915864999999</v>
      </c>
      <c r="AB9" s="92">
        <f t="shared" si="6"/>
        <v>353905.11136499996</v>
      </c>
      <c r="AD9" s="133">
        <f t="shared" si="7"/>
        <v>0</v>
      </c>
      <c r="AE9" s="3">
        <f t="shared" si="8"/>
        <v>0</v>
      </c>
    </row>
    <row r="10" spans="1:31" ht="14.65" thickBot="1" x14ac:dyDescent="0.5">
      <c r="A10" s="4">
        <f t="shared" si="9"/>
        <v>4</v>
      </c>
      <c r="B10" s="5" t="s">
        <v>5</v>
      </c>
      <c r="C10" s="552">
        <v>0</v>
      </c>
      <c r="D10" s="11"/>
      <c r="E10" s="111" t="s">
        <v>52</v>
      </c>
      <c r="F10" s="312">
        <f>SUM(F7:F8)*G10</f>
        <v>0</v>
      </c>
      <c r="G10" s="382">
        <f>+'Summary Equip'!H6</f>
        <v>0</v>
      </c>
      <c r="H10" s="383">
        <f>+'Summary Equip'!G6</f>
        <v>0</v>
      </c>
      <c r="I10" s="54">
        <f t="shared" si="10"/>
        <v>4</v>
      </c>
      <c r="J10" s="63">
        <f t="shared" si="11"/>
        <v>345596.4173159154</v>
      </c>
      <c r="K10" s="63">
        <f t="shared" si="1"/>
        <v>1526.5095468421976</v>
      </c>
      <c r="L10" s="63">
        <f t="shared" si="12"/>
        <v>-6871.5770949552589</v>
      </c>
      <c r="M10" s="65">
        <f t="shared" si="0"/>
        <v>340251.34976780234</v>
      </c>
      <c r="O10" s="14">
        <f t="shared" si="13"/>
        <v>4</v>
      </c>
      <c r="P10" s="54">
        <f t="shared" si="14"/>
        <v>2080.5</v>
      </c>
      <c r="Q10" s="63">
        <f t="shared" si="15"/>
        <v>7936.0532238950145</v>
      </c>
      <c r="R10" s="77">
        <f t="shared" si="2"/>
        <v>-6871.5770949552589</v>
      </c>
      <c r="S10" s="63">
        <f t="shared" si="16"/>
        <v>0</v>
      </c>
      <c r="T10" s="63"/>
      <c r="U10" s="63">
        <f t="shared" si="17"/>
        <v>-396.80266119475073</v>
      </c>
      <c r="V10" s="77">
        <f t="shared" si="3"/>
        <v>-724.5032746249999</v>
      </c>
      <c r="W10" s="83">
        <f t="shared" si="4"/>
        <v>-56.829806879994976</v>
      </c>
      <c r="X10" s="85">
        <f t="shared" si="18"/>
        <v>-304.11347183248029</v>
      </c>
      <c r="Z10" s="92">
        <f t="shared" si="19"/>
        <v>337632.59399999998</v>
      </c>
      <c r="AA10" s="5">
        <f t="shared" si="5"/>
        <v>10128.977819999998</v>
      </c>
      <c r="AB10" s="92">
        <f t="shared" si="6"/>
        <v>347761.57181999995</v>
      </c>
      <c r="AD10" s="133">
        <f t="shared" si="7"/>
        <v>0</v>
      </c>
      <c r="AE10" s="3">
        <f t="shared" si="8"/>
        <v>0</v>
      </c>
    </row>
    <row r="11" spans="1:31" ht="14.65" thickBot="1" x14ac:dyDescent="0.5">
      <c r="A11" s="4">
        <f t="shared" si="9"/>
        <v>5</v>
      </c>
      <c r="B11" s="5" t="s">
        <v>12</v>
      </c>
      <c r="C11" s="159">
        <f>+'Summary Equip'!U6</f>
        <v>0.01</v>
      </c>
      <c r="D11" s="11"/>
      <c r="E11" s="112" t="s">
        <v>28</v>
      </c>
      <c r="F11" s="313">
        <f>SUMPRODUCT(F7:F10,H7:H10)</f>
        <v>361491</v>
      </c>
      <c r="G11" s="113"/>
      <c r="H11" s="11"/>
      <c r="I11" s="14">
        <f t="shared" si="10"/>
        <v>5</v>
      </c>
      <c r="J11" s="63">
        <f t="shared" si="11"/>
        <v>340251.34976780234</v>
      </c>
      <c r="K11" s="63">
        <f t="shared" si="1"/>
        <v>1502.9002261667099</v>
      </c>
      <c r="L11" s="63">
        <f t="shared" si="12"/>
        <v>-6871.5770949552589</v>
      </c>
      <c r="M11" s="65">
        <f t="shared" si="0"/>
        <v>334882.67289901379</v>
      </c>
      <c r="O11" s="14">
        <f t="shared" si="13"/>
        <v>5</v>
      </c>
      <c r="P11" s="54">
        <f t="shared" si="14"/>
        <v>2600.625</v>
      </c>
      <c r="Q11" s="63">
        <f t="shared" si="15"/>
        <v>7936.0532238950145</v>
      </c>
      <c r="R11" s="77">
        <f t="shared" si="2"/>
        <v>-6871.5770949552589</v>
      </c>
      <c r="S11" s="63">
        <f t="shared" si="16"/>
        <v>0</v>
      </c>
      <c r="T11" s="63"/>
      <c r="U11" s="63">
        <f t="shared" si="17"/>
        <v>-396.80266119475073</v>
      </c>
      <c r="V11" s="77">
        <f t="shared" si="3"/>
        <v>-711.70423390625001</v>
      </c>
      <c r="W11" s="83">
        <f t="shared" si="4"/>
        <v>-44.030766161245083</v>
      </c>
      <c r="X11" s="85">
        <f t="shared" si="18"/>
        <v>-348.14423799372537</v>
      </c>
      <c r="Z11" s="92">
        <f t="shared" si="19"/>
        <v>331667.99249999999</v>
      </c>
      <c r="AA11" s="5">
        <f t="shared" si="5"/>
        <v>9950.0397749999993</v>
      </c>
      <c r="AB11" s="92">
        <f t="shared" si="6"/>
        <v>341618.03227500001</v>
      </c>
      <c r="AD11" s="133">
        <f t="shared" si="7"/>
        <v>0</v>
      </c>
      <c r="AE11" s="3">
        <f t="shared" si="8"/>
        <v>0</v>
      </c>
    </row>
    <row r="12" spans="1:31" x14ac:dyDescent="0.45">
      <c r="A12" s="4">
        <f t="shared" si="9"/>
        <v>6</v>
      </c>
      <c r="B12" s="5" t="s">
        <v>13</v>
      </c>
      <c r="C12" s="160">
        <f>+'Summary Equip'!V6</f>
        <v>60</v>
      </c>
      <c r="D12" s="11"/>
      <c r="E12" s="11"/>
      <c r="F12" s="11"/>
      <c r="G12" s="11"/>
      <c r="H12" s="11"/>
      <c r="I12" s="14">
        <f t="shared" si="10"/>
        <v>6</v>
      </c>
      <c r="J12" s="63">
        <f t="shared" si="11"/>
        <v>334882.67289901379</v>
      </c>
      <c r="K12" s="63">
        <f t="shared" si="1"/>
        <v>1479.1866224269318</v>
      </c>
      <c r="L12" s="63">
        <f t="shared" si="12"/>
        <v>-6871.5770949552589</v>
      </c>
      <c r="M12" s="65">
        <f t="shared" si="0"/>
        <v>329490.28242648544</v>
      </c>
      <c r="O12" s="14">
        <f t="shared" si="13"/>
        <v>6</v>
      </c>
      <c r="P12" s="54">
        <f t="shared" si="14"/>
        <v>3120.75</v>
      </c>
      <c r="Q12" s="63">
        <f t="shared" si="15"/>
        <v>7936.0532238950145</v>
      </c>
      <c r="R12" s="77">
        <f t="shared" si="2"/>
        <v>-6871.5770949552589</v>
      </c>
      <c r="S12" s="63">
        <f t="shared" si="16"/>
        <v>0</v>
      </c>
      <c r="T12" s="63"/>
      <c r="U12" s="63">
        <f t="shared" si="17"/>
        <v>-396.80266119475073</v>
      </c>
      <c r="V12" s="77">
        <f t="shared" si="3"/>
        <v>-698.9051931875</v>
      </c>
      <c r="W12" s="83">
        <f t="shared" si="4"/>
        <v>-31.231725442495076</v>
      </c>
      <c r="X12" s="85">
        <f t="shared" si="18"/>
        <v>-379.37596343622045</v>
      </c>
      <c r="Z12" s="92">
        <f t="shared" si="19"/>
        <v>325703.391</v>
      </c>
      <c r="AA12" s="5">
        <f t="shared" si="5"/>
        <v>9771.1017300000003</v>
      </c>
      <c r="AB12" s="92">
        <f t="shared" si="6"/>
        <v>335474.49273</v>
      </c>
      <c r="AD12" s="133">
        <f t="shared" si="7"/>
        <v>0</v>
      </c>
      <c r="AE12" s="3">
        <f t="shared" si="8"/>
        <v>0</v>
      </c>
    </row>
    <row r="13" spans="1:31" x14ac:dyDescent="0.45">
      <c r="A13" s="4">
        <f t="shared" si="9"/>
        <v>7</v>
      </c>
      <c r="B13" s="5" t="s">
        <v>14</v>
      </c>
      <c r="C13" s="161">
        <f>+'Summary Equip'!W6</f>
        <v>20000</v>
      </c>
      <c r="D13" s="176">
        <f>+C13*C14</f>
        <v>18000</v>
      </c>
      <c r="E13" s="11"/>
      <c r="F13" s="11"/>
      <c r="G13" s="11"/>
      <c r="H13" s="11"/>
      <c r="I13" s="14">
        <f t="shared" si="10"/>
        <v>7</v>
      </c>
      <c r="J13" s="63">
        <f t="shared" si="11"/>
        <v>329490.28242648544</v>
      </c>
      <c r="K13" s="63">
        <f t="shared" si="1"/>
        <v>1455.3682750014989</v>
      </c>
      <c r="L13" s="63">
        <f t="shared" si="12"/>
        <v>-6871.5770949552589</v>
      </c>
      <c r="M13" s="65">
        <f t="shared" si="0"/>
        <v>324074.07360653166</v>
      </c>
      <c r="O13" s="14">
        <f t="shared" si="13"/>
        <v>7</v>
      </c>
      <c r="P13" s="54">
        <f t="shared" si="14"/>
        <v>3640.875</v>
      </c>
      <c r="Q13" s="63">
        <f t="shared" si="15"/>
        <v>7936.0532238950145</v>
      </c>
      <c r="R13" s="77">
        <f t="shared" si="2"/>
        <v>-6871.5770949552589</v>
      </c>
      <c r="S13" s="63">
        <f t="shared" si="16"/>
        <v>0</v>
      </c>
      <c r="T13" s="63"/>
      <c r="U13" s="63">
        <f t="shared" si="17"/>
        <v>-396.80266119475073</v>
      </c>
      <c r="V13" s="77">
        <f t="shared" si="3"/>
        <v>-686.10615246875011</v>
      </c>
      <c r="W13" s="83">
        <f t="shared" si="4"/>
        <v>-18.432684723745183</v>
      </c>
      <c r="X13" s="85">
        <f t="shared" si="18"/>
        <v>-397.80864815996563</v>
      </c>
      <c r="Z13" s="92">
        <f t="shared" si="19"/>
        <v>319738.78950000001</v>
      </c>
      <c r="AA13" s="5">
        <f t="shared" si="5"/>
        <v>9592.1636849999995</v>
      </c>
      <c r="AB13" s="92">
        <f t="shared" si="6"/>
        <v>329330.95318499999</v>
      </c>
      <c r="AD13" s="133">
        <f t="shared" si="7"/>
        <v>0</v>
      </c>
      <c r="AE13" s="3">
        <f t="shared" si="8"/>
        <v>0</v>
      </c>
    </row>
    <row r="14" spans="1:31" ht="14.65" thickBot="1" x14ac:dyDescent="0.5">
      <c r="A14" s="6">
        <f t="shared" si="9"/>
        <v>8</v>
      </c>
      <c r="B14" s="7" t="s">
        <v>33</v>
      </c>
      <c r="C14" s="162">
        <f>+'Summary Equip'!X6</f>
        <v>0.9</v>
      </c>
      <c r="D14" s="337">
        <f>+D13/C12</f>
        <v>300</v>
      </c>
      <c r="E14" s="11"/>
      <c r="F14" s="11"/>
      <c r="G14" s="11"/>
      <c r="H14" s="11"/>
      <c r="I14" s="14">
        <f t="shared" si="10"/>
        <v>8</v>
      </c>
      <c r="J14" s="63">
        <f t="shared" si="11"/>
        <v>324074.07360653166</v>
      </c>
      <c r="K14" s="63">
        <f t="shared" si="1"/>
        <v>1431.4447212344685</v>
      </c>
      <c r="L14" s="63">
        <f t="shared" si="12"/>
        <v>-6871.5770949552589</v>
      </c>
      <c r="M14" s="65">
        <f t="shared" si="0"/>
        <v>318633.9412328109</v>
      </c>
      <c r="O14" s="14">
        <f t="shared" si="13"/>
        <v>8</v>
      </c>
      <c r="P14" s="54">
        <f t="shared" si="14"/>
        <v>4161</v>
      </c>
      <c r="Q14" s="63">
        <f t="shared" si="15"/>
        <v>7936.0532238950145</v>
      </c>
      <c r="R14" s="77">
        <f t="shared" si="2"/>
        <v>-6871.5770949552589</v>
      </c>
      <c r="S14" s="63">
        <f t="shared" si="16"/>
        <v>0</v>
      </c>
      <c r="T14" s="63"/>
      <c r="U14" s="63">
        <f t="shared" si="17"/>
        <v>-396.80266119475073</v>
      </c>
      <c r="V14" s="77">
        <f t="shared" si="3"/>
        <v>-673.30711174999999</v>
      </c>
      <c r="W14" s="83">
        <f t="shared" si="4"/>
        <v>-5.6336440049950625</v>
      </c>
      <c r="X14" s="85">
        <f t="shared" si="18"/>
        <v>-403.44229216496069</v>
      </c>
      <c r="Z14" s="92">
        <f t="shared" si="19"/>
        <v>313774.18799999997</v>
      </c>
      <c r="AA14" s="5">
        <f t="shared" si="5"/>
        <v>9413.2256399999987</v>
      </c>
      <c r="AB14" s="92">
        <f t="shared" si="6"/>
        <v>323187.41363999998</v>
      </c>
      <c r="AD14" s="133">
        <f t="shared" si="7"/>
        <v>0</v>
      </c>
      <c r="AE14" s="3">
        <f t="shared" si="8"/>
        <v>0</v>
      </c>
    </row>
    <row r="15" spans="1:31" ht="14.65" thickBot="1" x14ac:dyDescent="0.5">
      <c r="C15" s="11"/>
      <c r="D15" s="11"/>
      <c r="E15" s="11"/>
      <c r="F15" s="11"/>
      <c r="G15" s="11"/>
      <c r="H15" s="11"/>
      <c r="I15" s="14">
        <f t="shared" si="10"/>
        <v>9</v>
      </c>
      <c r="J15" s="63">
        <f t="shared" si="11"/>
        <v>318633.9412328109</v>
      </c>
      <c r="K15" s="63">
        <f t="shared" si="1"/>
        <v>1407.4154964263341</v>
      </c>
      <c r="L15" s="63">
        <f t="shared" si="12"/>
        <v>-6871.5770949552589</v>
      </c>
      <c r="M15" s="65">
        <f t="shared" si="0"/>
        <v>313169.77963428199</v>
      </c>
      <c r="O15" s="14">
        <f t="shared" si="13"/>
        <v>9</v>
      </c>
      <c r="P15" s="54">
        <f t="shared" si="14"/>
        <v>4681.125</v>
      </c>
      <c r="Q15" s="63">
        <f t="shared" si="15"/>
        <v>7936.0532238950145</v>
      </c>
      <c r="R15" s="77">
        <f t="shared" si="2"/>
        <v>-6871.5770949552589</v>
      </c>
      <c r="S15" s="63">
        <f t="shared" si="16"/>
        <v>0</v>
      </c>
      <c r="T15" s="63"/>
      <c r="U15" s="63">
        <f t="shared" si="17"/>
        <v>-396.80266119475073</v>
      </c>
      <c r="V15" s="77">
        <f>-(AB15*$C$9/12)</f>
        <v>-660.50807103124998</v>
      </c>
      <c r="W15" s="83">
        <f t="shared" si="4"/>
        <v>7.1653967137549444</v>
      </c>
      <c r="X15" s="85">
        <f t="shared" si="18"/>
        <v>-396.27689545120575</v>
      </c>
      <c r="Z15" s="92">
        <f t="shared" si="19"/>
        <v>307809.58649999998</v>
      </c>
      <c r="AA15" s="5">
        <f t="shared" si="5"/>
        <v>9234.2875949999998</v>
      </c>
      <c r="AB15" s="92">
        <f t="shared" si="6"/>
        <v>317043.87409499998</v>
      </c>
      <c r="AD15" s="133">
        <f t="shared" si="7"/>
        <v>0</v>
      </c>
      <c r="AE15" s="3">
        <f t="shared" si="8"/>
        <v>0</v>
      </c>
    </row>
    <row r="16" spans="1:31" ht="16.149999999999999" thickBot="1" x14ac:dyDescent="0.5">
      <c r="A16" s="661" t="s">
        <v>43</v>
      </c>
      <c r="B16" s="662"/>
      <c r="C16" s="662"/>
      <c r="D16" s="662"/>
      <c r="E16" s="663"/>
      <c r="F16" s="1"/>
      <c r="G16" s="1"/>
      <c r="H16" s="117"/>
      <c r="I16" s="14">
        <f t="shared" si="10"/>
        <v>10</v>
      </c>
      <c r="J16" s="63">
        <f t="shared" si="11"/>
        <v>313169.77963428199</v>
      </c>
      <c r="K16" s="63">
        <f t="shared" si="1"/>
        <v>1383.280133824996</v>
      </c>
      <c r="L16" s="63">
        <f t="shared" si="12"/>
        <v>-6871.5770949552589</v>
      </c>
      <c r="M16" s="65">
        <f t="shared" si="0"/>
        <v>307681.48267315171</v>
      </c>
      <c r="O16" s="14">
        <f t="shared" si="13"/>
        <v>10</v>
      </c>
      <c r="P16" s="54">
        <f t="shared" si="14"/>
        <v>5201.25</v>
      </c>
      <c r="Q16" s="63">
        <f t="shared" si="15"/>
        <v>7936.0532238950145</v>
      </c>
      <c r="R16" s="77">
        <f t="shared" si="2"/>
        <v>-6871.5770949552589</v>
      </c>
      <c r="S16" s="63">
        <f t="shared" si="16"/>
        <v>0</v>
      </c>
      <c r="T16" s="63"/>
      <c r="U16" s="63">
        <f t="shared" si="17"/>
        <v>-396.80266119475073</v>
      </c>
      <c r="V16" s="77">
        <f t="shared" ref="V16:V66" si="20">-(AB16*$C$9/12)</f>
        <v>-647.70903031249998</v>
      </c>
      <c r="W16" s="83">
        <f t="shared" si="4"/>
        <v>19.964437432504951</v>
      </c>
      <c r="X16" s="85">
        <f t="shared" si="18"/>
        <v>-376.3124580187008</v>
      </c>
      <c r="Z16" s="92">
        <f t="shared" si="19"/>
        <v>301844.98499999999</v>
      </c>
      <c r="AA16" s="5">
        <f t="shared" si="5"/>
        <v>9055.349549999999</v>
      </c>
      <c r="AB16" s="92">
        <f t="shared" si="6"/>
        <v>310900.33454999997</v>
      </c>
      <c r="AD16" s="133">
        <f t="shared" si="7"/>
        <v>0</v>
      </c>
      <c r="AE16" s="3">
        <f t="shared" si="8"/>
        <v>0</v>
      </c>
    </row>
    <row r="17" spans="1:31" ht="14.65" thickBot="1" x14ac:dyDescent="0.5">
      <c r="A17" s="97" t="s">
        <v>44</v>
      </c>
      <c r="B17" s="98" t="s">
        <v>48</v>
      </c>
      <c r="C17" s="98" t="s">
        <v>45</v>
      </c>
      <c r="D17" s="99" t="s">
        <v>46</v>
      </c>
      <c r="E17" s="55" t="s">
        <v>47</v>
      </c>
      <c r="F17" s="1"/>
      <c r="G17" s="1"/>
      <c r="H17" s="117"/>
      <c r="I17" s="14">
        <f t="shared" si="10"/>
        <v>11</v>
      </c>
      <c r="J17" s="63">
        <f t="shared" si="11"/>
        <v>307681.48267315171</v>
      </c>
      <c r="K17" s="63">
        <f t="shared" si="1"/>
        <v>1359.0381646166984</v>
      </c>
      <c r="L17" s="63">
        <f t="shared" si="12"/>
        <v>-6871.5770949552589</v>
      </c>
      <c r="M17" s="65">
        <f t="shared" si="0"/>
        <v>302168.94374281314</v>
      </c>
      <c r="O17" s="14">
        <f t="shared" si="13"/>
        <v>11</v>
      </c>
      <c r="P17" s="54">
        <f t="shared" si="14"/>
        <v>5721.375</v>
      </c>
      <c r="Q17" s="63">
        <f t="shared" si="15"/>
        <v>7936.0532238950145</v>
      </c>
      <c r="R17" s="77">
        <f t="shared" si="2"/>
        <v>-6871.5770949552589</v>
      </c>
      <c r="S17" s="63">
        <f t="shared" si="16"/>
        <v>0</v>
      </c>
      <c r="T17" s="63"/>
      <c r="U17" s="63">
        <f t="shared" si="17"/>
        <v>-396.80266119475073</v>
      </c>
      <c r="V17" s="77">
        <f t="shared" si="20"/>
        <v>-634.90998959375008</v>
      </c>
      <c r="W17" s="83">
        <f t="shared" si="4"/>
        <v>32.763478151254844</v>
      </c>
      <c r="X17" s="85">
        <f t="shared" si="18"/>
        <v>-343.54897986744595</v>
      </c>
      <c r="Z17" s="92">
        <f t="shared" si="19"/>
        <v>295880.3835</v>
      </c>
      <c r="AA17" s="5">
        <f t="shared" si="5"/>
        <v>8876.411505</v>
      </c>
      <c r="AB17" s="92">
        <f t="shared" si="6"/>
        <v>304756.79500500002</v>
      </c>
      <c r="AD17" s="133">
        <f t="shared" si="7"/>
        <v>0</v>
      </c>
      <c r="AE17" s="3">
        <f t="shared" si="8"/>
        <v>0</v>
      </c>
    </row>
    <row r="18" spans="1:31" x14ac:dyDescent="0.45">
      <c r="A18" s="94">
        <v>1</v>
      </c>
      <c r="B18" s="95">
        <v>12</v>
      </c>
      <c r="C18" s="96">
        <f>D$27-(D$27+D$28)*B18/60</f>
        <v>289915.78200000001</v>
      </c>
      <c r="D18" s="100">
        <v>0</v>
      </c>
      <c r="E18" s="103">
        <f t="shared" ref="E18:E23" si="21">C18/(100%-D18)</f>
        <v>289915.78200000001</v>
      </c>
      <c r="F18" s="11"/>
      <c r="G18" s="11"/>
      <c r="H18" s="11"/>
      <c r="I18" s="14">
        <f t="shared" si="10"/>
        <v>12</v>
      </c>
      <c r="J18" s="63">
        <f t="shared" si="11"/>
        <v>302168.94374281314</v>
      </c>
      <c r="K18" s="63">
        <f t="shared" si="1"/>
        <v>1334.6891179169206</v>
      </c>
      <c r="L18" s="63">
        <f t="shared" si="12"/>
        <v>-6871.5770949552589</v>
      </c>
      <c r="M18" s="65">
        <f t="shared" si="0"/>
        <v>296632.0557657748</v>
      </c>
      <c r="O18" s="14">
        <f t="shared" si="13"/>
        <v>12</v>
      </c>
      <c r="P18" s="54">
        <f t="shared" si="14"/>
        <v>6241.5</v>
      </c>
      <c r="Q18" s="63">
        <f t="shared" si="15"/>
        <v>7936.0532238950145</v>
      </c>
      <c r="R18" s="77">
        <f t="shared" si="2"/>
        <v>-6871.5770949552589</v>
      </c>
      <c r="S18" s="63">
        <f t="shared" si="16"/>
        <v>0</v>
      </c>
      <c r="T18" s="63"/>
      <c r="U18" s="63">
        <f t="shared" si="17"/>
        <v>-396.80266119475073</v>
      </c>
      <c r="V18" s="77">
        <f t="shared" si="20"/>
        <v>-622.11094887500008</v>
      </c>
      <c r="W18" s="83">
        <f t="shared" si="4"/>
        <v>45.562518870004851</v>
      </c>
      <c r="X18" s="85">
        <f t="shared" si="18"/>
        <v>-297.9864609974411</v>
      </c>
      <c r="Z18" s="92">
        <f t="shared" si="19"/>
        <v>289915.78200000001</v>
      </c>
      <c r="AA18" s="5">
        <f t="shared" si="5"/>
        <v>8697.4734599999992</v>
      </c>
      <c r="AB18" s="92">
        <f t="shared" si="6"/>
        <v>298613.25546000001</v>
      </c>
      <c r="AD18" s="133">
        <f t="shared" si="7"/>
        <v>0</v>
      </c>
      <c r="AE18" s="3">
        <f t="shared" si="8"/>
        <v>0</v>
      </c>
    </row>
    <row r="19" spans="1:31" x14ac:dyDescent="0.45">
      <c r="A19" s="4">
        <f>A18+1</f>
        <v>2</v>
      </c>
      <c r="B19" s="5">
        <f>B18+12</f>
        <v>24</v>
      </c>
      <c r="C19" s="92">
        <f>D$27-(D$27+D$28)*B19/60</f>
        <v>218340.56399999998</v>
      </c>
      <c r="D19" s="101">
        <f>D18</f>
        <v>0</v>
      </c>
      <c r="E19" s="104">
        <f t="shared" si="21"/>
        <v>218340.56399999998</v>
      </c>
      <c r="F19" s="11"/>
      <c r="G19" s="11"/>
      <c r="H19" s="11"/>
      <c r="I19" s="14">
        <f t="shared" si="10"/>
        <v>13</v>
      </c>
      <c r="J19" s="63">
        <f t="shared" si="11"/>
        <v>296632.0557657748</v>
      </c>
      <c r="K19" s="63">
        <f t="shared" si="1"/>
        <v>1310.2325207612316</v>
      </c>
      <c r="L19" s="63">
        <f t="shared" si="12"/>
        <v>-6871.5770949552589</v>
      </c>
      <c r="M19" s="65">
        <f t="shared" si="0"/>
        <v>291070.71119158081</v>
      </c>
      <c r="O19" s="14">
        <f t="shared" si="13"/>
        <v>13</v>
      </c>
      <c r="P19" s="54">
        <f t="shared" si="14"/>
        <v>6761.625</v>
      </c>
      <c r="Q19" s="63">
        <f t="shared" si="15"/>
        <v>7936.0532238950145</v>
      </c>
      <c r="R19" s="77">
        <f t="shared" si="2"/>
        <v>-6871.5770949552589</v>
      </c>
      <c r="S19" s="63">
        <f t="shared" si="16"/>
        <v>0</v>
      </c>
      <c r="T19" s="63"/>
      <c r="U19" s="63">
        <f t="shared" si="17"/>
        <v>-396.80266119475073</v>
      </c>
      <c r="V19" s="77">
        <f t="shared" si="20"/>
        <v>-609.31190815625007</v>
      </c>
      <c r="W19" s="83">
        <f t="shared" si="4"/>
        <v>58.361559588754858</v>
      </c>
      <c r="X19" s="85">
        <f t="shared" si="18"/>
        <v>-239.62490140868624</v>
      </c>
      <c r="Z19" s="92">
        <f t="shared" si="19"/>
        <v>283951.18050000002</v>
      </c>
      <c r="AA19" s="5">
        <f t="shared" si="5"/>
        <v>8518.5354150000003</v>
      </c>
      <c r="AB19" s="92">
        <f t="shared" si="6"/>
        <v>292469.71591500001</v>
      </c>
      <c r="AD19" s="133">
        <f t="shared" si="7"/>
        <v>0</v>
      </c>
      <c r="AE19" s="3">
        <f t="shared" si="8"/>
        <v>0</v>
      </c>
    </row>
    <row r="20" spans="1:31" x14ac:dyDescent="0.45">
      <c r="A20" s="4">
        <f>A19+1</f>
        <v>3</v>
      </c>
      <c r="B20" s="5">
        <f>B19+12</f>
        <v>36</v>
      </c>
      <c r="C20" s="92">
        <f>D$27-(D$27+D$28)*B20/60</f>
        <v>146765.34599999999</v>
      </c>
      <c r="D20" s="101">
        <f>D19</f>
        <v>0</v>
      </c>
      <c r="E20" s="104">
        <f t="shared" si="21"/>
        <v>146765.34599999999</v>
      </c>
      <c r="F20" s="11"/>
      <c r="G20" s="11"/>
      <c r="H20" s="11"/>
      <c r="I20" s="14">
        <f t="shared" si="10"/>
        <v>14</v>
      </c>
      <c r="J20" s="63">
        <f t="shared" si="11"/>
        <v>291070.71119158081</v>
      </c>
      <c r="K20" s="63">
        <f t="shared" si="1"/>
        <v>1285.6678980961017</v>
      </c>
      <c r="L20" s="63">
        <f t="shared" si="12"/>
        <v>-6871.5770949552589</v>
      </c>
      <c r="M20" s="65">
        <f t="shared" si="0"/>
        <v>285484.80199472164</v>
      </c>
      <c r="O20" s="14">
        <f t="shared" si="13"/>
        <v>14</v>
      </c>
      <c r="P20" s="54">
        <f t="shared" si="14"/>
        <v>7281.75</v>
      </c>
      <c r="Q20" s="63">
        <f t="shared" si="15"/>
        <v>7936.0532238950145</v>
      </c>
      <c r="R20" s="77">
        <f t="shared" si="2"/>
        <v>-6871.5770949552589</v>
      </c>
      <c r="S20" s="63">
        <f t="shared" si="16"/>
        <v>0</v>
      </c>
      <c r="T20" s="63"/>
      <c r="U20" s="63">
        <f t="shared" si="17"/>
        <v>-396.80266119475073</v>
      </c>
      <c r="V20" s="77">
        <f t="shared" si="20"/>
        <v>-596.51286743749995</v>
      </c>
      <c r="W20" s="83">
        <f t="shared" si="4"/>
        <v>71.160600307504978</v>
      </c>
      <c r="X20" s="85">
        <f t="shared" si="18"/>
        <v>-168.46430110118126</v>
      </c>
      <c r="Z20" s="92">
        <f t="shared" si="19"/>
        <v>277986.57899999997</v>
      </c>
      <c r="AA20" s="5">
        <f t="shared" si="5"/>
        <v>8339.5973699999995</v>
      </c>
      <c r="AB20" s="92">
        <f t="shared" si="6"/>
        <v>286326.17636999994</v>
      </c>
      <c r="AD20" s="133">
        <f t="shared" si="7"/>
        <v>0</v>
      </c>
      <c r="AE20" s="3">
        <f t="shared" si="8"/>
        <v>0</v>
      </c>
    </row>
    <row r="21" spans="1:31" x14ac:dyDescent="0.45">
      <c r="A21" s="4">
        <f>A20+1</f>
        <v>4</v>
      </c>
      <c r="B21" s="5">
        <f>B20+12</f>
        <v>48</v>
      </c>
      <c r="C21" s="92">
        <f>D$27-(D$27+D$28)*B21/60</f>
        <v>75190.127999999968</v>
      </c>
      <c r="D21" s="101">
        <f>D20</f>
        <v>0</v>
      </c>
      <c r="E21" s="104">
        <f t="shared" si="21"/>
        <v>75190.127999999968</v>
      </c>
      <c r="F21" s="11"/>
      <c r="G21" s="11"/>
      <c r="H21" s="11"/>
      <c r="I21" s="14">
        <f t="shared" si="10"/>
        <v>15</v>
      </c>
      <c r="J21" s="63">
        <f t="shared" si="11"/>
        <v>285484.80199472164</v>
      </c>
      <c r="K21" s="63">
        <f t="shared" si="1"/>
        <v>1260.9947727696765</v>
      </c>
      <c r="L21" s="63">
        <f t="shared" si="12"/>
        <v>-6871.5770949552589</v>
      </c>
      <c r="M21" s="65">
        <f t="shared" si="0"/>
        <v>279874.21967253607</v>
      </c>
      <c r="O21" s="14">
        <f t="shared" si="13"/>
        <v>15</v>
      </c>
      <c r="P21" s="54">
        <f t="shared" si="14"/>
        <v>7801.875</v>
      </c>
      <c r="Q21" s="63">
        <f t="shared" si="15"/>
        <v>7936.0532238950145</v>
      </c>
      <c r="R21" s="77">
        <f t="shared" si="2"/>
        <v>-6871.5770949552589</v>
      </c>
      <c r="S21" s="63">
        <f t="shared" si="16"/>
        <v>0</v>
      </c>
      <c r="T21" s="63"/>
      <c r="U21" s="63">
        <f t="shared" si="17"/>
        <v>-396.80266119475073</v>
      </c>
      <c r="V21" s="77">
        <f t="shared" si="20"/>
        <v>-583.71382671875006</v>
      </c>
      <c r="W21" s="83">
        <f t="shared" si="4"/>
        <v>83.959641026254872</v>
      </c>
      <c r="X21" s="85">
        <f t="shared" si="18"/>
        <v>-84.504660074926392</v>
      </c>
      <c r="Z21" s="92">
        <f t="shared" si="19"/>
        <v>272021.97749999998</v>
      </c>
      <c r="AA21" s="5">
        <f t="shared" si="5"/>
        <v>8160.6593249999987</v>
      </c>
      <c r="AB21" s="92">
        <f t="shared" si="6"/>
        <v>280182.63682499999</v>
      </c>
      <c r="AD21" s="133">
        <f t="shared" si="7"/>
        <v>0</v>
      </c>
      <c r="AE21" s="3">
        <f t="shared" si="8"/>
        <v>0</v>
      </c>
    </row>
    <row r="22" spans="1:31" x14ac:dyDescent="0.45">
      <c r="A22" s="4">
        <f>A21+1</f>
        <v>5</v>
      </c>
      <c r="B22" s="5">
        <f>B21+12</f>
        <v>60</v>
      </c>
      <c r="C22" s="92">
        <f>D$27-(D$27+D$28)*B22/60</f>
        <v>3614.9099999999744</v>
      </c>
      <c r="D22" s="101">
        <f>D21</f>
        <v>0</v>
      </c>
      <c r="E22" s="104">
        <f t="shared" si="21"/>
        <v>3614.9099999999744</v>
      </c>
      <c r="F22" s="11"/>
      <c r="G22" s="11"/>
      <c r="H22" s="11"/>
      <c r="I22" s="14">
        <f t="shared" si="10"/>
        <v>16</v>
      </c>
      <c r="J22" s="63">
        <f t="shared" si="11"/>
        <v>279874.21967253607</v>
      </c>
      <c r="K22" s="63">
        <f t="shared" si="1"/>
        <v>1236.2126655225077</v>
      </c>
      <c r="L22" s="63">
        <f t="shared" si="12"/>
        <v>-6871.5770949552589</v>
      </c>
      <c r="M22" s="65">
        <f t="shared" si="0"/>
        <v>274238.85524310335</v>
      </c>
      <c r="O22" s="14">
        <f t="shared" si="13"/>
        <v>16</v>
      </c>
      <c r="P22" s="54">
        <f t="shared" si="14"/>
        <v>8322</v>
      </c>
      <c r="Q22" s="63">
        <f t="shared" si="15"/>
        <v>7936.0532238950145</v>
      </c>
      <c r="R22" s="77">
        <f t="shared" si="2"/>
        <v>-6871.5770949552589</v>
      </c>
      <c r="S22" s="63">
        <f t="shared" si="16"/>
        <v>0</v>
      </c>
      <c r="T22" s="63"/>
      <c r="U22" s="63">
        <f t="shared" si="17"/>
        <v>-396.80266119475073</v>
      </c>
      <c r="V22" s="77">
        <f t="shared" si="20"/>
        <v>-570.91478599999994</v>
      </c>
      <c r="W22" s="83">
        <f t="shared" si="4"/>
        <v>96.758681745004992</v>
      </c>
      <c r="X22" s="85">
        <f t="shared" si="18"/>
        <v>12.2540216700786</v>
      </c>
      <c r="Z22" s="92">
        <f t="shared" si="19"/>
        <v>266057.37599999999</v>
      </c>
      <c r="AA22" s="5">
        <f t="shared" si="5"/>
        <v>7981.7212799999998</v>
      </c>
      <c r="AB22" s="92">
        <f t="shared" si="6"/>
        <v>274039.09727999999</v>
      </c>
      <c r="AD22" s="133">
        <f t="shared" si="7"/>
        <v>0</v>
      </c>
      <c r="AE22" s="3">
        <f t="shared" si="8"/>
        <v>0</v>
      </c>
    </row>
    <row r="23" spans="1:31" ht="14.65" thickBot="1" x14ac:dyDescent="0.5">
      <c r="A23" s="6">
        <f>A22+1</f>
        <v>6</v>
      </c>
      <c r="B23" s="7">
        <f>B22+12</f>
        <v>72</v>
      </c>
      <c r="C23" s="93">
        <v>1</v>
      </c>
      <c r="D23" s="102">
        <f>D22</f>
        <v>0</v>
      </c>
      <c r="E23" s="105">
        <f t="shared" si="21"/>
        <v>1</v>
      </c>
      <c r="H23" s="11"/>
      <c r="I23" s="14">
        <f t="shared" si="10"/>
        <v>17</v>
      </c>
      <c r="J23" s="63">
        <f t="shared" si="11"/>
        <v>274238.85524310335</v>
      </c>
      <c r="K23" s="63">
        <f t="shared" si="1"/>
        <v>1211.3210949782438</v>
      </c>
      <c r="L23" s="63">
        <f t="shared" si="12"/>
        <v>-6871.5770949552589</v>
      </c>
      <c r="M23" s="65">
        <f t="shared" si="0"/>
        <v>268578.59924312634</v>
      </c>
      <c r="O23" s="14">
        <f t="shared" si="13"/>
        <v>17</v>
      </c>
      <c r="P23" s="54">
        <f t="shared" si="14"/>
        <v>8842.125</v>
      </c>
      <c r="Q23" s="63">
        <f t="shared" si="15"/>
        <v>7936.0532238950145</v>
      </c>
      <c r="R23" s="77">
        <f t="shared" si="2"/>
        <v>-6871.5770949552589</v>
      </c>
      <c r="S23" s="63">
        <f t="shared" si="16"/>
        <v>0</v>
      </c>
      <c r="T23" s="63"/>
      <c r="U23" s="63">
        <f t="shared" si="17"/>
        <v>-396.80266119475073</v>
      </c>
      <c r="V23" s="77">
        <f t="shared" si="20"/>
        <v>-558.11574528125004</v>
      </c>
      <c r="W23" s="83">
        <f t="shared" si="4"/>
        <v>109.55772246375489</v>
      </c>
      <c r="X23" s="85">
        <f t="shared" si="18"/>
        <v>121.81174413383349</v>
      </c>
      <c r="Z23" s="92">
        <f t="shared" si="19"/>
        <v>260092.7745</v>
      </c>
      <c r="AA23" s="5">
        <f t="shared" si="5"/>
        <v>7802.7832349999999</v>
      </c>
      <c r="AB23" s="92">
        <f t="shared" si="6"/>
        <v>267895.55773499998</v>
      </c>
      <c r="AD23" s="133">
        <f t="shared" si="7"/>
        <v>0</v>
      </c>
      <c r="AE23" s="3">
        <f t="shared" si="8"/>
        <v>0</v>
      </c>
    </row>
    <row r="24" spans="1:31" ht="14.65" thickBot="1" x14ac:dyDescent="0.5">
      <c r="H24" s="11"/>
      <c r="I24" s="14">
        <f>I23+1</f>
        <v>18</v>
      </c>
      <c r="J24" s="63">
        <f t="shared" si="11"/>
        <v>268578.59924312634</v>
      </c>
      <c r="K24" s="63">
        <f t="shared" si="1"/>
        <v>1186.3195776342795</v>
      </c>
      <c r="L24" s="63">
        <f t="shared" si="12"/>
        <v>-6871.5770949552589</v>
      </c>
      <c r="M24" s="65">
        <f t="shared" si="0"/>
        <v>262893.34172580537</v>
      </c>
      <c r="O24" s="14">
        <f>O23+1</f>
        <v>18</v>
      </c>
      <c r="P24" s="54">
        <f t="shared" si="14"/>
        <v>9362.25</v>
      </c>
      <c r="Q24" s="63">
        <f t="shared" si="15"/>
        <v>7936.0532238950145</v>
      </c>
      <c r="R24" s="77">
        <f t="shared" si="2"/>
        <v>-6871.5770949552589</v>
      </c>
      <c r="S24" s="63">
        <f t="shared" si="16"/>
        <v>0</v>
      </c>
      <c r="T24" s="63"/>
      <c r="U24" s="63">
        <f t="shared" si="17"/>
        <v>-396.80266119475073</v>
      </c>
      <c r="V24" s="77">
        <f t="shared" si="20"/>
        <v>-545.31670456250004</v>
      </c>
      <c r="W24" s="83">
        <f t="shared" si="4"/>
        <v>122.35676318250489</v>
      </c>
      <c r="X24" s="85">
        <f t="shared" si="18"/>
        <v>244.16850731633838</v>
      </c>
      <c r="Z24" s="92">
        <f t="shared" si="19"/>
        <v>254128.17300000001</v>
      </c>
      <c r="AA24" s="5">
        <f t="shared" si="5"/>
        <v>7623.84519</v>
      </c>
      <c r="AB24" s="92">
        <f t="shared" si="6"/>
        <v>261752.01819</v>
      </c>
      <c r="AD24" s="133">
        <f t="shared" si="7"/>
        <v>0</v>
      </c>
      <c r="AE24" s="3">
        <f t="shared" si="8"/>
        <v>0</v>
      </c>
    </row>
    <row r="25" spans="1:31" ht="32.25" customHeight="1" thickBot="1" x14ac:dyDescent="0.5">
      <c r="A25" s="664" t="s">
        <v>21</v>
      </c>
      <c r="B25" s="665"/>
      <c r="C25" s="665"/>
      <c r="D25" s="665"/>
      <c r="E25" s="665"/>
      <c r="F25" s="665"/>
      <c r="G25" s="666"/>
      <c r="H25" s="11"/>
      <c r="I25" s="14">
        <f t="shared" si="10"/>
        <v>19</v>
      </c>
      <c r="J25" s="63">
        <f t="shared" si="11"/>
        <v>262893.34172580537</v>
      </c>
      <c r="K25" s="63">
        <f t="shared" si="1"/>
        <v>1161.207627852365</v>
      </c>
      <c r="L25" s="63">
        <f t="shared" si="12"/>
        <v>-6871.5770949552589</v>
      </c>
      <c r="M25" s="65">
        <f t="shared" si="0"/>
        <v>257182.9722587025</v>
      </c>
      <c r="O25" s="14">
        <f t="shared" si="13"/>
        <v>19</v>
      </c>
      <c r="P25" s="54">
        <f t="shared" si="14"/>
        <v>9882.375</v>
      </c>
      <c r="Q25" s="63">
        <f t="shared" si="15"/>
        <v>7936.0532238950145</v>
      </c>
      <c r="R25" s="77">
        <f t="shared" si="2"/>
        <v>-6871.5770949552589</v>
      </c>
      <c r="S25" s="63">
        <f t="shared" si="16"/>
        <v>0</v>
      </c>
      <c r="T25" s="63"/>
      <c r="U25" s="63">
        <f t="shared" si="17"/>
        <v>-396.80266119475073</v>
      </c>
      <c r="V25" s="77">
        <f t="shared" si="20"/>
        <v>-532.51766384375003</v>
      </c>
      <c r="W25" s="83">
        <f t="shared" si="4"/>
        <v>135.1558039012549</v>
      </c>
      <c r="X25" s="85">
        <f t="shared" si="18"/>
        <v>379.32431121759328</v>
      </c>
      <c r="Z25" s="92">
        <f t="shared" si="19"/>
        <v>248163.57149999999</v>
      </c>
      <c r="AA25" s="5">
        <f t="shared" si="5"/>
        <v>7444.9071449999992</v>
      </c>
      <c r="AB25" s="92">
        <f t="shared" si="6"/>
        <v>255608.478645</v>
      </c>
      <c r="AD25" s="133">
        <f t="shared" si="7"/>
        <v>0</v>
      </c>
      <c r="AE25" s="3">
        <f t="shared" si="8"/>
        <v>0</v>
      </c>
    </row>
    <row r="26" spans="1:31" ht="28.9" thickBot="1" x14ac:dyDescent="0.5">
      <c r="A26" s="26" t="s">
        <v>0</v>
      </c>
      <c r="B26" s="27" t="s">
        <v>1</v>
      </c>
      <c r="C26" s="43" t="s">
        <v>22</v>
      </c>
      <c r="D26" s="43" t="s">
        <v>10</v>
      </c>
      <c r="E26" s="43" t="s">
        <v>23</v>
      </c>
      <c r="F26" s="43" t="s">
        <v>24</v>
      </c>
      <c r="G26" s="44" t="s">
        <v>25</v>
      </c>
      <c r="H26" s="11"/>
      <c r="I26" s="14">
        <f t="shared" si="10"/>
        <v>20</v>
      </c>
      <c r="J26" s="63">
        <f t="shared" si="11"/>
        <v>257182.9722587025</v>
      </c>
      <c r="K26" s="63">
        <f t="shared" si="1"/>
        <v>1135.9847578491717</v>
      </c>
      <c r="L26" s="63">
        <f t="shared" si="12"/>
        <v>-6871.5770949552589</v>
      </c>
      <c r="M26" s="65">
        <f t="shared" si="0"/>
        <v>251447.37992159641</v>
      </c>
      <c r="O26" s="14">
        <f t="shared" si="13"/>
        <v>20</v>
      </c>
      <c r="P26" s="54">
        <f t="shared" si="14"/>
        <v>10402.5</v>
      </c>
      <c r="Q26" s="63">
        <f t="shared" si="15"/>
        <v>7936.0532238950145</v>
      </c>
      <c r="R26" s="77">
        <f t="shared" si="2"/>
        <v>-6871.5770949552589</v>
      </c>
      <c r="S26" s="63">
        <f t="shared" si="16"/>
        <v>0</v>
      </c>
      <c r="T26" s="63"/>
      <c r="U26" s="63">
        <f t="shared" si="17"/>
        <v>-396.80266119475073</v>
      </c>
      <c r="V26" s="77">
        <f t="shared" si="20"/>
        <v>-519.71862312499991</v>
      </c>
      <c r="W26" s="83">
        <f t="shared" si="4"/>
        <v>147.95484462000502</v>
      </c>
      <c r="X26" s="85">
        <f t="shared" si="18"/>
        <v>527.2791558375983</v>
      </c>
      <c r="Z26" s="92">
        <f t="shared" si="19"/>
        <v>242198.96999999997</v>
      </c>
      <c r="AA26" s="5">
        <f t="shared" si="5"/>
        <v>7265.9690999999993</v>
      </c>
      <c r="AB26" s="92">
        <f t="shared" si="6"/>
        <v>249464.93909999996</v>
      </c>
      <c r="AD26" s="133">
        <f t="shared" si="7"/>
        <v>0</v>
      </c>
      <c r="AE26" s="3">
        <f t="shared" si="8"/>
        <v>0</v>
      </c>
    </row>
    <row r="27" spans="1:31" x14ac:dyDescent="0.45">
      <c r="A27" s="8">
        <v>1</v>
      </c>
      <c r="B27" s="9" t="s">
        <v>16</v>
      </c>
      <c r="C27" s="48">
        <v>1</v>
      </c>
      <c r="D27" s="153">
        <f>+F7</f>
        <v>361491</v>
      </c>
      <c r="E27" s="551">
        <v>1</v>
      </c>
      <c r="F27" s="62">
        <f>E27*D27</f>
        <v>361491</v>
      </c>
      <c r="G27" s="60">
        <f>D27-F27</f>
        <v>0</v>
      </c>
      <c r="H27" s="11"/>
      <c r="I27" s="14">
        <f t="shared" si="10"/>
        <v>21</v>
      </c>
      <c r="J27" s="63">
        <f t="shared" si="11"/>
        <v>251447.37992159641</v>
      </c>
      <c r="K27" s="63">
        <f t="shared" si="1"/>
        <v>1110.6504776868171</v>
      </c>
      <c r="L27" s="63">
        <f t="shared" si="12"/>
        <v>-6871.5770949552589</v>
      </c>
      <c r="M27" s="65">
        <f t="shared" si="0"/>
        <v>245686.45330432797</v>
      </c>
      <c r="O27" s="14">
        <f t="shared" si="13"/>
        <v>21</v>
      </c>
      <c r="P27" s="54">
        <f t="shared" si="14"/>
        <v>10922.625</v>
      </c>
      <c r="Q27" s="63">
        <f t="shared" si="15"/>
        <v>7936.0532238950145</v>
      </c>
      <c r="R27" s="77">
        <f t="shared" si="2"/>
        <v>-6871.5770949552589</v>
      </c>
      <c r="S27" s="63">
        <f t="shared" si="16"/>
        <v>0</v>
      </c>
      <c r="T27" s="63"/>
      <c r="U27" s="63">
        <f t="shared" si="17"/>
        <v>-396.80266119475073</v>
      </c>
      <c r="V27" s="77">
        <f t="shared" si="20"/>
        <v>-506.91958240624996</v>
      </c>
      <c r="W27" s="83">
        <f t="shared" si="4"/>
        <v>160.75388533875497</v>
      </c>
      <c r="X27" s="85">
        <f t="shared" si="18"/>
        <v>688.03304117635321</v>
      </c>
      <c r="Z27" s="92">
        <f t="shared" si="19"/>
        <v>236234.36849999998</v>
      </c>
      <c r="AA27" s="5">
        <f t="shared" si="5"/>
        <v>7087.0310549999995</v>
      </c>
      <c r="AB27" s="92">
        <f t="shared" si="6"/>
        <v>243321.39955499998</v>
      </c>
      <c r="AD27" s="133">
        <f t="shared" si="7"/>
        <v>0</v>
      </c>
      <c r="AE27" s="3">
        <f t="shared" si="8"/>
        <v>0</v>
      </c>
    </row>
    <row r="28" spans="1:31" x14ac:dyDescent="0.45">
      <c r="A28" s="4">
        <f>A27+1</f>
        <v>2</v>
      </c>
      <c r="B28" s="5" t="s">
        <v>12</v>
      </c>
      <c r="C28" s="19">
        <f>C11</f>
        <v>0.01</v>
      </c>
      <c r="D28" s="300">
        <f>-C28*D27</f>
        <v>-3614.91</v>
      </c>
      <c r="E28" s="19">
        <f>+E27</f>
        <v>1</v>
      </c>
      <c r="F28" s="63">
        <f t="shared" ref="F28:F33" si="22">E28*D28</f>
        <v>-3614.91</v>
      </c>
      <c r="G28" s="65">
        <f>D28-F28</f>
        <v>0</v>
      </c>
      <c r="H28" s="11"/>
      <c r="I28" s="14">
        <f t="shared" si="10"/>
        <v>22</v>
      </c>
      <c r="J28" s="63">
        <f t="shared" si="11"/>
        <v>245686.45330432797</v>
      </c>
      <c r="K28" s="63">
        <f t="shared" si="1"/>
        <v>1085.2042952633494</v>
      </c>
      <c r="L28" s="63">
        <f t="shared" si="12"/>
        <v>-6871.5770949552589</v>
      </c>
      <c r="M28" s="65">
        <f t="shared" si="0"/>
        <v>239900.08050463608</v>
      </c>
      <c r="O28" s="14">
        <f t="shared" si="13"/>
        <v>22</v>
      </c>
      <c r="P28" s="54">
        <f t="shared" si="14"/>
        <v>11442.75</v>
      </c>
      <c r="Q28" s="63">
        <f t="shared" si="15"/>
        <v>7936.0532238950145</v>
      </c>
      <c r="R28" s="77">
        <f t="shared" si="2"/>
        <v>-6871.5770949552589</v>
      </c>
      <c r="S28" s="63">
        <f t="shared" si="16"/>
        <v>0</v>
      </c>
      <c r="T28" s="63"/>
      <c r="U28" s="63">
        <f t="shared" si="17"/>
        <v>-396.80266119475073</v>
      </c>
      <c r="V28" s="77">
        <f t="shared" si="20"/>
        <v>-494.12054168750001</v>
      </c>
      <c r="W28" s="83">
        <f t="shared" si="4"/>
        <v>173.55292605750492</v>
      </c>
      <c r="X28" s="85">
        <f t="shared" si="18"/>
        <v>861.58596723385813</v>
      </c>
      <c r="Z28" s="92">
        <f t="shared" si="19"/>
        <v>230269.76699999999</v>
      </c>
      <c r="AA28" s="5">
        <f t="shared" si="5"/>
        <v>6908.0930099999996</v>
      </c>
      <c r="AB28" s="92">
        <f t="shared" si="6"/>
        <v>237177.86001</v>
      </c>
      <c r="AD28" s="133">
        <f t="shared" si="7"/>
        <v>0</v>
      </c>
      <c r="AE28" s="3">
        <f t="shared" si="8"/>
        <v>0</v>
      </c>
    </row>
    <row r="29" spans="1:31" x14ac:dyDescent="0.45">
      <c r="A29" s="4">
        <f t="shared" ref="A29:A34" si="23">A28+1</f>
        <v>3</v>
      </c>
      <c r="B29" s="5" t="s">
        <v>17</v>
      </c>
      <c r="C29" s="522">
        <f>C8</f>
        <v>5.2999999999999999E-2</v>
      </c>
      <c r="D29" s="63">
        <f>K67</f>
        <v>48488.88297558076</v>
      </c>
      <c r="E29" s="19">
        <v>1</v>
      </c>
      <c r="F29" s="63">
        <f t="shared" si="22"/>
        <v>48488.88297558076</v>
      </c>
      <c r="G29" s="65">
        <f>D29-F29</f>
        <v>0</v>
      </c>
      <c r="H29" s="11"/>
      <c r="I29" s="14">
        <f t="shared" si="10"/>
        <v>23</v>
      </c>
      <c r="J29" s="63">
        <f t="shared" si="11"/>
        <v>239900.08050463608</v>
      </c>
      <c r="K29" s="63">
        <f t="shared" si="1"/>
        <v>1059.6457163031882</v>
      </c>
      <c r="L29" s="63">
        <f t="shared" si="12"/>
        <v>-6871.5770949552589</v>
      </c>
      <c r="M29" s="65">
        <f t="shared" si="0"/>
        <v>234088.149125984</v>
      </c>
      <c r="O29" s="14">
        <f t="shared" si="13"/>
        <v>23</v>
      </c>
      <c r="P29" s="54">
        <f t="shared" si="14"/>
        <v>11962.875</v>
      </c>
      <c r="Q29" s="63">
        <f t="shared" si="15"/>
        <v>7936.0532238950145</v>
      </c>
      <c r="R29" s="77">
        <f t="shared" si="2"/>
        <v>-6871.5770949552589</v>
      </c>
      <c r="S29" s="63">
        <f t="shared" si="16"/>
        <v>0</v>
      </c>
      <c r="T29" s="63"/>
      <c r="U29" s="63">
        <f t="shared" si="17"/>
        <v>-396.80266119475073</v>
      </c>
      <c r="V29" s="77">
        <f t="shared" si="20"/>
        <v>-481.32150096875006</v>
      </c>
      <c r="W29" s="83">
        <f t="shared" si="4"/>
        <v>186.35196677625487</v>
      </c>
      <c r="X29" s="85">
        <f t="shared" si="18"/>
        <v>1047.9379340101129</v>
      </c>
      <c r="Z29" s="92">
        <f t="shared" si="19"/>
        <v>224305.1655</v>
      </c>
      <c r="AA29" s="5">
        <f t="shared" si="5"/>
        <v>6729.1549649999997</v>
      </c>
      <c r="AB29" s="92">
        <f t="shared" si="6"/>
        <v>231034.320465</v>
      </c>
      <c r="AD29" s="133">
        <f t="shared" si="7"/>
        <v>0</v>
      </c>
      <c r="AE29" s="3">
        <f t="shared" si="8"/>
        <v>0</v>
      </c>
    </row>
    <row r="30" spans="1:31" x14ac:dyDescent="0.45">
      <c r="A30" s="4">
        <f t="shared" si="23"/>
        <v>4</v>
      </c>
      <c r="B30" s="5" t="s">
        <v>6</v>
      </c>
      <c r="C30" s="23">
        <f>C9</f>
        <v>2.5000000000000001E-2</v>
      </c>
      <c r="D30" s="63">
        <f>-V67</f>
        <v>22181.901114749999</v>
      </c>
      <c r="E30" s="19">
        <v>1</v>
      </c>
      <c r="F30" s="63">
        <f t="shared" si="22"/>
        <v>22181.901114749999</v>
      </c>
      <c r="G30" s="65">
        <f>D30-F30</f>
        <v>0</v>
      </c>
      <c r="H30" s="11"/>
      <c r="I30" s="14">
        <f t="shared" si="10"/>
        <v>24</v>
      </c>
      <c r="J30" s="63">
        <f t="shared" si="11"/>
        <v>234088.149125984</v>
      </c>
      <c r="K30" s="63">
        <f t="shared" si="1"/>
        <v>1033.9742443475222</v>
      </c>
      <c r="L30" s="63">
        <f t="shared" si="12"/>
        <v>-6871.5770949552589</v>
      </c>
      <c r="M30" s="65">
        <f t="shared" si="0"/>
        <v>228250.54627537625</v>
      </c>
      <c r="O30" s="14">
        <f t="shared" si="13"/>
        <v>24</v>
      </c>
      <c r="P30" s="54">
        <f t="shared" si="14"/>
        <v>12483</v>
      </c>
      <c r="Q30" s="63">
        <f t="shared" si="15"/>
        <v>7936.0532238950145</v>
      </c>
      <c r="R30" s="77">
        <f t="shared" si="2"/>
        <v>-6871.5770949552589</v>
      </c>
      <c r="S30" s="63">
        <f t="shared" si="16"/>
        <v>0</v>
      </c>
      <c r="T30" s="63"/>
      <c r="U30" s="63">
        <f t="shared" si="17"/>
        <v>-396.80266119475073</v>
      </c>
      <c r="V30" s="77">
        <f t="shared" si="20"/>
        <v>-468.52246024999999</v>
      </c>
      <c r="W30" s="83">
        <f t="shared" si="4"/>
        <v>199.15100749500493</v>
      </c>
      <c r="X30" s="85">
        <f t="shared" si="18"/>
        <v>1247.0889415051179</v>
      </c>
      <c r="Z30" s="92">
        <f t="shared" si="19"/>
        <v>218340.56399999998</v>
      </c>
      <c r="AA30" s="5">
        <f t="shared" si="5"/>
        <v>6550.2169199999989</v>
      </c>
      <c r="AB30" s="92">
        <f t="shared" si="6"/>
        <v>224890.78091999999</v>
      </c>
      <c r="AD30" s="133">
        <f t="shared" si="7"/>
        <v>0</v>
      </c>
      <c r="AE30" s="3">
        <f t="shared" si="8"/>
        <v>0</v>
      </c>
    </row>
    <row r="31" spans="1:31" x14ac:dyDescent="0.45">
      <c r="A31" s="4">
        <f t="shared" si="23"/>
        <v>5</v>
      </c>
      <c r="B31" s="5" t="s">
        <v>27</v>
      </c>
      <c r="C31" s="334">
        <v>0</v>
      </c>
      <c r="D31" s="63">
        <f>D27*C31</f>
        <v>0</v>
      </c>
      <c r="E31" s="549">
        <v>0.1</v>
      </c>
      <c r="F31" s="63">
        <f t="shared" si="22"/>
        <v>0</v>
      </c>
      <c r="G31" s="65">
        <f>D31</f>
        <v>0</v>
      </c>
      <c r="H31" s="11"/>
      <c r="I31" s="14">
        <f t="shared" si="10"/>
        <v>25</v>
      </c>
      <c r="J31" s="63">
        <f t="shared" si="11"/>
        <v>228250.54627537625</v>
      </c>
      <c r="K31" s="63">
        <f t="shared" si="1"/>
        <v>1008.1893807446681</v>
      </c>
      <c r="L31" s="63">
        <f t="shared" si="12"/>
        <v>-6871.5770949552589</v>
      </c>
      <c r="M31" s="65">
        <f t="shared" si="0"/>
        <v>222387.15856116568</v>
      </c>
      <c r="O31" s="14">
        <f t="shared" si="13"/>
        <v>25</v>
      </c>
      <c r="P31" s="54">
        <f t="shared" si="14"/>
        <v>13003.125</v>
      </c>
      <c r="Q31" s="63">
        <f t="shared" si="15"/>
        <v>7936.0532238950145</v>
      </c>
      <c r="R31" s="77">
        <f t="shared" si="2"/>
        <v>-6871.5770949552589</v>
      </c>
      <c r="S31" s="63">
        <f t="shared" si="16"/>
        <v>0</v>
      </c>
      <c r="T31" s="63"/>
      <c r="U31" s="63">
        <f t="shared" si="17"/>
        <v>-396.80266119475073</v>
      </c>
      <c r="V31" s="77">
        <f t="shared" si="20"/>
        <v>-455.72341953125004</v>
      </c>
      <c r="W31" s="83">
        <f t="shared" si="4"/>
        <v>211.95004821375488</v>
      </c>
      <c r="X31" s="85">
        <f t="shared" si="18"/>
        <v>1459.0389897188727</v>
      </c>
      <c r="Z31" s="92">
        <f t="shared" si="19"/>
        <v>212375.96249999999</v>
      </c>
      <c r="AA31" s="5">
        <f t="shared" si="5"/>
        <v>6371.278875</v>
      </c>
      <c r="AB31" s="92">
        <f t="shared" si="6"/>
        <v>218747.24137499998</v>
      </c>
      <c r="AD31" s="133">
        <f t="shared" si="7"/>
        <v>0</v>
      </c>
      <c r="AE31" s="3">
        <f t="shared" si="8"/>
        <v>0</v>
      </c>
    </row>
    <row r="32" spans="1:31" x14ac:dyDescent="0.45">
      <c r="A32" s="4">
        <f t="shared" si="23"/>
        <v>6</v>
      </c>
      <c r="B32" s="5" t="s">
        <v>26</v>
      </c>
      <c r="C32" s="547">
        <v>0</v>
      </c>
      <c r="D32" s="63">
        <f>D27*C32</f>
        <v>0</v>
      </c>
      <c r="E32" s="549">
        <v>0</v>
      </c>
      <c r="F32" s="63">
        <f t="shared" si="22"/>
        <v>0</v>
      </c>
      <c r="G32" s="65">
        <f>D32</f>
        <v>0</v>
      </c>
      <c r="H32" s="11"/>
      <c r="I32" s="14">
        <f t="shared" si="10"/>
        <v>26</v>
      </c>
      <c r="J32" s="63">
        <f t="shared" si="11"/>
        <v>222387.15856116568</v>
      </c>
      <c r="K32" s="63">
        <f t="shared" si="1"/>
        <v>982.2906246403827</v>
      </c>
      <c r="L32" s="63">
        <f t="shared" si="12"/>
        <v>-6871.5770949552589</v>
      </c>
      <c r="M32" s="65">
        <f t="shared" si="0"/>
        <v>216497.87209085081</v>
      </c>
      <c r="O32" s="14">
        <f t="shared" si="13"/>
        <v>26</v>
      </c>
      <c r="P32" s="54">
        <f t="shared" si="14"/>
        <v>13523.25</v>
      </c>
      <c r="Q32" s="63">
        <f t="shared" si="15"/>
        <v>7936.0532238950145</v>
      </c>
      <c r="R32" s="77">
        <f t="shared" si="2"/>
        <v>-6871.5770949552589</v>
      </c>
      <c r="S32" s="63">
        <f t="shared" si="16"/>
        <v>0</v>
      </c>
      <c r="T32" s="63"/>
      <c r="U32" s="63">
        <f t="shared" si="17"/>
        <v>-396.80266119475073</v>
      </c>
      <c r="V32" s="77">
        <f t="shared" si="20"/>
        <v>-442.92437881250004</v>
      </c>
      <c r="W32" s="83">
        <f t="shared" si="4"/>
        <v>224.74908893250489</v>
      </c>
      <c r="X32" s="85">
        <f t="shared" si="18"/>
        <v>1683.7880786513776</v>
      </c>
      <c r="Z32" s="92">
        <f t="shared" si="19"/>
        <v>206411.361</v>
      </c>
      <c r="AA32" s="5">
        <f t="shared" si="5"/>
        <v>6192.3408300000001</v>
      </c>
      <c r="AB32" s="92">
        <f t="shared" si="6"/>
        <v>212603.70183000001</v>
      </c>
      <c r="AD32" s="133">
        <f t="shared" si="7"/>
        <v>0</v>
      </c>
      <c r="AE32" s="3">
        <f t="shared" si="8"/>
        <v>0</v>
      </c>
    </row>
    <row r="33" spans="1:31" ht="14.65" thickBot="1" x14ac:dyDescent="0.5">
      <c r="A33" s="6">
        <f t="shared" si="23"/>
        <v>7</v>
      </c>
      <c r="B33" s="7" t="s">
        <v>32</v>
      </c>
      <c r="C33" s="548">
        <v>0</v>
      </c>
      <c r="D33" s="64">
        <f>D27*C33</f>
        <v>0</v>
      </c>
      <c r="E33" s="334">
        <f>+ASSUMPTIONS!B45</f>
        <v>0</v>
      </c>
      <c r="F33" s="64">
        <f t="shared" si="22"/>
        <v>0</v>
      </c>
      <c r="G33" s="66">
        <f>D33</f>
        <v>0</v>
      </c>
      <c r="H33" s="11"/>
      <c r="I33" s="14">
        <f t="shared" si="10"/>
        <v>27</v>
      </c>
      <c r="J33" s="63">
        <f t="shared" si="11"/>
        <v>216497.87209085081</v>
      </c>
      <c r="K33" s="63">
        <f t="shared" si="1"/>
        <v>956.27747296813538</v>
      </c>
      <c r="L33" s="63">
        <f t="shared" si="12"/>
        <v>-6871.5770949552589</v>
      </c>
      <c r="M33" s="65">
        <f t="shared" si="0"/>
        <v>210582.57246886368</v>
      </c>
      <c r="O33" s="14">
        <f t="shared" si="13"/>
        <v>27</v>
      </c>
      <c r="P33" s="54">
        <f t="shared" si="14"/>
        <v>14043.375</v>
      </c>
      <c r="Q33" s="63">
        <f t="shared" si="15"/>
        <v>7936.0532238950145</v>
      </c>
      <c r="R33" s="77">
        <f t="shared" si="2"/>
        <v>-6871.5770949552589</v>
      </c>
      <c r="S33" s="63">
        <f t="shared" si="16"/>
        <v>0</v>
      </c>
      <c r="T33" s="63"/>
      <c r="U33" s="63">
        <f t="shared" si="17"/>
        <v>-396.80266119475073</v>
      </c>
      <c r="V33" s="77">
        <f t="shared" si="20"/>
        <v>-430.12533809375003</v>
      </c>
      <c r="W33" s="83">
        <f t="shared" si="4"/>
        <v>237.5481296512549</v>
      </c>
      <c r="X33" s="85">
        <f t="shared" si="18"/>
        <v>1921.3362083026325</v>
      </c>
      <c r="Z33" s="92">
        <f t="shared" si="19"/>
        <v>200446.75949999999</v>
      </c>
      <c r="AA33" s="5">
        <f t="shared" si="5"/>
        <v>6013.4027849999993</v>
      </c>
      <c r="AB33" s="92">
        <f t="shared" si="6"/>
        <v>206460.162285</v>
      </c>
      <c r="AD33" s="133">
        <f t="shared" si="7"/>
        <v>0</v>
      </c>
      <c r="AE33" s="3">
        <f t="shared" si="8"/>
        <v>0</v>
      </c>
    </row>
    <row r="34" spans="1:31" ht="14.65" thickBot="1" x14ac:dyDescent="0.5">
      <c r="A34" s="33">
        <f t="shared" si="23"/>
        <v>8</v>
      </c>
      <c r="B34" s="30" t="s">
        <v>8</v>
      </c>
      <c r="C34" s="45"/>
      <c r="D34" s="46"/>
      <c r="E34" s="47"/>
      <c r="F34" s="67">
        <f>SUM(F27:F33)</f>
        <v>428546.87409033079</v>
      </c>
      <c r="G34" s="68">
        <f>SUM(G27:G33)</f>
        <v>0</v>
      </c>
      <c r="H34" s="11"/>
      <c r="I34" s="14">
        <f t="shared" si="10"/>
        <v>28</v>
      </c>
      <c r="J34" s="63">
        <f t="shared" si="11"/>
        <v>210582.57246886368</v>
      </c>
      <c r="K34" s="63">
        <f t="shared" si="1"/>
        <v>930.14942043933513</v>
      </c>
      <c r="L34" s="63">
        <f t="shared" si="12"/>
        <v>-6871.5770949552589</v>
      </c>
      <c r="M34" s="65">
        <f t="shared" si="0"/>
        <v>204641.14479434775</v>
      </c>
      <c r="O34" s="14">
        <f t="shared" si="13"/>
        <v>28</v>
      </c>
      <c r="P34" s="54">
        <f t="shared" si="14"/>
        <v>14563.5</v>
      </c>
      <c r="Q34" s="63">
        <f t="shared" si="15"/>
        <v>7936.0532238950145</v>
      </c>
      <c r="R34" s="77">
        <f t="shared" si="2"/>
        <v>-6871.5770949552589</v>
      </c>
      <c r="S34" s="63">
        <f t="shared" si="16"/>
        <v>0</v>
      </c>
      <c r="T34" s="63"/>
      <c r="U34" s="63">
        <f t="shared" si="17"/>
        <v>-396.80266119475073</v>
      </c>
      <c r="V34" s="77">
        <f t="shared" si="20"/>
        <v>-417.32629737499997</v>
      </c>
      <c r="W34" s="83">
        <f t="shared" si="4"/>
        <v>250.34717037000496</v>
      </c>
      <c r="X34" s="85">
        <f t="shared" si="18"/>
        <v>2171.6833786726374</v>
      </c>
      <c r="Z34" s="92">
        <f t="shared" si="19"/>
        <v>194482.15799999997</v>
      </c>
      <c r="AA34" s="5">
        <f t="shared" si="5"/>
        <v>5834.4647399999985</v>
      </c>
      <c r="AB34" s="92">
        <f t="shared" si="6"/>
        <v>200316.62273999996</v>
      </c>
      <c r="AD34" s="133">
        <f t="shared" si="7"/>
        <v>0</v>
      </c>
      <c r="AE34" s="3">
        <f t="shared" si="8"/>
        <v>0</v>
      </c>
    </row>
    <row r="35" spans="1:31" ht="14.65" thickBot="1" x14ac:dyDescent="0.5">
      <c r="A35" s="31">
        <f>A34+1</f>
        <v>9</v>
      </c>
      <c r="B35" s="32" t="s">
        <v>7</v>
      </c>
      <c r="C35" s="42">
        <f>+C10</f>
        <v>0</v>
      </c>
      <c r="D35" s="22"/>
      <c r="E35" s="34"/>
      <c r="F35" s="69">
        <f>F36-F34</f>
        <v>0</v>
      </c>
      <c r="G35" s="70">
        <f>G36-G34</f>
        <v>0</v>
      </c>
      <c r="H35" s="11"/>
      <c r="I35" s="14">
        <f t="shared" si="10"/>
        <v>29</v>
      </c>
      <c r="J35" s="63">
        <f t="shared" si="11"/>
        <v>204641.14479434775</v>
      </c>
      <c r="K35" s="63">
        <f t="shared" si="1"/>
        <v>903.90595953351715</v>
      </c>
      <c r="L35" s="63">
        <f t="shared" si="12"/>
        <v>-6871.5770949552589</v>
      </c>
      <c r="M35" s="65">
        <f t="shared" si="0"/>
        <v>198673.47365892603</v>
      </c>
      <c r="O35" s="14">
        <f t="shared" si="13"/>
        <v>29</v>
      </c>
      <c r="P35" s="54">
        <f t="shared" si="14"/>
        <v>15083.625</v>
      </c>
      <c r="Q35" s="63">
        <f t="shared" si="15"/>
        <v>7936.0532238950145</v>
      </c>
      <c r="R35" s="77">
        <f t="shared" si="2"/>
        <v>-6871.5770949552589</v>
      </c>
      <c r="S35" s="63">
        <f t="shared" si="16"/>
        <v>0</v>
      </c>
      <c r="T35" s="63"/>
      <c r="U35" s="63">
        <f t="shared" si="17"/>
        <v>-396.80266119475073</v>
      </c>
      <c r="V35" s="77">
        <f t="shared" si="20"/>
        <v>-404.52725665625002</v>
      </c>
      <c r="W35" s="83">
        <f t="shared" si="4"/>
        <v>263.14621108875491</v>
      </c>
      <c r="X35" s="85">
        <f t="shared" si="18"/>
        <v>2434.8295897613925</v>
      </c>
      <c r="Z35" s="92">
        <f t="shared" si="19"/>
        <v>188517.55649999998</v>
      </c>
      <c r="AA35" s="5">
        <f t="shared" si="5"/>
        <v>5655.5266949999987</v>
      </c>
      <c r="AB35" s="92">
        <f t="shared" si="6"/>
        <v>194173.08319499998</v>
      </c>
      <c r="AD35" s="133">
        <f t="shared" si="7"/>
        <v>0</v>
      </c>
      <c r="AE35" s="3">
        <f t="shared" si="8"/>
        <v>0</v>
      </c>
    </row>
    <row r="36" spans="1:31" ht="14.65" thickBot="1" x14ac:dyDescent="0.5">
      <c r="A36" s="37">
        <f>A35+1</f>
        <v>10</v>
      </c>
      <c r="B36" s="38" t="s">
        <v>28</v>
      </c>
      <c r="C36" s="39"/>
      <c r="D36" s="40"/>
      <c r="E36" s="41"/>
      <c r="F36" s="71">
        <f>F34/(100%-C35)</f>
        <v>428546.87409033079</v>
      </c>
      <c r="G36" s="72">
        <f>G34/(100%-C35)</f>
        <v>0</v>
      </c>
      <c r="H36" s="11"/>
      <c r="I36" s="14">
        <f t="shared" si="10"/>
        <v>30</v>
      </c>
      <c r="J36" s="63">
        <f t="shared" si="11"/>
        <v>198673.47365892603</v>
      </c>
      <c r="K36" s="63">
        <f t="shared" si="1"/>
        <v>877.5465804884833</v>
      </c>
      <c r="L36" s="63">
        <f t="shared" si="12"/>
        <v>-6871.5770949552589</v>
      </c>
      <c r="M36" s="65">
        <f t="shared" si="0"/>
        <v>192679.44314445925</v>
      </c>
      <c r="O36" s="14">
        <f t="shared" si="13"/>
        <v>30</v>
      </c>
      <c r="P36" s="54">
        <f t="shared" si="14"/>
        <v>15603.75</v>
      </c>
      <c r="Q36" s="63">
        <f t="shared" si="15"/>
        <v>7936.0532238950145</v>
      </c>
      <c r="R36" s="77">
        <f t="shared" si="2"/>
        <v>-6871.5770949552589</v>
      </c>
      <c r="S36" s="63">
        <f t="shared" si="16"/>
        <v>0</v>
      </c>
      <c r="T36" s="63">
        <f>-T68*0.5</f>
        <v>0</v>
      </c>
      <c r="U36" s="63">
        <f t="shared" si="17"/>
        <v>-396.80266119475073</v>
      </c>
      <c r="V36" s="77">
        <f t="shared" si="20"/>
        <v>-391.72821593749995</v>
      </c>
      <c r="W36" s="83">
        <f t="shared" si="4"/>
        <v>275.94525180750497</v>
      </c>
      <c r="X36" s="85">
        <f t="shared" si="18"/>
        <v>2710.7748415688975</v>
      </c>
      <c r="Z36" s="92">
        <f t="shared" si="19"/>
        <v>182552.95499999999</v>
      </c>
      <c r="AA36" s="5">
        <f t="shared" si="5"/>
        <v>5476.5886499999997</v>
      </c>
      <c r="AB36" s="92">
        <f t="shared" si="6"/>
        <v>188029.54364999998</v>
      </c>
      <c r="AD36" s="133">
        <f t="shared" si="7"/>
        <v>0</v>
      </c>
      <c r="AE36" s="3">
        <f t="shared" si="8"/>
        <v>0</v>
      </c>
    </row>
    <row r="37" spans="1:31" x14ac:dyDescent="0.45">
      <c r="C37" s="11"/>
      <c r="D37" s="11"/>
      <c r="E37" s="11"/>
      <c r="F37" s="11"/>
      <c r="G37" s="11"/>
      <c r="H37" s="11"/>
      <c r="I37" s="14">
        <f t="shared" si="10"/>
        <v>31</v>
      </c>
      <c r="J37" s="63">
        <f t="shared" si="11"/>
        <v>192679.44314445925</v>
      </c>
      <c r="K37" s="63">
        <f t="shared" si="1"/>
        <v>851.07077129040113</v>
      </c>
      <c r="L37" s="63">
        <f t="shared" si="12"/>
        <v>-6871.5770949552589</v>
      </c>
      <c r="M37" s="65">
        <f t="shared" si="0"/>
        <v>186658.93682079439</v>
      </c>
      <c r="O37" s="14">
        <f t="shared" si="13"/>
        <v>31</v>
      </c>
      <c r="P37" s="54">
        <f t="shared" si="14"/>
        <v>16123.875</v>
      </c>
      <c r="Q37" s="63">
        <f t="shared" si="15"/>
        <v>7936.0532238950145</v>
      </c>
      <c r="R37" s="77">
        <f t="shared" si="2"/>
        <v>-6871.5770949552589</v>
      </c>
      <c r="S37" s="63">
        <f t="shared" si="16"/>
        <v>0</v>
      </c>
      <c r="T37" s="63"/>
      <c r="U37" s="63">
        <f t="shared" si="17"/>
        <v>-396.80266119475073</v>
      </c>
      <c r="V37" s="77">
        <f t="shared" si="20"/>
        <v>-378.92917521875</v>
      </c>
      <c r="W37" s="83">
        <f t="shared" si="4"/>
        <v>288.74429252625492</v>
      </c>
      <c r="X37" s="85">
        <f t="shared" si="18"/>
        <v>2999.5191340951524</v>
      </c>
      <c r="Z37" s="92">
        <f t="shared" si="19"/>
        <v>176588.3535</v>
      </c>
      <c r="AA37" s="5">
        <f t="shared" si="5"/>
        <v>5297.6506049999998</v>
      </c>
      <c r="AB37" s="92">
        <f t="shared" si="6"/>
        <v>181886.004105</v>
      </c>
      <c r="AD37" s="133">
        <f t="shared" si="7"/>
        <v>0</v>
      </c>
      <c r="AE37" s="3">
        <f t="shared" si="8"/>
        <v>0</v>
      </c>
    </row>
    <row r="38" spans="1:31" x14ac:dyDescent="0.45">
      <c r="C38" s="11"/>
      <c r="D38" s="11"/>
      <c r="E38" s="11"/>
      <c r="F38" s="11"/>
      <c r="G38" s="11"/>
      <c r="H38" s="11"/>
      <c r="I38" s="14">
        <f t="shared" si="10"/>
        <v>32</v>
      </c>
      <c r="J38" s="63">
        <f t="shared" si="11"/>
        <v>186658.93682079439</v>
      </c>
      <c r="K38" s="63">
        <f t="shared" si="1"/>
        <v>824.4780176638576</v>
      </c>
      <c r="L38" s="63">
        <f t="shared" si="12"/>
        <v>-6871.5770949552589</v>
      </c>
      <c r="M38" s="65">
        <f t="shared" si="0"/>
        <v>180611.83774350298</v>
      </c>
      <c r="O38" s="14">
        <f t="shared" si="13"/>
        <v>32</v>
      </c>
      <c r="P38" s="54">
        <f t="shared" si="14"/>
        <v>16644</v>
      </c>
      <c r="Q38" s="63">
        <f t="shared" si="15"/>
        <v>7936.0532238950145</v>
      </c>
      <c r="R38" s="77">
        <f t="shared" si="2"/>
        <v>-6871.5770949552589</v>
      </c>
      <c r="S38" s="63">
        <f t="shared" si="16"/>
        <v>0</v>
      </c>
      <c r="T38" s="63"/>
      <c r="U38" s="63">
        <f t="shared" si="17"/>
        <v>-396.80266119475073</v>
      </c>
      <c r="V38" s="77">
        <f t="shared" si="20"/>
        <v>-366.13013449999994</v>
      </c>
      <c r="W38" s="83">
        <f t="shared" si="4"/>
        <v>301.54333324500499</v>
      </c>
      <c r="X38" s="85">
        <f t="shared" si="18"/>
        <v>3301.0624673401571</v>
      </c>
      <c r="Z38" s="92">
        <f t="shared" si="19"/>
        <v>170623.75199999998</v>
      </c>
      <c r="AA38" s="5">
        <f t="shared" si="5"/>
        <v>5118.712559999999</v>
      </c>
      <c r="AB38" s="92">
        <f t="shared" si="6"/>
        <v>175742.46455999996</v>
      </c>
      <c r="AD38" s="133">
        <f t="shared" si="7"/>
        <v>0</v>
      </c>
      <c r="AE38" s="3">
        <f t="shared" si="8"/>
        <v>0</v>
      </c>
    </row>
    <row r="39" spans="1:31" x14ac:dyDescent="0.45">
      <c r="C39" s="11"/>
      <c r="D39" s="11"/>
      <c r="E39" s="11"/>
      <c r="F39" s="11"/>
      <c r="G39" s="11"/>
      <c r="H39" s="11"/>
      <c r="I39" s="14">
        <f t="shared" si="10"/>
        <v>33</v>
      </c>
      <c r="J39" s="63">
        <f t="shared" si="11"/>
        <v>180611.83774350298</v>
      </c>
      <c r="K39" s="63">
        <f t="shared" si="1"/>
        <v>797.7678030618705</v>
      </c>
      <c r="L39" s="63">
        <f t="shared" si="12"/>
        <v>-6871.5770949552589</v>
      </c>
      <c r="M39" s="65">
        <f t="shared" si="0"/>
        <v>174538.0284516096</v>
      </c>
      <c r="O39" s="14">
        <f t="shared" si="13"/>
        <v>33</v>
      </c>
      <c r="P39" s="54">
        <f t="shared" si="14"/>
        <v>17164.125</v>
      </c>
      <c r="Q39" s="63">
        <f t="shared" si="15"/>
        <v>7936.0532238950145</v>
      </c>
      <c r="R39" s="77">
        <f t="shared" si="2"/>
        <v>-6871.5770949552589</v>
      </c>
      <c r="S39" s="63">
        <f t="shared" si="16"/>
        <v>0</v>
      </c>
      <c r="T39" s="63"/>
      <c r="U39" s="63">
        <f t="shared" si="17"/>
        <v>-396.80266119475073</v>
      </c>
      <c r="V39" s="77">
        <f t="shared" si="20"/>
        <v>-353.33109378124999</v>
      </c>
      <c r="W39" s="83">
        <f t="shared" si="4"/>
        <v>314.34237396375494</v>
      </c>
      <c r="X39" s="85">
        <f t="shared" si="18"/>
        <v>3615.4048413039122</v>
      </c>
      <c r="Z39" s="92">
        <f t="shared" si="19"/>
        <v>164659.15049999999</v>
      </c>
      <c r="AA39" s="5">
        <f t="shared" si="5"/>
        <v>4939.7745149999992</v>
      </c>
      <c r="AB39" s="92">
        <f t="shared" si="6"/>
        <v>169598.92501499999</v>
      </c>
      <c r="AD39" s="133">
        <f t="shared" si="7"/>
        <v>0</v>
      </c>
      <c r="AE39" s="3">
        <f t="shared" si="8"/>
        <v>0</v>
      </c>
    </row>
    <row r="40" spans="1:31" ht="14.65" thickBot="1" x14ac:dyDescent="0.5">
      <c r="C40" s="11"/>
      <c r="D40" s="11"/>
      <c r="E40" s="11"/>
      <c r="F40" s="11"/>
      <c r="G40" s="11"/>
      <c r="H40" s="11"/>
      <c r="I40" s="14">
        <f t="shared" si="10"/>
        <v>34</v>
      </c>
      <c r="J40" s="63">
        <f t="shared" si="11"/>
        <v>174538.0284516096</v>
      </c>
      <c r="K40" s="63">
        <f t="shared" si="1"/>
        <v>770.93960865585439</v>
      </c>
      <c r="L40" s="63">
        <f t="shared" si="12"/>
        <v>-6871.5770949552589</v>
      </c>
      <c r="M40" s="65">
        <f t="shared" si="0"/>
        <v>168437.39096531019</v>
      </c>
      <c r="O40" s="14">
        <f t="shared" si="13"/>
        <v>34</v>
      </c>
      <c r="P40" s="54">
        <f t="shared" si="14"/>
        <v>17684.25</v>
      </c>
      <c r="Q40" s="63">
        <f t="shared" si="15"/>
        <v>7936.0532238950145</v>
      </c>
      <c r="R40" s="77">
        <f t="shared" si="2"/>
        <v>-6871.5770949552589</v>
      </c>
      <c r="S40" s="63">
        <f t="shared" si="16"/>
        <v>0</v>
      </c>
      <c r="T40" s="63"/>
      <c r="U40" s="63">
        <f t="shared" si="17"/>
        <v>-396.80266119475073</v>
      </c>
      <c r="V40" s="77">
        <f t="shared" si="20"/>
        <v>-340.53205306250004</v>
      </c>
      <c r="W40" s="83">
        <f t="shared" si="4"/>
        <v>327.14141468250489</v>
      </c>
      <c r="X40" s="85">
        <f t="shared" si="18"/>
        <v>3942.5462559864172</v>
      </c>
      <c r="Z40" s="92">
        <f t="shared" si="19"/>
        <v>158694.549</v>
      </c>
      <c r="AA40" s="5">
        <f t="shared" si="5"/>
        <v>4760.8364700000002</v>
      </c>
      <c r="AB40" s="92">
        <f t="shared" si="6"/>
        <v>163455.38547000001</v>
      </c>
      <c r="AD40" s="133">
        <f t="shared" si="7"/>
        <v>0</v>
      </c>
      <c r="AE40" s="3">
        <f t="shared" si="8"/>
        <v>0</v>
      </c>
    </row>
    <row r="41" spans="1:31" ht="32.25" customHeight="1" thickBot="1" x14ac:dyDescent="0.5">
      <c r="A41" s="667" t="s">
        <v>29</v>
      </c>
      <c r="B41" s="668"/>
      <c r="C41" s="668"/>
      <c r="D41" s="668"/>
      <c r="E41" s="668"/>
      <c r="F41" s="668"/>
      <c r="G41" s="669"/>
      <c r="H41" s="11"/>
      <c r="I41" s="14">
        <f t="shared" si="10"/>
        <v>35</v>
      </c>
      <c r="J41" s="63">
        <f t="shared" si="11"/>
        <v>168437.39096531019</v>
      </c>
      <c r="K41" s="63">
        <f t="shared" si="1"/>
        <v>743.99291332554208</v>
      </c>
      <c r="L41" s="63">
        <f t="shared" si="12"/>
        <v>-6871.5770949552589</v>
      </c>
      <c r="M41" s="65">
        <f t="shared" si="0"/>
        <v>162309.80678368048</v>
      </c>
      <c r="O41" s="14">
        <f t="shared" si="13"/>
        <v>35</v>
      </c>
      <c r="P41" s="54">
        <f t="shared" si="14"/>
        <v>18204.375</v>
      </c>
      <c r="Q41" s="63">
        <f t="shared" si="15"/>
        <v>7936.0532238950145</v>
      </c>
      <c r="R41" s="77">
        <f t="shared" si="2"/>
        <v>-6871.5770949552589</v>
      </c>
      <c r="S41" s="63">
        <f t="shared" si="16"/>
        <v>0</v>
      </c>
      <c r="T41" s="63"/>
      <c r="U41" s="63">
        <f t="shared" si="17"/>
        <v>-396.80266119475073</v>
      </c>
      <c r="V41" s="77">
        <f t="shared" si="20"/>
        <v>-327.73301234374998</v>
      </c>
      <c r="W41" s="83">
        <f t="shared" si="4"/>
        <v>339.94045540125495</v>
      </c>
      <c r="X41" s="85">
        <f t="shared" si="18"/>
        <v>4282.4867113876726</v>
      </c>
      <c r="Z41" s="92">
        <f t="shared" si="19"/>
        <v>152729.94749999998</v>
      </c>
      <c r="AA41" s="5">
        <f t="shared" si="5"/>
        <v>4581.8984249999994</v>
      </c>
      <c r="AB41" s="92">
        <f t="shared" si="6"/>
        <v>157311.84592499997</v>
      </c>
      <c r="AD41" s="133">
        <f t="shared" si="7"/>
        <v>0</v>
      </c>
      <c r="AE41" s="3">
        <f t="shared" si="8"/>
        <v>0</v>
      </c>
    </row>
    <row r="42" spans="1:31" ht="19.5" customHeight="1" x14ac:dyDescent="0.45">
      <c r="A42" s="35">
        <v>1</v>
      </c>
      <c r="B42" s="670" t="s">
        <v>30</v>
      </c>
      <c r="C42" s="671"/>
      <c r="D42" s="671"/>
      <c r="E42" s="672"/>
      <c r="F42" s="73">
        <f>F36/C12/C14</f>
        <v>7936.0532238950145</v>
      </c>
      <c r="G42" s="74">
        <f>G36/C13/C14</f>
        <v>0</v>
      </c>
      <c r="H42" s="11"/>
      <c r="I42" s="20">
        <f t="shared" si="10"/>
        <v>36</v>
      </c>
      <c r="J42" s="63">
        <f t="shared" si="11"/>
        <v>162309.80678368048</v>
      </c>
      <c r="K42" s="79">
        <f t="shared" si="1"/>
        <v>716.92719364886352</v>
      </c>
      <c r="L42" s="63">
        <f t="shared" si="12"/>
        <v>-6871.5770949552589</v>
      </c>
      <c r="M42" s="80">
        <f t="shared" si="0"/>
        <v>156155.15688237408</v>
      </c>
      <c r="O42" s="20">
        <f t="shared" si="13"/>
        <v>36</v>
      </c>
      <c r="P42" s="54">
        <f t="shared" si="14"/>
        <v>18724.5</v>
      </c>
      <c r="Q42" s="63">
        <f t="shared" si="15"/>
        <v>7936.0532238950145</v>
      </c>
      <c r="R42" s="77">
        <f t="shared" si="2"/>
        <v>-6871.5770949552589</v>
      </c>
      <c r="S42" s="63">
        <f t="shared" si="16"/>
        <v>0</v>
      </c>
      <c r="T42" s="63"/>
      <c r="U42" s="63">
        <f t="shared" si="17"/>
        <v>-396.80266119475073</v>
      </c>
      <c r="V42" s="77">
        <f t="shared" si="20"/>
        <v>-314.93397162499997</v>
      </c>
      <c r="W42" s="83">
        <f t="shared" si="4"/>
        <v>352.73949612000496</v>
      </c>
      <c r="X42" s="85">
        <f t="shared" si="18"/>
        <v>4635.2262075076778</v>
      </c>
      <c r="Z42" s="92">
        <f t="shared" si="19"/>
        <v>146765.34599999999</v>
      </c>
      <c r="AA42" s="5">
        <f t="shared" si="5"/>
        <v>4402.9603799999995</v>
      </c>
      <c r="AB42" s="92">
        <f t="shared" si="6"/>
        <v>151168.30637999999</v>
      </c>
      <c r="AD42" s="133">
        <f t="shared" si="7"/>
        <v>0</v>
      </c>
      <c r="AE42" s="3">
        <f t="shared" si="8"/>
        <v>0</v>
      </c>
    </row>
    <row r="43" spans="1:31" ht="19.5" customHeight="1" thickBot="1" x14ac:dyDescent="0.5">
      <c r="A43" s="36">
        <f>A42+1</f>
        <v>2</v>
      </c>
      <c r="B43" s="673" t="s">
        <v>31</v>
      </c>
      <c r="C43" s="674"/>
      <c r="D43" s="674"/>
      <c r="E43" s="675"/>
      <c r="F43" s="75"/>
      <c r="G43" s="76">
        <f>+(F42*C12+D13*G42)/D13</f>
        <v>26.453510746316717</v>
      </c>
      <c r="H43" s="11"/>
      <c r="I43" s="20">
        <f t="shared" si="10"/>
        <v>37</v>
      </c>
      <c r="J43" s="63">
        <f t="shared" si="11"/>
        <v>156155.15688237408</v>
      </c>
      <c r="K43" s="79">
        <f t="shared" si="1"/>
        <v>689.74192389177756</v>
      </c>
      <c r="L43" s="63">
        <f t="shared" si="12"/>
        <v>-6871.5770949552589</v>
      </c>
      <c r="M43" s="80">
        <f t="shared" si="0"/>
        <v>149973.32171131059</v>
      </c>
      <c r="O43" s="20">
        <f t="shared" si="13"/>
        <v>37</v>
      </c>
      <c r="P43" s="54">
        <f t="shared" si="14"/>
        <v>19244.625</v>
      </c>
      <c r="Q43" s="63">
        <f t="shared" si="15"/>
        <v>7936.0532238950145</v>
      </c>
      <c r="R43" s="77">
        <f t="shared" si="2"/>
        <v>-6871.5770949552589</v>
      </c>
      <c r="S43" s="63">
        <f t="shared" si="16"/>
        <v>0</v>
      </c>
      <c r="T43" s="63"/>
      <c r="U43" s="63">
        <f t="shared" si="17"/>
        <v>-396.80266119475073</v>
      </c>
      <c r="V43" s="77">
        <f t="shared" si="20"/>
        <v>-302.13493090624996</v>
      </c>
      <c r="W43" s="83">
        <f t="shared" si="4"/>
        <v>365.53853683875496</v>
      </c>
      <c r="X43" s="85">
        <f t="shared" si="18"/>
        <v>5000.764744346433</v>
      </c>
      <c r="Z43" s="92">
        <f t="shared" si="19"/>
        <v>140800.7445</v>
      </c>
      <c r="AA43" s="5">
        <f t="shared" si="5"/>
        <v>4224.0223349999997</v>
      </c>
      <c r="AB43" s="92">
        <f t="shared" si="6"/>
        <v>145024.76683499999</v>
      </c>
      <c r="AD43" s="133">
        <f t="shared" si="7"/>
        <v>0</v>
      </c>
      <c r="AE43" s="3">
        <f t="shared" si="8"/>
        <v>0</v>
      </c>
    </row>
    <row r="44" spans="1:31" x14ac:dyDescent="0.45">
      <c r="I44" s="20">
        <f t="shared" si="10"/>
        <v>38</v>
      </c>
      <c r="J44" s="63">
        <f t="shared" si="11"/>
        <v>149973.32171131059</v>
      </c>
      <c r="K44" s="79">
        <f t="shared" si="1"/>
        <v>662.43657599806056</v>
      </c>
      <c r="L44" s="63">
        <f t="shared" si="12"/>
        <v>-6871.5770949552589</v>
      </c>
      <c r="M44" s="80">
        <f t="shared" si="0"/>
        <v>143764.1811923534</v>
      </c>
      <c r="O44" s="20">
        <f t="shared" si="13"/>
        <v>38</v>
      </c>
      <c r="P44" s="54">
        <f t="shared" si="14"/>
        <v>19764.75</v>
      </c>
      <c r="Q44" s="63">
        <f t="shared" si="15"/>
        <v>7936.0532238950145</v>
      </c>
      <c r="R44" s="77">
        <f t="shared" si="2"/>
        <v>-6871.5770949552589</v>
      </c>
      <c r="S44" s="63">
        <f t="shared" si="16"/>
        <v>0</v>
      </c>
      <c r="T44" s="63"/>
      <c r="U44" s="63">
        <f t="shared" si="17"/>
        <v>-396.80266119475073</v>
      </c>
      <c r="V44" s="77">
        <f t="shared" si="20"/>
        <v>-289.33589018749996</v>
      </c>
      <c r="W44" s="83">
        <f t="shared" si="4"/>
        <v>378.33757755750497</v>
      </c>
      <c r="X44" s="85">
        <f t="shared" si="18"/>
        <v>5379.102321903938</v>
      </c>
      <c r="Z44" s="92">
        <f t="shared" si="19"/>
        <v>134836.14299999998</v>
      </c>
      <c r="AA44" s="5">
        <f t="shared" si="5"/>
        <v>4045.0842899999993</v>
      </c>
      <c r="AB44" s="92">
        <f t="shared" si="6"/>
        <v>138881.22728999998</v>
      </c>
      <c r="AD44" s="133">
        <f t="shared" si="7"/>
        <v>0</v>
      </c>
      <c r="AE44" s="3">
        <f t="shared" si="8"/>
        <v>0</v>
      </c>
    </row>
    <row r="45" spans="1:31" x14ac:dyDescent="0.45">
      <c r="I45" s="20">
        <f t="shared" si="10"/>
        <v>39</v>
      </c>
      <c r="J45" s="63">
        <f t="shared" si="11"/>
        <v>143764.1811923534</v>
      </c>
      <c r="K45" s="79">
        <f t="shared" si="1"/>
        <v>635.01061957904881</v>
      </c>
      <c r="L45" s="63">
        <f t="shared" si="12"/>
        <v>-6871.5770949552589</v>
      </c>
      <c r="M45" s="80">
        <f t="shared" si="0"/>
        <v>137527.6147169772</v>
      </c>
      <c r="O45" s="20">
        <f t="shared" si="13"/>
        <v>39</v>
      </c>
      <c r="P45" s="54">
        <f t="shared" si="14"/>
        <v>20284.875</v>
      </c>
      <c r="Q45" s="63">
        <f t="shared" si="15"/>
        <v>7936.0532238950145</v>
      </c>
      <c r="R45" s="77">
        <f t="shared" si="2"/>
        <v>-6871.5770949552589</v>
      </c>
      <c r="S45" s="63">
        <f t="shared" si="16"/>
        <v>0</v>
      </c>
      <c r="T45" s="63"/>
      <c r="U45" s="63">
        <f t="shared" si="17"/>
        <v>-396.80266119475073</v>
      </c>
      <c r="V45" s="77">
        <f t="shared" si="20"/>
        <v>-276.53684946874995</v>
      </c>
      <c r="W45" s="83">
        <f t="shared" si="4"/>
        <v>391.13661827625498</v>
      </c>
      <c r="X45" s="85">
        <f t="shared" si="18"/>
        <v>5770.2389401801929</v>
      </c>
      <c r="Z45" s="92">
        <f t="shared" si="19"/>
        <v>128871.54149999996</v>
      </c>
      <c r="AA45" s="5">
        <f t="shared" si="5"/>
        <v>3866.1462449999985</v>
      </c>
      <c r="AB45" s="92">
        <f t="shared" si="6"/>
        <v>132737.68774499997</v>
      </c>
      <c r="AD45" s="133">
        <f t="shared" si="7"/>
        <v>0</v>
      </c>
      <c r="AE45" s="3">
        <f t="shared" si="8"/>
        <v>0</v>
      </c>
    </row>
    <row r="46" spans="1:31" x14ac:dyDescent="0.45">
      <c r="I46" s="20">
        <f t="shared" si="10"/>
        <v>40</v>
      </c>
      <c r="J46" s="63">
        <f t="shared" si="11"/>
        <v>137527.6147169772</v>
      </c>
      <c r="K46" s="79">
        <f t="shared" si="1"/>
        <v>607.46352190333653</v>
      </c>
      <c r="L46" s="63">
        <f t="shared" si="12"/>
        <v>-6871.5770949552589</v>
      </c>
      <c r="M46" s="80">
        <f t="shared" si="0"/>
        <v>131263.50114392527</v>
      </c>
      <c r="O46" s="20">
        <f t="shared" si="13"/>
        <v>40</v>
      </c>
      <c r="P46" s="54">
        <f t="shared" si="14"/>
        <v>20805</v>
      </c>
      <c r="Q46" s="63">
        <f t="shared" si="15"/>
        <v>7936.0532238950145</v>
      </c>
      <c r="R46" s="77">
        <f t="shared" si="2"/>
        <v>-6871.5770949552589</v>
      </c>
      <c r="S46" s="63">
        <f t="shared" si="16"/>
        <v>0</v>
      </c>
      <c r="T46" s="63"/>
      <c r="U46" s="63">
        <f t="shared" si="17"/>
        <v>-396.80266119475073</v>
      </c>
      <c r="V46" s="77">
        <f t="shared" si="20"/>
        <v>-263.73780874999994</v>
      </c>
      <c r="W46" s="83">
        <f t="shared" si="4"/>
        <v>403.93565899500499</v>
      </c>
      <c r="X46" s="85">
        <f t="shared" si="18"/>
        <v>6174.1745991751977</v>
      </c>
      <c r="Z46" s="92">
        <f t="shared" si="19"/>
        <v>122906.93999999997</v>
      </c>
      <c r="AA46" s="5">
        <f t="shared" si="5"/>
        <v>3687.2081999999991</v>
      </c>
      <c r="AB46" s="92">
        <f t="shared" si="6"/>
        <v>126594.14819999997</v>
      </c>
      <c r="AD46" s="133">
        <f t="shared" si="7"/>
        <v>0</v>
      </c>
      <c r="AE46" s="3">
        <f t="shared" si="8"/>
        <v>0</v>
      </c>
    </row>
    <row r="47" spans="1:31" x14ac:dyDescent="0.45">
      <c r="I47" s="20">
        <f t="shared" si="10"/>
        <v>41</v>
      </c>
      <c r="J47" s="63">
        <f t="shared" si="11"/>
        <v>131263.50114392527</v>
      </c>
      <c r="K47" s="79">
        <f t="shared" si="1"/>
        <v>579.79474788642722</v>
      </c>
      <c r="L47" s="63">
        <f t="shared" si="12"/>
        <v>-6871.5770949552589</v>
      </c>
      <c r="M47" s="80">
        <f t="shared" si="0"/>
        <v>124971.71879685644</v>
      </c>
      <c r="O47" s="20">
        <f t="shared" si="13"/>
        <v>41</v>
      </c>
      <c r="P47" s="54">
        <f t="shared" si="14"/>
        <v>21325.125</v>
      </c>
      <c r="Q47" s="63">
        <f t="shared" si="15"/>
        <v>7936.0532238950145</v>
      </c>
      <c r="R47" s="77">
        <f t="shared" si="2"/>
        <v>-6871.5770949552589</v>
      </c>
      <c r="S47" s="63">
        <f t="shared" si="16"/>
        <v>0</v>
      </c>
      <c r="T47" s="63"/>
      <c r="U47" s="63">
        <f t="shared" si="17"/>
        <v>-396.80266119475073</v>
      </c>
      <c r="V47" s="77">
        <f t="shared" si="20"/>
        <v>-250.93876803124999</v>
      </c>
      <c r="W47" s="83">
        <f t="shared" si="4"/>
        <v>416.73469971375494</v>
      </c>
      <c r="X47" s="85">
        <f t="shared" si="18"/>
        <v>6590.9092988889524</v>
      </c>
      <c r="Z47" s="92">
        <f t="shared" si="19"/>
        <v>116942.33849999998</v>
      </c>
      <c r="AA47" s="5">
        <f t="shared" si="5"/>
        <v>3508.2701549999992</v>
      </c>
      <c r="AB47" s="92">
        <f t="shared" si="6"/>
        <v>120450.60865499999</v>
      </c>
      <c r="AD47" s="133">
        <f t="shared" si="7"/>
        <v>0</v>
      </c>
      <c r="AE47" s="3">
        <f t="shared" si="8"/>
        <v>0</v>
      </c>
    </row>
    <row r="48" spans="1:31" x14ac:dyDescent="0.45">
      <c r="I48" s="20">
        <f t="shared" si="10"/>
        <v>42</v>
      </c>
      <c r="J48" s="63">
        <f t="shared" si="11"/>
        <v>124971.71879685644</v>
      </c>
      <c r="K48" s="79">
        <f t="shared" si="1"/>
        <v>552.00376008034061</v>
      </c>
      <c r="L48" s="63">
        <f t="shared" si="12"/>
        <v>-6871.5770949552589</v>
      </c>
      <c r="M48" s="80">
        <f t="shared" si="0"/>
        <v>118652.14546198152</v>
      </c>
      <c r="O48" s="20">
        <f t="shared" si="13"/>
        <v>42</v>
      </c>
      <c r="P48" s="54">
        <f t="shared" si="14"/>
        <v>21845.25</v>
      </c>
      <c r="Q48" s="63">
        <f t="shared" si="15"/>
        <v>7936.0532238950145</v>
      </c>
      <c r="R48" s="77">
        <f t="shared" si="2"/>
        <v>-6871.5770949552589</v>
      </c>
      <c r="S48" s="63">
        <f t="shared" si="16"/>
        <v>0</v>
      </c>
      <c r="T48" s="63"/>
      <c r="U48" s="63">
        <f t="shared" si="17"/>
        <v>-396.80266119475073</v>
      </c>
      <c r="V48" s="77">
        <f t="shared" si="20"/>
        <v>-238.13972731250001</v>
      </c>
      <c r="W48" s="83">
        <f t="shared" si="4"/>
        <v>429.53374043250494</v>
      </c>
      <c r="X48" s="85">
        <f t="shared" si="18"/>
        <v>7020.443039321457</v>
      </c>
      <c r="Z48" s="92">
        <f t="shared" si="19"/>
        <v>110977.73699999999</v>
      </c>
      <c r="AA48" s="5">
        <f t="shared" si="5"/>
        <v>3329.3321099999998</v>
      </c>
      <c r="AB48" s="92">
        <f t="shared" si="6"/>
        <v>114307.06911</v>
      </c>
      <c r="AD48" s="133">
        <f t="shared" si="7"/>
        <v>0</v>
      </c>
      <c r="AE48" s="3">
        <f t="shared" si="8"/>
        <v>0</v>
      </c>
    </row>
    <row r="49" spans="9:31" x14ac:dyDescent="0.45">
      <c r="I49" s="20">
        <f t="shared" si="10"/>
        <v>43</v>
      </c>
      <c r="J49" s="63">
        <f t="shared" si="11"/>
        <v>118652.14546198152</v>
      </c>
      <c r="K49" s="79">
        <f t="shared" si="1"/>
        <v>524.09001866317328</v>
      </c>
      <c r="L49" s="63">
        <f t="shared" si="12"/>
        <v>-6871.5770949552589</v>
      </c>
      <c r="M49" s="80">
        <f t="shared" si="0"/>
        <v>112304.65838568944</v>
      </c>
      <c r="O49" s="20">
        <f t="shared" si="13"/>
        <v>43</v>
      </c>
      <c r="P49" s="54">
        <f t="shared" si="14"/>
        <v>22365.375</v>
      </c>
      <c r="Q49" s="63">
        <f t="shared" si="15"/>
        <v>7936.0532238950145</v>
      </c>
      <c r="R49" s="77">
        <f t="shared" si="2"/>
        <v>-6871.5770949552589</v>
      </c>
      <c r="S49" s="63">
        <f t="shared" si="16"/>
        <v>0</v>
      </c>
      <c r="T49" s="63"/>
      <c r="U49" s="63">
        <f t="shared" si="17"/>
        <v>-396.80266119475073</v>
      </c>
      <c r="V49" s="77">
        <f t="shared" si="20"/>
        <v>-225.34068659374998</v>
      </c>
      <c r="W49" s="83">
        <f t="shared" si="4"/>
        <v>442.33278115125495</v>
      </c>
      <c r="X49" s="85">
        <f t="shared" si="18"/>
        <v>7462.7758204727124</v>
      </c>
      <c r="Z49" s="92">
        <f t="shared" si="19"/>
        <v>105013.13549999997</v>
      </c>
      <c r="AA49" s="5">
        <f t="shared" si="5"/>
        <v>3150.394064999999</v>
      </c>
      <c r="AB49" s="92">
        <f t="shared" si="6"/>
        <v>108163.52956499998</v>
      </c>
      <c r="AD49" s="133">
        <f t="shared" si="7"/>
        <v>0</v>
      </c>
      <c r="AE49" s="3">
        <f t="shared" si="8"/>
        <v>0</v>
      </c>
    </row>
    <row r="50" spans="9:31" x14ac:dyDescent="0.45">
      <c r="I50" s="20">
        <f t="shared" si="10"/>
        <v>44</v>
      </c>
      <c r="J50" s="63">
        <f t="shared" si="11"/>
        <v>112304.65838568944</v>
      </c>
      <c r="K50" s="79">
        <f t="shared" si="1"/>
        <v>496.05298142861187</v>
      </c>
      <c r="L50" s="63">
        <f t="shared" si="12"/>
        <v>-6871.5770949552589</v>
      </c>
      <c r="M50" s="80">
        <f t="shared" si="0"/>
        <v>105929.1342721628</v>
      </c>
      <c r="O50" s="20">
        <f t="shared" si="13"/>
        <v>44</v>
      </c>
      <c r="P50" s="54">
        <f t="shared" si="14"/>
        <v>22885.5</v>
      </c>
      <c r="Q50" s="63">
        <f t="shared" si="15"/>
        <v>7936.0532238950145</v>
      </c>
      <c r="R50" s="77">
        <f t="shared" si="2"/>
        <v>-6871.5770949552589</v>
      </c>
      <c r="S50" s="63">
        <f t="shared" si="16"/>
        <v>0</v>
      </c>
      <c r="T50" s="63"/>
      <c r="U50" s="63">
        <f t="shared" si="17"/>
        <v>-396.80266119475073</v>
      </c>
      <c r="V50" s="77">
        <f t="shared" si="20"/>
        <v>-212.54164587499997</v>
      </c>
      <c r="W50" s="83">
        <f t="shared" si="4"/>
        <v>455.13182187000496</v>
      </c>
      <c r="X50" s="85">
        <f t="shared" si="18"/>
        <v>7917.9076423427177</v>
      </c>
      <c r="Z50" s="92">
        <f t="shared" si="19"/>
        <v>99048.533999999985</v>
      </c>
      <c r="AA50" s="5">
        <f t="shared" si="5"/>
        <v>2971.4560199999996</v>
      </c>
      <c r="AB50" s="92">
        <f t="shared" si="6"/>
        <v>102019.99001999998</v>
      </c>
      <c r="AD50" s="133">
        <f t="shared" si="7"/>
        <v>0</v>
      </c>
      <c r="AE50" s="3">
        <f t="shared" si="8"/>
        <v>0</v>
      </c>
    </row>
    <row r="51" spans="9:31" x14ac:dyDescent="0.45">
      <c r="I51" s="20">
        <f t="shared" si="10"/>
        <v>45</v>
      </c>
      <c r="J51" s="63">
        <f t="shared" si="11"/>
        <v>105929.1342721628</v>
      </c>
      <c r="K51" s="79">
        <f t="shared" si="1"/>
        <v>467.89210377540235</v>
      </c>
      <c r="L51" s="63">
        <f t="shared" si="12"/>
        <v>-6871.5770949552589</v>
      </c>
      <c r="M51" s="80">
        <f t="shared" si="0"/>
        <v>99525.449280982953</v>
      </c>
      <c r="O51" s="20">
        <f t="shared" si="13"/>
        <v>45</v>
      </c>
      <c r="P51" s="54">
        <f t="shared" si="14"/>
        <v>23405.625</v>
      </c>
      <c r="Q51" s="63">
        <f t="shared" si="15"/>
        <v>7936.0532238950145</v>
      </c>
      <c r="R51" s="77">
        <f t="shared" si="2"/>
        <v>-6871.5770949552589</v>
      </c>
      <c r="S51" s="63">
        <f t="shared" si="16"/>
        <v>0</v>
      </c>
      <c r="T51" s="63"/>
      <c r="U51" s="63">
        <f t="shared" si="17"/>
        <v>-396.80266119475073</v>
      </c>
      <c r="V51" s="77">
        <f t="shared" si="20"/>
        <v>-199.74260515624999</v>
      </c>
      <c r="W51" s="83">
        <f t="shared" si="4"/>
        <v>467.93086258875496</v>
      </c>
      <c r="X51" s="85">
        <f t="shared" si="18"/>
        <v>8385.8385049314729</v>
      </c>
      <c r="Z51" s="92">
        <f t="shared" si="19"/>
        <v>93083.932499999995</v>
      </c>
      <c r="AA51" s="5">
        <f t="shared" si="5"/>
        <v>2792.5179749999998</v>
      </c>
      <c r="AB51" s="92">
        <f t="shared" si="6"/>
        <v>95876.450474999991</v>
      </c>
      <c r="AD51" s="133">
        <f t="shared" si="7"/>
        <v>0</v>
      </c>
      <c r="AE51" s="3">
        <f t="shared" si="8"/>
        <v>0</v>
      </c>
    </row>
    <row r="52" spans="9:31" x14ac:dyDescent="0.45">
      <c r="I52" s="20">
        <f t="shared" si="10"/>
        <v>46</v>
      </c>
      <c r="J52" s="63">
        <f t="shared" si="11"/>
        <v>99525.449280982953</v>
      </c>
      <c r="K52" s="79">
        <f t="shared" si="1"/>
        <v>439.60683869677052</v>
      </c>
      <c r="L52" s="63">
        <f t="shared" si="12"/>
        <v>-6871.5770949552589</v>
      </c>
      <c r="M52" s="80">
        <f t="shared" si="0"/>
        <v>93093.479024724467</v>
      </c>
      <c r="O52" s="20">
        <f t="shared" si="13"/>
        <v>46</v>
      </c>
      <c r="P52" s="54">
        <f t="shared" si="14"/>
        <v>23925.75</v>
      </c>
      <c r="Q52" s="63">
        <f t="shared" si="15"/>
        <v>7936.0532238950145</v>
      </c>
      <c r="R52" s="77">
        <f t="shared" si="2"/>
        <v>-6871.5770949552589</v>
      </c>
      <c r="S52" s="63">
        <f t="shared" si="16"/>
        <v>0</v>
      </c>
      <c r="T52" s="63"/>
      <c r="U52" s="63">
        <f t="shared" si="17"/>
        <v>-396.80266119475073</v>
      </c>
      <c r="V52" s="77">
        <f t="shared" si="20"/>
        <v>-186.94356443750004</v>
      </c>
      <c r="W52" s="83">
        <f t="shared" si="4"/>
        <v>480.72990330750486</v>
      </c>
      <c r="X52" s="85">
        <f t="shared" si="18"/>
        <v>8866.568408238978</v>
      </c>
      <c r="Z52" s="92">
        <f t="shared" si="19"/>
        <v>87119.331000000006</v>
      </c>
      <c r="AA52" s="5">
        <f t="shared" si="5"/>
        <v>2613.5799299999999</v>
      </c>
      <c r="AB52" s="92">
        <f t="shared" si="6"/>
        <v>89732.910930000013</v>
      </c>
      <c r="AD52" s="133">
        <f t="shared" si="7"/>
        <v>0</v>
      </c>
      <c r="AE52" s="3">
        <f t="shared" si="8"/>
        <v>0</v>
      </c>
    </row>
    <row r="53" spans="9:31" x14ac:dyDescent="0.45">
      <c r="I53" s="20">
        <f t="shared" si="10"/>
        <v>47</v>
      </c>
      <c r="J53" s="63">
        <f t="shared" si="11"/>
        <v>93093.479024724467</v>
      </c>
      <c r="K53" s="79">
        <f t="shared" si="1"/>
        <v>411.19663676979741</v>
      </c>
      <c r="L53" s="63">
        <f t="shared" si="12"/>
        <v>-6871.5770949552589</v>
      </c>
      <c r="M53" s="80">
        <f t="shared" si="0"/>
        <v>86633.098566539018</v>
      </c>
      <c r="O53" s="20">
        <f t="shared" si="13"/>
        <v>47</v>
      </c>
      <c r="P53" s="54">
        <f t="shared" si="14"/>
        <v>24445.875</v>
      </c>
      <c r="Q53" s="63">
        <f t="shared" si="15"/>
        <v>7936.0532238950145</v>
      </c>
      <c r="R53" s="77">
        <f t="shared" si="2"/>
        <v>-6871.5770949552589</v>
      </c>
      <c r="S53" s="63">
        <f t="shared" si="16"/>
        <v>0</v>
      </c>
      <c r="T53" s="63"/>
      <c r="U53" s="63">
        <f t="shared" si="17"/>
        <v>-396.80266119475073</v>
      </c>
      <c r="V53" s="77">
        <f t="shared" si="20"/>
        <v>-174.14452371875007</v>
      </c>
      <c r="W53" s="83">
        <f t="shared" si="4"/>
        <v>493.52894402625486</v>
      </c>
      <c r="X53" s="85">
        <f t="shared" si="18"/>
        <v>9360.097352265233</v>
      </c>
      <c r="Z53" s="92">
        <f t="shared" si="19"/>
        <v>81154.729500000016</v>
      </c>
      <c r="AA53" s="5">
        <f t="shared" si="5"/>
        <v>2434.6418850000005</v>
      </c>
      <c r="AB53" s="92">
        <f t="shared" si="6"/>
        <v>83589.37138500002</v>
      </c>
      <c r="AD53" s="133">
        <f t="shared" si="7"/>
        <v>0</v>
      </c>
      <c r="AE53" s="3">
        <f t="shared" si="8"/>
        <v>0</v>
      </c>
    </row>
    <row r="54" spans="9:31" x14ac:dyDescent="0.45">
      <c r="I54" s="20">
        <f t="shared" si="10"/>
        <v>48</v>
      </c>
      <c r="J54" s="63">
        <f t="shared" si="11"/>
        <v>86633.098566539018</v>
      </c>
      <c r="K54" s="79">
        <f t="shared" si="1"/>
        <v>382.66094614474673</v>
      </c>
      <c r="L54" s="63">
        <f t="shared" si="12"/>
        <v>-6871.5770949552589</v>
      </c>
      <c r="M54" s="80">
        <f t="shared" si="0"/>
        <v>80144.182417728516</v>
      </c>
      <c r="O54" s="20">
        <f t="shared" si="13"/>
        <v>48</v>
      </c>
      <c r="P54" s="54">
        <f t="shared" si="14"/>
        <v>24966</v>
      </c>
      <c r="Q54" s="63">
        <f t="shared" si="15"/>
        <v>7936.0532238950145</v>
      </c>
      <c r="R54" s="77">
        <f t="shared" si="2"/>
        <v>-6871.5770949552589</v>
      </c>
      <c r="S54" s="63">
        <f t="shared" si="16"/>
        <v>0</v>
      </c>
      <c r="T54" s="63">
        <f>-T68*0.5</f>
        <v>0</v>
      </c>
      <c r="U54" s="63">
        <f t="shared" si="17"/>
        <v>-396.80266119475073</v>
      </c>
      <c r="V54" s="77">
        <f t="shared" si="20"/>
        <v>-161.34548299999994</v>
      </c>
      <c r="W54" s="83">
        <f t="shared" si="4"/>
        <v>506.32798474500498</v>
      </c>
      <c r="X54" s="85">
        <f t="shared" si="18"/>
        <v>9866.4253370102379</v>
      </c>
      <c r="Z54" s="92">
        <f t="shared" si="19"/>
        <v>75190.127999999968</v>
      </c>
      <c r="AA54" s="5">
        <f t="shared" si="5"/>
        <v>2255.7038399999988</v>
      </c>
      <c r="AB54" s="92">
        <f t="shared" si="6"/>
        <v>77445.83183999997</v>
      </c>
      <c r="AD54" s="133">
        <f t="shared" ref="AD54:AD62" si="24">IF(AD53=0,0,IF(+S54+AD53&lt;-$S$68,0,+S54+AD53))</f>
        <v>0</v>
      </c>
      <c r="AE54" s="3">
        <f t="shared" si="8"/>
        <v>0</v>
      </c>
    </row>
    <row r="55" spans="9:31" x14ac:dyDescent="0.45">
      <c r="I55" s="20">
        <f t="shared" si="10"/>
        <v>49</v>
      </c>
      <c r="J55" s="63">
        <f t="shared" si="11"/>
        <v>80144.182417728516</v>
      </c>
      <c r="K55" s="79">
        <f>J55*$C$8*30.44/365.25</f>
        <v>353.9992125343457</v>
      </c>
      <c r="L55" s="63">
        <f t="shared" si="12"/>
        <v>-6871.5770949552589</v>
      </c>
      <c r="M55" s="80">
        <f t="shared" si="0"/>
        <v>73626.604535307604</v>
      </c>
      <c r="O55" s="20">
        <f t="shared" si="13"/>
        <v>49</v>
      </c>
      <c r="P55" s="54">
        <f t="shared" si="14"/>
        <v>25486.125</v>
      </c>
      <c r="Q55" s="63">
        <f t="shared" si="15"/>
        <v>7936.0532238950145</v>
      </c>
      <c r="R55" s="77">
        <f t="shared" si="2"/>
        <v>-6871.5770949552589</v>
      </c>
      <c r="S55" s="63">
        <f t="shared" si="16"/>
        <v>0</v>
      </c>
      <c r="T55" s="63">
        <f>-T69*0.5</f>
        <v>0</v>
      </c>
      <c r="U55" s="63">
        <f t="shared" si="17"/>
        <v>-396.80266119475073</v>
      </c>
      <c r="V55" s="77">
        <f t="shared" si="20"/>
        <v>-148.54644228124997</v>
      </c>
      <c r="W55" s="83">
        <f t="shared" si="4"/>
        <v>519.12702546375499</v>
      </c>
      <c r="X55" s="85">
        <f t="shared" si="18"/>
        <v>10385.552362473993</v>
      </c>
      <c r="Z55" s="92">
        <f t="shared" si="19"/>
        <v>69225.526499999978</v>
      </c>
      <c r="AA55" s="5">
        <f t="shared" si="5"/>
        <v>2076.7657949999993</v>
      </c>
      <c r="AB55" s="92">
        <f t="shared" si="6"/>
        <v>71302.292294999977</v>
      </c>
      <c r="AD55" s="133">
        <f t="shared" si="24"/>
        <v>0</v>
      </c>
      <c r="AE55" s="3">
        <f t="shared" si="8"/>
        <v>0</v>
      </c>
    </row>
    <row r="56" spans="9:31" x14ac:dyDescent="0.45">
      <c r="I56" s="20">
        <f t="shared" si="10"/>
        <v>50</v>
      </c>
      <c r="J56" s="63">
        <f t="shared" si="11"/>
        <v>73626.604535307604</v>
      </c>
      <c r="K56" s="79">
        <f>J56*$C$8*30.44/365.25</f>
        <v>325.21087920301835</v>
      </c>
      <c r="L56" s="63">
        <f t="shared" si="12"/>
        <v>-6871.5770949552589</v>
      </c>
      <c r="M56" s="80">
        <f t="shared" si="0"/>
        <v>67080.23831955537</v>
      </c>
      <c r="O56" s="20">
        <f t="shared" si="13"/>
        <v>50</v>
      </c>
      <c r="P56" s="54">
        <f t="shared" si="14"/>
        <v>26006.25</v>
      </c>
      <c r="Q56" s="63">
        <f t="shared" si="15"/>
        <v>7936.0532238950145</v>
      </c>
      <c r="R56" s="77">
        <f t="shared" si="2"/>
        <v>-6871.5770949552589</v>
      </c>
      <c r="S56" s="63">
        <f t="shared" si="16"/>
        <v>0</v>
      </c>
      <c r="T56" s="63">
        <f>-T70*0.5</f>
        <v>0</v>
      </c>
      <c r="U56" s="63">
        <f t="shared" si="17"/>
        <v>-396.80266119475073</v>
      </c>
      <c r="V56" s="77">
        <f t="shared" si="20"/>
        <v>-135.74740156249996</v>
      </c>
      <c r="W56" s="83">
        <f t="shared" si="4"/>
        <v>531.926066182505</v>
      </c>
      <c r="X56" s="85">
        <f t="shared" si="18"/>
        <v>10917.478428656497</v>
      </c>
      <c r="Z56" s="92">
        <f t="shared" si="19"/>
        <v>63260.924999999988</v>
      </c>
      <c r="AA56" s="5">
        <f t="shared" si="5"/>
        <v>1897.8277499999995</v>
      </c>
      <c r="AB56" s="92">
        <f t="shared" si="6"/>
        <v>65158.752749999985</v>
      </c>
      <c r="AD56" s="133">
        <f t="shared" si="24"/>
        <v>0</v>
      </c>
      <c r="AE56" s="3">
        <f t="shared" si="8"/>
        <v>0</v>
      </c>
    </row>
    <row r="57" spans="9:31" x14ac:dyDescent="0.45">
      <c r="I57" s="20">
        <f t="shared" si="10"/>
        <v>51</v>
      </c>
      <c r="J57" s="63">
        <f t="shared" si="11"/>
        <v>67080.23831955537</v>
      </c>
      <c r="K57" s="79">
        <f t="shared" ref="K57:K66" si="25">J57*$C$8*30.44/365.25</f>
        <v>296.29538695607135</v>
      </c>
      <c r="L57" s="63">
        <f t="shared" si="12"/>
        <v>-6871.5770949552589</v>
      </c>
      <c r="M57" s="80">
        <f t="shared" si="0"/>
        <v>60504.956611556183</v>
      </c>
      <c r="O57" s="20">
        <f t="shared" si="13"/>
        <v>51</v>
      </c>
      <c r="P57" s="54">
        <f t="shared" si="14"/>
        <v>26526.375</v>
      </c>
      <c r="Q57" s="63">
        <f t="shared" si="15"/>
        <v>7936.0532238950145</v>
      </c>
      <c r="R57" s="77">
        <f t="shared" si="2"/>
        <v>-6871.5770949552589</v>
      </c>
      <c r="S57" s="63">
        <f t="shared" si="16"/>
        <v>0</v>
      </c>
      <c r="T57" s="63">
        <f>-T71*0.5</f>
        <v>0</v>
      </c>
      <c r="U57" s="63">
        <f t="shared" si="17"/>
        <v>-396.80266119475073</v>
      </c>
      <c r="V57" s="77">
        <f t="shared" si="20"/>
        <v>-122.94836084375</v>
      </c>
      <c r="W57" s="83">
        <f t="shared" si="4"/>
        <v>544.72510690125489</v>
      </c>
      <c r="X57" s="85">
        <f t="shared" si="18"/>
        <v>11462.203535557752</v>
      </c>
      <c r="Z57" s="92">
        <f t="shared" si="19"/>
        <v>57296.323499999999</v>
      </c>
      <c r="AA57" s="5">
        <f t="shared" si="5"/>
        <v>1718.8897049999998</v>
      </c>
      <c r="AB57" s="92">
        <f t="shared" si="6"/>
        <v>59015.213205</v>
      </c>
      <c r="AD57" s="133">
        <f t="shared" si="24"/>
        <v>0</v>
      </c>
      <c r="AE57" s="3">
        <f t="shared" si="8"/>
        <v>0</v>
      </c>
    </row>
    <row r="58" spans="9:31" x14ac:dyDescent="0.45">
      <c r="I58" s="20">
        <f t="shared" si="10"/>
        <v>52</v>
      </c>
      <c r="J58" s="63">
        <f t="shared" si="11"/>
        <v>60504.956611556183</v>
      </c>
      <c r="K58" s="79">
        <f t="shared" si="25"/>
        <v>267.25217412883183</v>
      </c>
      <c r="L58" s="63">
        <f t="shared" si="12"/>
        <v>-6871.5770949552589</v>
      </c>
      <c r="M58" s="80">
        <f t="shared" si="0"/>
        <v>53900.631690729751</v>
      </c>
      <c r="O58" s="20">
        <f t="shared" si="13"/>
        <v>52</v>
      </c>
      <c r="P58" s="54">
        <f t="shared" si="14"/>
        <v>27046.5</v>
      </c>
      <c r="Q58" s="63">
        <f t="shared" si="15"/>
        <v>7936.0532238950145</v>
      </c>
      <c r="R58" s="77">
        <f t="shared" si="2"/>
        <v>-6871.5770949552589</v>
      </c>
      <c r="S58" s="63">
        <f t="shared" si="16"/>
        <v>0</v>
      </c>
      <c r="T58" s="63"/>
      <c r="U58" s="63">
        <f t="shared" si="17"/>
        <v>-396.80266119475073</v>
      </c>
      <c r="V58" s="77">
        <f t="shared" si="20"/>
        <v>-110.14932012500003</v>
      </c>
      <c r="W58" s="83">
        <f t="shared" si="4"/>
        <v>557.5241476200049</v>
      </c>
      <c r="X58" s="85">
        <f t="shared" si="18"/>
        <v>12019.727683177756</v>
      </c>
      <c r="Z58" s="92">
        <f t="shared" si="19"/>
        <v>51331.722000000009</v>
      </c>
      <c r="AA58" s="5">
        <f t="shared" si="5"/>
        <v>1539.9516600000002</v>
      </c>
      <c r="AB58" s="92">
        <f t="shared" si="6"/>
        <v>52871.673660000008</v>
      </c>
      <c r="AD58" s="133">
        <f t="shared" si="24"/>
        <v>0</v>
      </c>
      <c r="AE58" s="3">
        <f t="shared" si="8"/>
        <v>0</v>
      </c>
    </row>
    <row r="59" spans="9:31" x14ac:dyDescent="0.45">
      <c r="I59" s="20">
        <f t="shared" si="10"/>
        <v>53</v>
      </c>
      <c r="J59" s="63">
        <f t="shared" si="11"/>
        <v>53900.631690729751</v>
      </c>
      <c r="K59" s="79">
        <f t="shared" si="25"/>
        <v>238.0806765757375</v>
      </c>
      <c r="L59" s="63">
        <f t="shared" si="12"/>
        <v>-6871.5770949552589</v>
      </c>
      <c r="M59" s="80">
        <f t="shared" si="0"/>
        <v>47267.135272350228</v>
      </c>
      <c r="O59" s="20">
        <f t="shared" si="13"/>
        <v>53</v>
      </c>
      <c r="P59" s="54">
        <f t="shared" si="14"/>
        <v>27566.625</v>
      </c>
      <c r="Q59" s="63">
        <f t="shared" si="15"/>
        <v>7936.0532238950145</v>
      </c>
      <c r="R59" s="77">
        <f t="shared" si="2"/>
        <v>-6871.5770949552589</v>
      </c>
      <c r="S59" s="63">
        <f t="shared" si="16"/>
        <v>0</v>
      </c>
      <c r="T59" s="63"/>
      <c r="U59" s="63">
        <f t="shared" si="17"/>
        <v>-396.80266119475073</v>
      </c>
      <c r="V59" s="77">
        <f t="shared" si="20"/>
        <v>-97.350279406250039</v>
      </c>
      <c r="W59" s="83">
        <f t="shared" si="4"/>
        <v>570.3231883387549</v>
      </c>
      <c r="X59" s="85">
        <f t="shared" si="18"/>
        <v>12590.050871516511</v>
      </c>
      <c r="Z59" s="92">
        <f t="shared" si="19"/>
        <v>45367.120500000019</v>
      </c>
      <c r="AA59" s="5">
        <f t="shared" si="5"/>
        <v>1361.0136150000005</v>
      </c>
      <c r="AB59" s="92">
        <f t="shared" si="6"/>
        <v>46728.134115000023</v>
      </c>
      <c r="AD59" s="133">
        <f t="shared" si="24"/>
        <v>0</v>
      </c>
      <c r="AE59" s="3">
        <f t="shared" si="8"/>
        <v>0</v>
      </c>
    </row>
    <row r="60" spans="9:31" x14ac:dyDescent="0.45">
      <c r="I60" s="20">
        <f t="shared" si="10"/>
        <v>54</v>
      </c>
      <c r="J60" s="63">
        <f t="shared" si="11"/>
        <v>47267.135272350228</v>
      </c>
      <c r="K60" s="79">
        <f t="shared" si="25"/>
        <v>208.78032765937871</v>
      </c>
      <c r="L60" s="63">
        <f t="shared" si="12"/>
        <v>-6871.5770949552589</v>
      </c>
      <c r="M60" s="80">
        <f t="shared" si="0"/>
        <v>40604.338505054344</v>
      </c>
      <c r="O60" s="20">
        <f t="shared" si="13"/>
        <v>54</v>
      </c>
      <c r="P60" s="54">
        <f t="shared" si="14"/>
        <v>28086.75</v>
      </c>
      <c r="Q60" s="63">
        <f t="shared" si="15"/>
        <v>7936.0532238950145</v>
      </c>
      <c r="R60" s="77">
        <f t="shared" si="2"/>
        <v>-6871.5770949552589</v>
      </c>
      <c r="S60" s="63">
        <f t="shared" si="16"/>
        <v>0</v>
      </c>
      <c r="T60" s="63"/>
      <c r="U60" s="63">
        <f t="shared" si="17"/>
        <v>-396.80266119475073</v>
      </c>
      <c r="V60" s="77">
        <f t="shared" si="20"/>
        <v>-84.551238687499946</v>
      </c>
      <c r="W60" s="83">
        <f t="shared" si="4"/>
        <v>583.12222905750502</v>
      </c>
      <c r="X60" s="85">
        <f t="shared" si="18"/>
        <v>13173.173100574015</v>
      </c>
      <c r="Z60" s="92">
        <f t="shared" si="19"/>
        <v>39402.518999999971</v>
      </c>
      <c r="AA60" s="5">
        <f t="shared" si="5"/>
        <v>1182.0755699999991</v>
      </c>
      <c r="AB60" s="92">
        <f t="shared" si="6"/>
        <v>40584.594569999972</v>
      </c>
      <c r="AD60" s="133">
        <f t="shared" si="24"/>
        <v>0</v>
      </c>
      <c r="AE60" s="3">
        <f t="shared" si="8"/>
        <v>0</v>
      </c>
    </row>
    <row r="61" spans="9:31" x14ac:dyDescent="0.45">
      <c r="I61" s="20">
        <f t="shared" si="10"/>
        <v>55</v>
      </c>
      <c r="J61" s="63">
        <f t="shared" si="11"/>
        <v>40604.338505054344</v>
      </c>
      <c r="K61" s="79">
        <f t="shared" si="25"/>
        <v>179.35055823949153</v>
      </c>
      <c r="L61" s="63">
        <f t="shared" si="12"/>
        <v>-6871.5770949552589</v>
      </c>
      <c r="M61" s="80">
        <f t="shared" si="0"/>
        <v>33912.111968338577</v>
      </c>
      <c r="O61" s="20">
        <f t="shared" si="13"/>
        <v>55</v>
      </c>
      <c r="P61" s="54">
        <f t="shared" si="14"/>
        <v>28606.875</v>
      </c>
      <c r="Q61" s="63">
        <f t="shared" si="15"/>
        <v>7936.0532238950145</v>
      </c>
      <c r="R61" s="77">
        <f t="shared" si="2"/>
        <v>-6871.5770949552589</v>
      </c>
      <c r="S61" s="63">
        <f t="shared" si="16"/>
        <v>0</v>
      </c>
      <c r="T61" s="63" t="e">
        <f>-#REF!*0.5</f>
        <v>#REF!</v>
      </c>
      <c r="U61" s="63">
        <f t="shared" si="17"/>
        <v>-396.80266119475073</v>
      </c>
      <c r="V61" s="77">
        <f t="shared" si="20"/>
        <v>-71.75219796874984</v>
      </c>
      <c r="W61" s="83" t="e">
        <f t="shared" si="4"/>
        <v>#REF!</v>
      </c>
      <c r="X61" s="85" t="e">
        <f t="shared" si="18"/>
        <v>#REF!</v>
      </c>
      <c r="Z61" s="92">
        <f t="shared" si="19"/>
        <v>33437.917499999923</v>
      </c>
      <c r="AA61" s="5">
        <f t="shared" si="5"/>
        <v>1003.1375249999977</v>
      </c>
      <c r="AB61" s="92">
        <f t="shared" si="6"/>
        <v>34441.055024999921</v>
      </c>
      <c r="AD61" s="133">
        <f t="shared" si="24"/>
        <v>0</v>
      </c>
      <c r="AE61" s="3">
        <f t="shared" si="8"/>
        <v>0</v>
      </c>
    </row>
    <row r="62" spans="9:31" x14ac:dyDescent="0.45">
      <c r="I62" s="20">
        <f t="shared" si="10"/>
        <v>56</v>
      </c>
      <c r="J62" s="63">
        <f t="shared" si="11"/>
        <v>33912.111968338577</v>
      </c>
      <c r="K62" s="79">
        <f t="shared" si="25"/>
        <v>149.79079666190279</v>
      </c>
      <c r="L62" s="63">
        <f t="shared" si="12"/>
        <v>-6871.5770949552589</v>
      </c>
      <c r="M62" s="80">
        <f t="shared" si="0"/>
        <v>27190.325670045218</v>
      </c>
      <c r="O62" s="20">
        <f t="shared" si="13"/>
        <v>56</v>
      </c>
      <c r="P62" s="54">
        <f t="shared" si="14"/>
        <v>29127</v>
      </c>
      <c r="Q62" s="63">
        <f t="shared" si="15"/>
        <v>7936.0532238950145</v>
      </c>
      <c r="R62" s="77">
        <f t="shared" si="2"/>
        <v>-6871.5770949552589</v>
      </c>
      <c r="S62" s="63">
        <f t="shared" si="16"/>
        <v>0</v>
      </c>
      <c r="T62" s="63" t="e">
        <f>-#REF!*0.5</f>
        <v>#REF!</v>
      </c>
      <c r="U62" s="63">
        <f t="shared" si="17"/>
        <v>-396.80266119475073</v>
      </c>
      <c r="V62" s="77">
        <f t="shared" si="20"/>
        <v>-58.953157249999862</v>
      </c>
      <c r="W62" s="83" t="e">
        <f t="shared" si="4"/>
        <v>#REF!</v>
      </c>
      <c r="X62" s="85" t="e">
        <f t="shared" si="18"/>
        <v>#REF!</v>
      </c>
      <c r="Z62" s="92">
        <f t="shared" si="19"/>
        <v>27473.315999999933</v>
      </c>
      <c r="AA62" s="5">
        <f t="shared" si="5"/>
        <v>824.19947999999795</v>
      </c>
      <c r="AB62" s="92">
        <f t="shared" si="6"/>
        <v>28297.515479999933</v>
      </c>
      <c r="AD62" s="133">
        <f t="shared" si="24"/>
        <v>0</v>
      </c>
      <c r="AE62" s="3">
        <f t="shared" si="8"/>
        <v>0</v>
      </c>
    </row>
    <row r="63" spans="9:31" x14ac:dyDescent="0.45">
      <c r="I63" s="20">
        <f t="shared" si="10"/>
        <v>57</v>
      </c>
      <c r="J63" s="63">
        <f t="shared" si="11"/>
        <v>27190.325670045218</v>
      </c>
      <c r="K63" s="79">
        <f t="shared" si="25"/>
        <v>120.10046874742602</v>
      </c>
      <c r="L63" s="63">
        <f t="shared" si="12"/>
        <v>-6871.5770949552589</v>
      </c>
      <c r="M63" s="80">
        <f t="shared" si="0"/>
        <v>20438.849043837385</v>
      </c>
      <c r="O63" s="20">
        <f t="shared" si="13"/>
        <v>57</v>
      </c>
      <c r="P63" s="54">
        <f t="shared" si="14"/>
        <v>29647.125</v>
      </c>
      <c r="Q63" s="63">
        <f t="shared" si="15"/>
        <v>7936.0532238950145</v>
      </c>
      <c r="R63" s="77">
        <f t="shared" si="2"/>
        <v>-6871.5770949552589</v>
      </c>
      <c r="S63" s="63">
        <f>+S61</f>
        <v>0</v>
      </c>
      <c r="T63" s="63" t="e">
        <f>-#REF!*0.5</f>
        <v>#REF!</v>
      </c>
      <c r="U63" s="63">
        <f>U61</f>
        <v>-396.80266119475073</v>
      </c>
      <c r="V63" s="77">
        <f t="shared" si="20"/>
        <v>-46.154116531249876</v>
      </c>
      <c r="W63" s="83" t="e">
        <f t="shared" si="4"/>
        <v>#REF!</v>
      </c>
      <c r="X63" s="85" t="e">
        <f>X61+W63</f>
        <v>#REF!</v>
      </c>
      <c r="Z63" s="92">
        <f t="shared" si="19"/>
        <v>21508.714499999944</v>
      </c>
      <c r="AA63" s="5">
        <f t="shared" si="5"/>
        <v>645.2614349999983</v>
      </c>
      <c r="AB63" s="92">
        <f t="shared" si="6"/>
        <v>22153.97593499994</v>
      </c>
      <c r="AD63" s="133">
        <f>IF(AD61=0,0,IF(+S63+AD61&lt;-$S$68,0,+S63+AD61))</f>
        <v>0</v>
      </c>
      <c r="AE63" s="3">
        <f t="shared" si="8"/>
        <v>0</v>
      </c>
    </row>
    <row r="64" spans="9:31" x14ac:dyDescent="0.45">
      <c r="I64" s="20">
        <f t="shared" si="10"/>
        <v>58</v>
      </c>
      <c r="J64" s="63">
        <f t="shared" si="11"/>
        <v>20438.849043837385</v>
      </c>
      <c r="K64" s="79">
        <f t="shared" si="25"/>
        <v>90.278997780708366</v>
      </c>
      <c r="L64" s="63">
        <f t="shared" si="12"/>
        <v>-6871.5770949552589</v>
      </c>
      <c r="M64" s="80">
        <f t="shared" si="0"/>
        <v>13657.550946662834</v>
      </c>
      <c r="O64" s="20">
        <f t="shared" si="13"/>
        <v>58</v>
      </c>
      <c r="P64" s="54">
        <f t="shared" si="14"/>
        <v>30167.25</v>
      </c>
      <c r="Q64" s="63">
        <f t="shared" si="15"/>
        <v>7936.0532238950145</v>
      </c>
      <c r="R64" s="77">
        <f t="shared" si="2"/>
        <v>-6871.5770949552589</v>
      </c>
      <c r="S64" s="63">
        <f>+S61</f>
        <v>0</v>
      </c>
      <c r="T64" s="63" t="e">
        <f>-#REF!*0.5</f>
        <v>#REF!</v>
      </c>
      <c r="U64" s="63">
        <f>U61</f>
        <v>-396.80266119475073</v>
      </c>
      <c r="V64" s="77">
        <f t="shared" si="20"/>
        <v>-33.355075812499898</v>
      </c>
      <c r="W64" s="83" t="e">
        <f t="shared" si="4"/>
        <v>#REF!</v>
      </c>
      <c r="X64" s="85" t="e">
        <f>X61+W64</f>
        <v>#REF!</v>
      </c>
      <c r="Z64" s="92">
        <f t="shared" si="19"/>
        <v>15544.112999999954</v>
      </c>
      <c r="AA64" s="5">
        <f t="shared" si="5"/>
        <v>466.3233899999986</v>
      </c>
      <c r="AB64" s="92">
        <f t="shared" si="6"/>
        <v>16010.436389999952</v>
      </c>
      <c r="AD64" s="133">
        <f>IF(AD61=0,0,IF(+S64+AD61&lt;-$S$68,0,+S64+AD61))</f>
        <v>0</v>
      </c>
      <c r="AE64" s="3">
        <f t="shared" si="8"/>
        <v>0</v>
      </c>
    </row>
    <row r="65" spans="9:31" x14ac:dyDescent="0.45">
      <c r="I65" s="20">
        <f t="shared" si="10"/>
        <v>59</v>
      </c>
      <c r="J65" s="63">
        <f t="shared" si="11"/>
        <v>13657.550946662834</v>
      </c>
      <c r="K65" s="79">
        <f t="shared" si="25"/>
        <v>60.325804499028287</v>
      </c>
      <c r="L65" s="63">
        <f t="shared" si="12"/>
        <v>-6871.5770949552589</v>
      </c>
      <c r="M65" s="80">
        <f t="shared" si="0"/>
        <v>6846.2996562066037</v>
      </c>
      <c r="O65" s="20">
        <f t="shared" si="13"/>
        <v>59</v>
      </c>
      <c r="P65" s="54">
        <f t="shared" si="14"/>
        <v>30687.375</v>
      </c>
      <c r="Q65" s="63">
        <f t="shared" si="15"/>
        <v>7936.0532238950145</v>
      </c>
      <c r="R65" s="77">
        <f t="shared" si="2"/>
        <v>-6871.5770949552589</v>
      </c>
      <c r="S65" s="63">
        <f>+S62</f>
        <v>0</v>
      </c>
      <c r="T65" s="63" t="e">
        <f>-#REF!*0.5</f>
        <v>#REF!</v>
      </c>
      <c r="U65" s="63">
        <f>U62</f>
        <v>-396.80266119475073</v>
      </c>
      <c r="V65" s="77">
        <f t="shared" si="20"/>
        <v>-20.556035093749923</v>
      </c>
      <c r="W65" s="83" t="e">
        <f t="shared" si="4"/>
        <v>#REF!</v>
      </c>
      <c r="X65" s="85" t="e">
        <f>X62+W65</f>
        <v>#REF!</v>
      </c>
      <c r="Z65" s="92">
        <f t="shared" si="19"/>
        <v>9579.5114999999641</v>
      </c>
      <c r="AA65" s="5">
        <f t="shared" si="5"/>
        <v>287.38534499999889</v>
      </c>
      <c r="AB65" s="92">
        <f t="shared" si="6"/>
        <v>9866.8968449999629</v>
      </c>
      <c r="AD65" s="133">
        <f>IF(AD62=0,0,IF(+S65+AD62&lt;-$S$68,0,+S65+AD62))</f>
        <v>0</v>
      </c>
      <c r="AE65" s="3">
        <f t="shared" si="8"/>
        <v>0</v>
      </c>
    </row>
    <row r="66" spans="9:31" ht="14.65" thickBot="1" x14ac:dyDescent="0.5">
      <c r="I66" s="20">
        <f t="shared" si="10"/>
        <v>60</v>
      </c>
      <c r="J66" s="63">
        <f t="shared" si="11"/>
        <v>6846.2996562066037</v>
      </c>
      <c r="K66" s="79">
        <f t="shared" si="25"/>
        <v>30.240307081043774</v>
      </c>
      <c r="L66" s="63">
        <f t="shared" si="12"/>
        <v>-6871.5770949552589</v>
      </c>
      <c r="M66" s="80">
        <f t="shared" si="0"/>
        <v>4.9628683323890073</v>
      </c>
      <c r="O66" s="20">
        <f t="shared" si="13"/>
        <v>60</v>
      </c>
      <c r="P66" s="54">
        <f t="shared" si="14"/>
        <v>31207.5</v>
      </c>
      <c r="Q66" s="63">
        <f t="shared" si="15"/>
        <v>7936.0532238950145</v>
      </c>
      <c r="R66" s="77">
        <f t="shared" si="2"/>
        <v>-6871.5770949552589</v>
      </c>
      <c r="S66" s="63">
        <f>+S62</f>
        <v>0</v>
      </c>
      <c r="T66" s="63" t="e">
        <f>-#REF!*0.5</f>
        <v>#REF!</v>
      </c>
      <c r="U66" s="63">
        <f>U62</f>
        <v>-396.80266119475073</v>
      </c>
      <c r="V66" s="77">
        <f t="shared" si="20"/>
        <v>-7.7569943749999455</v>
      </c>
      <c r="W66" s="83" t="e">
        <f t="shared" si="4"/>
        <v>#REF!</v>
      </c>
      <c r="X66" s="85" t="e">
        <f>X62+W66</f>
        <v>#REF!</v>
      </c>
      <c r="Z66" s="92">
        <f t="shared" si="19"/>
        <v>3614.9099999999744</v>
      </c>
      <c r="AA66" s="5">
        <f t="shared" si="5"/>
        <v>108.44729999999923</v>
      </c>
      <c r="AB66" s="92">
        <f t="shared" si="6"/>
        <v>3723.3572999999737</v>
      </c>
      <c r="AD66" s="133">
        <f>IF(AD62=0,0,IF(+S66+AD62&lt;-$S$68,0,+S66+AD62))</f>
        <v>0</v>
      </c>
      <c r="AE66" s="3">
        <f t="shared" si="8"/>
        <v>0</v>
      </c>
    </row>
    <row r="67" spans="9:31" ht="14.65" thickBot="1" x14ac:dyDescent="0.5">
      <c r="I67" s="21" t="s">
        <v>20</v>
      </c>
      <c r="J67" s="69">
        <f>C7*C11</f>
        <v>3614.91</v>
      </c>
      <c r="K67" s="69">
        <f>SUM(K7:K54)</f>
        <v>48488.88297558076</v>
      </c>
      <c r="L67" s="81"/>
      <c r="M67" s="82"/>
      <c r="O67" s="58"/>
      <c r="P67" s="59"/>
      <c r="Q67" s="69">
        <f t="shared" ref="Q67:V67" si="26">SUM(Q7:Q54)</f>
        <v>380930.55474696099</v>
      </c>
      <c r="R67" s="69">
        <f t="shared" si="26"/>
        <v>-329835.70055785222</v>
      </c>
      <c r="S67" s="87">
        <f t="shared" si="26"/>
        <v>0</v>
      </c>
      <c r="T67" s="87">
        <f t="shared" si="26"/>
        <v>0</v>
      </c>
      <c r="U67" s="69">
        <f t="shared" si="26"/>
        <v>-19046.527737348009</v>
      </c>
      <c r="V67" s="69">
        <f t="shared" si="26"/>
        <v>-22181.901114749999</v>
      </c>
      <c r="W67" s="88"/>
      <c r="X67" s="82"/>
    </row>
    <row r="68" spans="9:31" x14ac:dyDescent="0.45">
      <c r="Q68" s="89">
        <f>+SUM(Q67:V67)</f>
        <v>9866.4253370107581</v>
      </c>
      <c r="R68" s="89"/>
      <c r="S68" s="90">
        <f>D31</f>
        <v>0</v>
      </c>
      <c r="T68" s="60">
        <f>D32</f>
        <v>0</v>
      </c>
      <c r="U68" s="89"/>
      <c r="V68" s="89"/>
      <c r="W68" s="89"/>
      <c r="X68" s="89"/>
    </row>
    <row r="69" spans="9:31" ht="14.65" thickBot="1" x14ac:dyDescent="0.5">
      <c r="L69" s="129">
        <f>+PMT(C8/12,C12,(C7),,)</f>
        <v>-6871.5770949552589</v>
      </c>
      <c r="Q69" s="89"/>
      <c r="R69" s="89"/>
      <c r="S69" s="91">
        <f>S67+S68</f>
        <v>0</v>
      </c>
      <c r="T69" s="66">
        <f>T67+T68</f>
        <v>0</v>
      </c>
      <c r="U69" s="89"/>
      <c r="V69" s="89"/>
      <c r="W69" s="89"/>
      <c r="X69" s="89"/>
    </row>
    <row r="70" spans="9:31" ht="14.65" thickBot="1" x14ac:dyDescent="0.5">
      <c r="I70" s="12"/>
      <c r="J70" s="316"/>
      <c r="K70" s="316"/>
      <c r="L70" s="316"/>
      <c r="M70" s="316"/>
      <c r="O70" s="12"/>
      <c r="P70" s="12"/>
      <c r="Q70" s="316"/>
      <c r="R70" s="316"/>
      <c r="S70" s="317"/>
      <c r="T70" s="318"/>
      <c r="U70" s="316"/>
      <c r="V70" s="316"/>
      <c r="W70" s="316"/>
      <c r="X70" s="316"/>
    </row>
    <row r="71" spans="9:31" ht="14.65" thickBot="1" x14ac:dyDescent="0.5">
      <c r="I71" s="12"/>
      <c r="J71" s="316"/>
      <c r="K71" s="316"/>
      <c r="L71" s="316"/>
      <c r="M71" s="316"/>
      <c r="O71" s="12"/>
      <c r="P71" s="12"/>
      <c r="Q71" s="316"/>
      <c r="R71" s="316"/>
      <c r="S71" s="317"/>
      <c r="T71" s="318"/>
      <c r="U71" s="316"/>
      <c r="V71" s="316"/>
      <c r="W71" s="316"/>
      <c r="X71" s="316"/>
    </row>
    <row r="72" spans="9:31" x14ac:dyDescent="0.45">
      <c r="Q72" s="89"/>
      <c r="R72" s="89"/>
      <c r="S72" s="90">
        <f>D31</f>
        <v>0</v>
      </c>
      <c r="T72" s="60">
        <f>D32</f>
        <v>0</v>
      </c>
      <c r="U72" s="89"/>
      <c r="V72" s="89"/>
      <c r="W72" s="89"/>
      <c r="X72" s="89"/>
    </row>
    <row r="73" spans="9:31" ht="14.65" thickBot="1" x14ac:dyDescent="0.5">
      <c r="L73" s="129"/>
      <c r="Q73" s="89"/>
      <c r="R73" s="89"/>
      <c r="S73" s="91">
        <f>S55+S72</f>
        <v>0</v>
      </c>
      <c r="T73" s="66">
        <f>T55+T72</f>
        <v>0</v>
      </c>
      <c r="U73" s="89"/>
      <c r="V73" s="89"/>
      <c r="W73" s="89"/>
      <c r="X73" s="89"/>
    </row>
  </sheetData>
  <mergeCells count="11">
    <mergeCell ref="A1:X1"/>
    <mergeCell ref="A3:C3"/>
    <mergeCell ref="D3:X3"/>
    <mergeCell ref="A5:C5"/>
    <mergeCell ref="I5:M5"/>
    <mergeCell ref="O5:X5"/>
    <mergeCell ref="A16:E16"/>
    <mergeCell ref="A25:G25"/>
    <mergeCell ref="A41:G41"/>
    <mergeCell ref="B42:E42"/>
    <mergeCell ref="B43:E43"/>
  </mergeCells>
  <printOptions horizontalCentered="1"/>
  <pageMargins left="0.70866141732283505" right="0.70866141732283505" top="0.74803149606299202" bottom="0.74803149606299202" header="0.31496062992126" footer="0.31496062992126"/>
  <headerFooter>
    <oddHeader>&amp;R&amp;A</oddHeader>
    <oddFooter>&amp;L&amp;D&amp;C&amp;P&amp;R&amp;A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70CC6-3D8B-B84F-9E53-7B67D07AA02C}">
  <sheetPr>
    <tabColor theme="9" tint="-0.249977111117893"/>
    <pageSetUpPr fitToPage="1"/>
  </sheetPr>
  <dimension ref="A1:AE73"/>
  <sheetViews>
    <sheetView zoomScaleNormal="100" workbookViewId="0">
      <selection activeCell="C35" sqref="C35"/>
    </sheetView>
  </sheetViews>
  <sheetFormatPr defaultColWidth="9.1328125" defaultRowHeight="14.25" x14ac:dyDescent="0.45"/>
  <cols>
    <col min="1" max="1" width="6.265625" style="3" customWidth="1"/>
    <col min="2" max="2" width="18.265625" style="3" bestFit="1" customWidth="1"/>
    <col min="3" max="4" width="15" style="3" bestFit="1" customWidth="1"/>
    <col min="5" max="5" width="14" style="3" bestFit="1" customWidth="1"/>
    <col min="6" max="6" width="17.3984375" style="3" bestFit="1" customWidth="1"/>
    <col min="7" max="7" width="15.1328125" style="3" bestFit="1" customWidth="1"/>
    <col min="8" max="8" width="9.1328125" style="3"/>
    <col min="9" max="9" width="7.3984375" style="3" bestFit="1" customWidth="1"/>
    <col min="10" max="10" width="15" style="3" bestFit="1" customWidth="1"/>
    <col min="11" max="11" width="14" style="3" bestFit="1" customWidth="1"/>
    <col min="12" max="12" width="13.1328125" style="3" bestFit="1" customWidth="1"/>
    <col min="13" max="13" width="15" style="3" bestFit="1" customWidth="1"/>
    <col min="14" max="16" width="9.1328125" style="3"/>
    <col min="17" max="19" width="15.86328125" style="3" bestFit="1" customWidth="1"/>
    <col min="20" max="21" width="14.73046875" style="3" customWidth="1"/>
    <col min="22" max="22" width="13.265625" style="3" bestFit="1" customWidth="1"/>
    <col min="23" max="23" width="14.86328125" style="3" bestFit="1" customWidth="1"/>
    <col min="24" max="24" width="15.1328125" style="3" bestFit="1" customWidth="1"/>
    <col min="25" max="25" width="9.1328125" style="3"/>
    <col min="26" max="26" width="12.73046875" style="3" bestFit="1" customWidth="1"/>
    <col min="27" max="27" width="9.1328125" style="3"/>
    <col min="28" max="29" width="16.265625" style="3" customWidth="1"/>
    <col min="30" max="30" width="16.3984375" style="3" customWidth="1"/>
    <col min="31" max="16384" width="9.1328125" style="3"/>
  </cols>
  <sheetData>
    <row r="1" spans="1:31" ht="62.25" customHeight="1" thickBot="1" x14ac:dyDescent="0.5">
      <c r="A1" s="676">
        <f>+ASSUMPTIONS!B1</f>
        <v>0</v>
      </c>
      <c r="B1" s="677"/>
      <c r="C1" s="677"/>
      <c r="D1" s="677"/>
      <c r="E1" s="677"/>
      <c r="F1" s="677"/>
      <c r="G1" s="677"/>
      <c r="H1" s="677"/>
      <c r="I1" s="677"/>
      <c r="J1" s="677"/>
      <c r="K1" s="677"/>
      <c r="L1" s="677"/>
      <c r="M1" s="677"/>
      <c r="N1" s="677"/>
      <c r="O1" s="677"/>
      <c r="P1" s="677"/>
      <c r="Q1" s="677"/>
      <c r="R1" s="677"/>
      <c r="S1" s="677"/>
      <c r="T1" s="677"/>
      <c r="U1" s="677"/>
      <c r="V1" s="677"/>
      <c r="W1" s="677"/>
      <c r="X1" s="678"/>
    </row>
    <row r="2" spans="1:31" ht="16.149999999999999" thickBot="1" x14ac:dyDescent="0.5">
      <c r="A2" s="308"/>
      <c r="B2" s="308"/>
      <c r="C2" s="309"/>
      <c r="D2" s="309"/>
      <c r="E2" s="309"/>
      <c r="F2" s="309"/>
      <c r="G2" s="309"/>
      <c r="H2" s="309"/>
      <c r="I2" s="310"/>
      <c r="J2" s="309"/>
      <c r="K2" s="309"/>
      <c r="L2" s="309"/>
      <c r="M2" s="309"/>
    </row>
    <row r="3" spans="1:31" ht="32.25" customHeight="1" thickBot="1" x14ac:dyDescent="0.5">
      <c r="A3" s="679" t="str">
        <f>'Summary Equip'!B6</f>
        <v>CAT 350 - 50t Excav</v>
      </c>
      <c r="B3" s="680"/>
      <c r="C3" s="681"/>
      <c r="D3" s="682" t="s">
        <v>2</v>
      </c>
      <c r="E3" s="683"/>
      <c r="F3" s="683"/>
      <c r="G3" s="683"/>
      <c r="H3" s="683"/>
      <c r="I3" s="683"/>
      <c r="J3" s="683"/>
      <c r="K3" s="683"/>
      <c r="L3" s="683"/>
      <c r="M3" s="683"/>
      <c r="N3" s="683"/>
      <c r="O3" s="683"/>
      <c r="P3" s="683"/>
      <c r="Q3" s="683"/>
      <c r="R3" s="683"/>
      <c r="S3" s="683"/>
      <c r="T3" s="683"/>
      <c r="U3" s="683"/>
      <c r="V3" s="683"/>
      <c r="W3" s="683"/>
      <c r="X3" s="684"/>
    </row>
    <row r="4" spans="1:31" ht="14.65" thickBot="1" x14ac:dyDescent="0.5">
      <c r="C4" s="11"/>
      <c r="D4" s="11"/>
      <c r="E4" s="11"/>
      <c r="F4" s="11"/>
      <c r="G4" s="11"/>
      <c r="H4" s="11"/>
      <c r="I4" s="12"/>
      <c r="J4" s="11"/>
      <c r="K4" s="11"/>
      <c r="L4" s="11"/>
      <c r="M4" s="11"/>
      <c r="Q4" s="368">
        <f>+'Summary Equip'!AC6</f>
        <v>520.125</v>
      </c>
      <c r="U4" s="57">
        <v>0.05</v>
      </c>
    </row>
    <row r="5" spans="1:31" ht="23.25" customHeight="1" thickBot="1" x14ac:dyDescent="0.5">
      <c r="A5" s="685" t="s">
        <v>9</v>
      </c>
      <c r="B5" s="686"/>
      <c r="C5" s="687"/>
      <c r="D5" s="11"/>
      <c r="E5" s="11"/>
      <c r="F5" s="11"/>
      <c r="G5" s="11"/>
      <c r="H5" s="11"/>
      <c r="I5" s="688" t="s">
        <v>34</v>
      </c>
      <c r="J5" s="689"/>
      <c r="K5" s="689"/>
      <c r="L5" s="689"/>
      <c r="M5" s="690"/>
      <c r="O5" s="688" t="s">
        <v>35</v>
      </c>
      <c r="P5" s="691"/>
      <c r="Q5" s="689"/>
      <c r="R5" s="689"/>
      <c r="S5" s="689"/>
      <c r="T5" s="689"/>
      <c r="U5" s="689"/>
      <c r="V5" s="689"/>
      <c r="W5" s="692"/>
      <c r="X5" s="693"/>
      <c r="AA5" s="145">
        <v>0.03</v>
      </c>
    </row>
    <row r="6" spans="1:31" ht="28.9" thickBot="1" x14ac:dyDescent="0.5">
      <c r="A6" s="29" t="s">
        <v>0</v>
      </c>
      <c r="B6" s="28" t="s">
        <v>1</v>
      </c>
      <c r="C6" s="50" t="s">
        <v>10</v>
      </c>
      <c r="D6" s="11"/>
      <c r="E6" s="11"/>
      <c r="F6" s="11"/>
      <c r="G6" s="11"/>
      <c r="H6" s="11"/>
      <c r="I6" s="16" t="s">
        <v>15</v>
      </c>
      <c r="J6" s="17" t="s">
        <v>70</v>
      </c>
      <c r="K6" s="17" t="s">
        <v>17</v>
      </c>
      <c r="L6" s="17" t="s">
        <v>18</v>
      </c>
      <c r="M6" s="18" t="s">
        <v>19</v>
      </c>
      <c r="O6" s="16" t="s">
        <v>15</v>
      </c>
      <c r="P6" s="52" t="s">
        <v>39</v>
      </c>
      <c r="Q6" s="17" t="s">
        <v>36</v>
      </c>
      <c r="R6" s="17" t="s">
        <v>37</v>
      </c>
      <c r="S6" s="17" t="s">
        <v>27</v>
      </c>
      <c r="T6" s="17" t="s">
        <v>38</v>
      </c>
      <c r="U6" s="17" t="s">
        <v>7</v>
      </c>
      <c r="V6" s="17" t="s">
        <v>41</v>
      </c>
      <c r="W6" s="18" t="s">
        <v>40</v>
      </c>
      <c r="X6" s="55" t="s">
        <v>42</v>
      </c>
      <c r="Z6" s="5" t="s">
        <v>71</v>
      </c>
      <c r="AA6" s="5" t="s">
        <v>46</v>
      </c>
      <c r="AB6" s="5" t="s">
        <v>47</v>
      </c>
    </row>
    <row r="7" spans="1:31" x14ac:dyDescent="0.45">
      <c r="A7" s="8">
        <v>1</v>
      </c>
      <c r="B7" s="9" t="s">
        <v>11</v>
      </c>
      <c r="C7" s="152">
        <f>+F11*(1+'Summary Equip'!$N$3)</f>
        <v>379536.58536585362</v>
      </c>
      <c r="D7" s="11"/>
      <c r="E7" s="8" t="s">
        <v>61</v>
      </c>
      <c r="F7" s="150">
        <f>+'Summary Equip'!J6</f>
        <v>361463.41463414632</v>
      </c>
      <c r="G7" s="379"/>
      <c r="H7" s="383">
        <v>1</v>
      </c>
      <c r="I7" s="53">
        <v>1</v>
      </c>
      <c r="J7" s="77">
        <f>C7</f>
        <v>379536.58536585362</v>
      </c>
      <c r="K7" s="77">
        <f>J7*$C$8*30.44/365.25</f>
        <v>1676.4242680422697</v>
      </c>
      <c r="L7" s="77">
        <f>+L69</f>
        <v>-7214.6053613991253</v>
      </c>
      <c r="M7" s="78">
        <f t="shared" ref="M7:M66" si="0">J7+K7+L7</f>
        <v>373998.40427249676</v>
      </c>
      <c r="O7" s="15">
        <v>1</v>
      </c>
      <c r="P7" s="53">
        <f>Q4</f>
        <v>520.125</v>
      </c>
      <c r="Q7" s="77">
        <f>$F$42+($Q$4*$G$42)</f>
        <v>17063.568083076309</v>
      </c>
      <c r="R7" s="77">
        <f>+L7</f>
        <v>-7214.6053613991253</v>
      </c>
      <c r="S7" s="77">
        <f>+IF(R7=0,,-S68/C12)</f>
        <v>-3012.1951219512193</v>
      </c>
      <c r="T7" s="77"/>
      <c r="U7" s="77">
        <f>-Q7*U4</f>
        <v>-853.17840415381545</v>
      </c>
      <c r="V7" s="77">
        <f>-(AB7*$C$9/12)</f>
        <v>-762.84217987804868</v>
      </c>
      <c r="W7" s="83">
        <f>SUM(Q7:V7)</f>
        <v>5220.7470156940999</v>
      </c>
      <c r="X7" s="84">
        <f>W7</f>
        <v>5220.7470156940999</v>
      </c>
      <c r="Z7" s="92">
        <f>+$D$27-(($D$27+$D$28)*O7/$B$22)</f>
        <v>355499.26829268289</v>
      </c>
      <c r="AA7" s="5">
        <f>+Z7*$AA$5</f>
        <v>10664.978048780486</v>
      </c>
      <c r="AB7" s="92">
        <f>+Z7+AA7</f>
        <v>366164.24634146335</v>
      </c>
      <c r="AC7" s="132"/>
      <c r="AD7" s="132">
        <f>+S7</f>
        <v>-3012.1951219512193</v>
      </c>
      <c r="AE7" s="3">
        <f>+IF(AD7=0,0,1)</f>
        <v>1</v>
      </c>
    </row>
    <row r="8" spans="1:31" ht="28.5" x14ac:dyDescent="0.45">
      <c r="A8" s="4">
        <f>A7+1</f>
        <v>2</v>
      </c>
      <c r="B8" s="5" t="s">
        <v>3</v>
      </c>
      <c r="C8" s="156">
        <f>+'Summary Equip'!R6</f>
        <v>5.2999999999999999E-2</v>
      </c>
      <c r="D8" s="11"/>
      <c r="E8" s="107" t="s">
        <v>64</v>
      </c>
      <c r="F8" s="311">
        <f>+'Summary Equip'!D6</f>
        <v>0</v>
      </c>
      <c r="G8" s="380"/>
      <c r="H8" s="383">
        <f>+'Summary Equip'!C6</f>
        <v>1</v>
      </c>
      <c r="I8" s="54">
        <f>I7+1</f>
        <v>2</v>
      </c>
      <c r="J8" s="63">
        <f>+IF(M7&lt;0,,M7)</f>
        <v>373998.40427249676</v>
      </c>
      <c r="K8" s="63">
        <f t="shared" ref="K8:K54" si="1">J8*$C$8*30.44/365.25</f>
        <v>1651.9619591537423</v>
      </c>
      <c r="L8" s="63">
        <f>IF(M7&lt;0,,L7)</f>
        <v>-7214.6053613991253</v>
      </c>
      <c r="M8" s="65">
        <f t="shared" si="0"/>
        <v>368435.7608702514</v>
      </c>
      <c r="O8" s="14">
        <f>O7+1</f>
        <v>2</v>
      </c>
      <c r="P8" s="54">
        <f>P7+$Q$4</f>
        <v>1040.25</v>
      </c>
      <c r="Q8" s="63">
        <f>$F$42+($Q$4*$G$42)</f>
        <v>17063.568083076309</v>
      </c>
      <c r="R8" s="77">
        <f t="shared" ref="R8:R66" si="2">+L8</f>
        <v>-7214.6053613991253</v>
      </c>
      <c r="S8" s="63">
        <f>+IF(R8=0,,S7)</f>
        <v>-3012.1951219512193</v>
      </c>
      <c r="T8" s="63"/>
      <c r="U8" s="63">
        <f>U7</f>
        <v>-853.17840415381545</v>
      </c>
      <c r="V8" s="77">
        <f t="shared" ref="V8:V14" si="3">-(AB8*$C$9/12)</f>
        <v>-750.04411585365858</v>
      </c>
      <c r="W8" s="83">
        <f t="shared" ref="W8:W66" si="4">SUM(Q8:V8)</f>
        <v>5233.5450797184903</v>
      </c>
      <c r="X8" s="85">
        <f>X7+W8</f>
        <v>10454.292095412591</v>
      </c>
      <c r="Z8" s="92">
        <f>+$D$27-(($D$27+$D$28)*O8/$B$22)</f>
        <v>349535.12195121951</v>
      </c>
      <c r="AA8" s="5">
        <f t="shared" ref="AA8:AA66" si="5">+Z8*$AA$5</f>
        <v>10486.053658536584</v>
      </c>
      <c r="AB8" s="92">
        <f t="shared" ref="AB8:AB66" si="6">+Z8+AA8</f>
        <v>360021.17560975609</v>
      </c>
      <c r="AD8" s="133">
        <f t="shared" ref="AD8:AD53" si="7">IF(AD7=0,0,IF(+S8+AD7&lt;-$S$72,0,+S8+AD7))</f>
        <v>-6024.3902439024387</v>
      </c>
      <c r="AE8" s="3">
        <f t="shared" ref="AE8:AE66" si="8">+IF(AD8=0,0,1)</f>
        <v>1</v>
      </c>
    </row>
    <row r="9" spans="1:31" x14ac:dyDescent="0.45">
      <c r="A9" s="4">
        <f t="shared" ref="A9:A14" si="9">A8+1</f>
        <v>3</v>
      </c>
      <c r="B9" s="5" t="s">
        <v>4</v>
      </c>
      <c r="C9" s="157">
        <f>+'Summary Equip'!S6</f>
        <v>2.5000000000000001E-2</v>
      </c>
      <c r="D9" s="11"/>
      <c r="E9" s="338" t="s">
        <v>69</v>
      </c>
      <c r="F9" s="339">
        <f>+'Summary Equip'!F6</f>
        <v>18073.170731707316</v>
      </c>
      <c r="G9" s="381"/>
      <c r="H9" s="383">
        <f>+'Summary Equip'!E6</f>
        <v>1</v>
      </c>
      <c r="I9" s="54">
        <f t="shared" ref="I9:I66" si="10">I8+1</f>
        <v>3</v>
      </c>
      <c r="J9" s="63">
        <f t="shared" ref="J9:J66" si="11">+IF(M8&lt;0,,M8)</f>
        <v>368435.7608702514</v>
      </c>
      <c r="K9" s="63">
        <f t="shared" si="1"/>
        <v>1627.3915995268828</v>
      </c>
      <c r="L9" s="63">
        <f t="shared" ref="L9:L66" si="12">IF(M8&lt;0,,L8)</f>
        <v>-7214.6053613991253</v>
      </c>
      <c r="M9" s="65">
        <f t="shared" si="0"/>
        <v>362848.54710837913</v>
      </c>
      <c r="O9" s="14">
        <f t="shared" ref="O9:O66" si="13">O8+1</f>
        <v>3</v>
      </c>
      <c r="P9" s="54">
        <f t="shared" ref="P9:P66" si="14">P8+$Q$4</f>
        <v>1560.375</v>
      </c>
      <c r="Q9" s="63">
        <f t="shared" ref="Q9:Q66" si="15">$F$42+($Q$4*$G$42)</f>
        <v>17063.568083076309</v>
      </c>
      <c r="R9" s="77">
        <f t="shared" si="2"/>
        <v>-7214.6053613991253</v>
      </c>
      <c r="S9" s="63">
        <f t="shared" ref="S9:S62" si="16">+S8</f>
        <v>-3012.1951219512193</v>
      </c>
      <c r="T9" s="63"/>
      <c r="U9" s="63">
        <f t="shared" ref="U9:U62" si="17">U8</f>
        <v>-853.17840415381545</v>
      </c>
      <c r="V9" s="77">
        <f t="shared" si="3"/>
        <v>-737.24605182926825</v>
      </c>
      <c r="W9" s="83">
        <f t="shared" si="4"/>
        <v>5246.3431437428808</v>
      </c>
      <c r="X9" s="85">
        <f t="shared" ref="X9:X62" si="18">X8+W9</f>
        <v>15700.635239155472</v>
      </c>
      <c r="Z9" s="92">
        <f t="shared" ref="Z9:Z66" si="19">+$D$27-(($D$27+$D$28)*O9/$B$22)</f>
        <v>343570.97560975607</v>
      </c>
      <c r="AA9" s="5">
        <f t="shared" si="5"/>
        <v>10307.129268292681</v>
      </c>
      <c r="AB9" s="92">
        <f t="shared" si="6"/>
        <v>353878.10487804876</v>
      </c>
      <c r="AD9" s="133">
        <f t="shared" si="7"/>
        <v>-9036.585365853658</v>
      </c>
      <c r="AE9" s="3">
        <f t="shared" si="8"/>
        <v>1</v>
      </c>
    </row>
    <row r="10" spans="1:31" ht="14.65" thickBot="1" x14ac:dyDescent="0.5">
      <c r="A10" s="4">
        <f t="shared" si="9"/>
        <v>4</v>
      </c>
      <c r="B10" s="5" t="s">
        <v>5</v>
      </c>
      <c r="C10" s="158">
        <f>+'Summary Equip'!T6</f>
        <v>0.05</v>
      </c>
      <c r="D10" s="11"/>
      <c r="E10" s="111" t="s">
        <v>52</v>
      </c>
      <c r="F10" s="312">
        <f>SUM(F7:F8)*G10</f>
        <v>0</v>
      </c>
      <c r="G10" s="382">
        <f>+'Summary Equip'!H6</f>
        <v>0</v>
      </c>
      <c r="H10" s="383">
        <f>+'Summary Equip'!G6</f>
        <v>0</v>
      </c>
      <c r="I10" s="54">
        <f t="shared" si="10"/>
        <v>4</v>
      </c>
      <c r="J10" s="63">
        <f t="shared" si="11"/>
        <v>362848.54710837913</v>
      </c>
      <c r="K10" s="63">
        <f t="shared" si="1"/>
        <v>1602.712711898399</v>
      </c>
      <c r="L10" s="63">
        <f t="shared" si="12"/>
        <v>-7214.6053613991253</v>
      </c>
      <c r="M10" s="65">
        <f t="shared" si="0"/>
        <v>357236.65445887839</v>
      </c>
      <c r="O10" s="14">
        <f t="shared" si="13"/>
        <v>4</v>
      </c>
      <c r="P10" s="54">
        <f t="shared" si="14"/>
        <v>2080.5</v>
      </c>
      <c r="Q10" s="63">
        <f t="shared" si="15"/>
        <v>17063.568083076309</v>
      </c>
      <c r="R10" s="77">
        <f t="shared" si="2"/>
        <v>-7214.6053613991253</v>
      </c>
      <c r="S10" s="63">
        <f t="shared" si="16"/>
        <v>-3012.1951219512193</v>
      </c>
      <c r="T10" s="63"/>
      <c r="U10" s="63">
        <f t="shared" si="17"/>
        <v>-853.17840415381545</v>
      </c>
      <c r="V10" s="77">
        <f t="shared" si="3"/>
        <v>-724.44798780487793</v>
      </c>
      <c r="W10" s="83">
        <f t="shared" si="4"/>
        <v>5259.1412077672712</v>
      </c>
      <c r="X10" s="85">
        <f t="shared" si="18"/>
        <v>20959.776446922744</v>
      </c>
      <c r="Z10" s="92">
        <f t="shared" si="19"/>
        <v>337606.82926829264</v>
      </c>
      <c r="AA10" s="5">
        <f t="shared" si="5"/>
        <v>10128.204878048778</v>
      </c>
      <c r="AB10" s="92">
        <f t="shared" si="6"/>
        <v>347735.03414634144</v>
      </c>
      <c r="AD10" s="133">
        <f t="shared" si="7"/>
        <v>-12048.780487804877</v>
      </c>
      <c r="AE10" s="3">
        <f t="shared" si="8"/>
        <v>1</v>
      </c>
    </row>
    <row r="11" spans="1:31" ht="14.65" thickBot="1" x14ac:dyDescent="0.5">
      <c r="A11" s="4">
        <f t="shared" si="9"/>
        <v>5</v>
      </c>
      <c r="B11" s="5" t="s">
        <v>12</v>
      </c>
      <c r="C11" s="159">
        <f>+'Summary Equip'!U6</f>
        <v>0.01</v>
      </c>
      <c r="D11" s="11"/>
      <c r="E11" s="112" t="s">
        <v>28</v>
      </c>
      <c r="F11" s="313">
        <f>SUMPRODUCT(F7:F10,H7:H10)</f>
        <v>379536.58536585362</v>
      </c>
      <c r="G11" s="113"/>
      <c r="H11" s="11"/>
      <c r="I11" s="14">
        <f t="shared" si="10"/>
        <v>5</v>
      </c>
      <c r="J11" s="63">
        <f t="shared" si="11"/>
        <v>357236.65445887839</v>
      </c>
      <c r="K11" s="63">
        <f t="shared" si="1"/>
        <v>1577.9248168969136</v>
      </c>
      <c r="L11" s="63">
        <f t="shared" si="12"/>
        <v>-7214.6053613991253</v>
      </c>
      <c r="M11" s="65">
        <f t="shared" si="0"/>
        <v>351599.97391437617</v>
      </c>
      <c r="O11" s="14">
        <f t="shared" si="13"/>
        <v>5</v>
      </c>
      <c r="P11" s="54">
        <f t="shared" si="14"/>
        <v>2600.625</v>
      </c>
      <c r="Q11" s="63">
        <f t="shared" si="15"/>
        <v>17063.568083076309</v>
      </c>
      <c r="R11" s="77">
        <f t="shared" si="2"/>
        <v>-7214.6053613991253</v>
      </c>
      <c r="S11" s="63">
        <f t="shared" si="16"/>
        <v>-3012.1951219512193</v>
      </c>
      <c r="T11" s="63"/>
      <c r="U11" s="63">
        <f t="shared" si="17"/>
        <v>-853.17840415381545</v>
      </c>
      <c r="V11" s="77">
        <f t="shared" si="3"/>
        <v>-711.64992378048782</v>
      </c>
      <c r="W11" s="83">
        <f t="shared" si="4"/>
        <v>5271.9392717916617</v>
      </c>
      <c r="X11" s="85">
        <f t="shared" si="18"/>
        <v>26231.715718714404</v>
      </c>
      <c r="Z11" s="92">
        <f t="shared" si="19"/>
        <v>331642.68292682926</v>
      </c>
      <c r="AA11" s="5">
        <f t="shared" si="5"/>
        <v>9949.2804878048773</v>
      </c>
      <c r="AB11" s="92">
        <f t="shared" si="6"/>
        <v>341591.96341463411</v>
      </c>
      <c r="AD11" s="133">
        <f t="shared" si="7"/>
        <v>-15060.975609756097</v>
      </c>
      <c r="AE11" s="3">
        <f t="shared" si="8"/>
        <v>1</v>
      </c>
    </row>
    <row r="12" spans="1:31" x14ac:dyDescent="0.45">
      <c r="A12" s="4">
        <f t="shared" si="9"/>
        <v>6</v>
      </c>
      <c r="B12" s="5" t="s">
        <v>13</v>
      </c>
      <c r="C12" s="160">
        <f>+'Summary Equip'!V6</f>
        <v>60</v>
      </c>
      <c r="D12" s="11"/>
      <c r="E12" s="11"/>
      <c r="F12" s="11"/>
      <c r="G12" s="11"/>
      <c r="H12" s="11"/>
      <c r="I12" s="14">
        <f t="shared" si="10"/>
        <v>6</v>
      </c>
      <c r="J12" s="63">
        <f t="shared" si="11"/>
        <v>351599.97391437617</v>
      </c>
      <c r="K12" s="63">
        <f t="shared" si="1"/>
        <v>1553.027433033652</v>
      </c>
      <c r="L12" s="63">
        <f t="shared" si="12"/>
        <v>-7214.6053613991253</v>
      </c>
      <c r="M12" s="65">
        <f t="shared" si="0"/>
        <v>345938.39598601067</v>
      </c>
      <c r="O12" s="14">
        <f t="shared" si="13"/>
        <v>6</v>
      </c>
      <c r="P12" s="54">
        <f t="shared" si="14"/>
        <v>3120.75</v>
      </c>
      <c r="Q12" s="63">
        <f t="shared" si="15"/>
        <v>17063.568083076309</v>
      </c>
      <c r="R12" s="77">
        <f t="shared" si="2"/>
        <v>-7214.6053613991253</v>
      </c>
      <c r="S12" s="63">
        <f t="shared" si="16"/>
        <v>-3012.1951219512193</v>
      </c>
      <c r="T12" s="63"/>
      <c r="U12" s="63">
        <f t="shared" si="17"/>
        <v>-853.17840415381545</v>
      </c>
      <c r="V12" s="77">
        <f t="shared" si="3"/>
        <v>-698.8518597560975</v>
      </c>
      <c r="W12" s="83">
        <f t="shared" si="4"/>
        <v>5284.7373358160512</v>
      </c>
      <c r="X12" s="85">
        <f t="shared" si="18"/>
        <v>31516.453054530455</v>
      </c>
      <c r="Z12" s="92">
        <f t="shared" si="19"/>
        <v>325678.53658536583</v>
      </c>
      <c r="AA12" s="5">
        <f t="shared" si="5"/>
        <v>9770.3560975609744</v>
      </c>
      <c r="AB12" s="92">
        <f t="shared" si="6"/>
        <v>335448.89268292679</v>
      </c>
      <c r="AD12" s="133">
        <f t="shared" si="7"/>
        <v>-18073.170731707316</v>
      </c>
      <c r="AE12" s="3">
        <f t="shared" si="8"/>
        <v>1</v>
      </c>
    </row>
    <row r="13" spans="1:31" x14ac:dyDescent="0.45">
      <c r="A13" s="4">
        <f t="shared" si="9"/>
        <v>7</v>
      </c>
      <c r="B13" s="5" t="s">
        <v>14</v>
      </c>
      <c r="C13" s="161">
        <f>+'Summary Equip'!W6</f>
        <v>20000</v>
      </c>
      <c r="D13" s="176">
        <f>+C13*C14</f>
        <v>18000</v>
      </c>
      <c r="E13" s="11"/>
      <c r="F13" s="11"/>
      <c r="G13" s="11"/>
      <c r="H13" s="11"/>
      <c r="I13" s="14">
        <f t="shared" si="10"/>
        <v>7</v>
      </c>
      <c r="J13" s="63">
        <f t="shared" si="11"/>
        <v>345938.39598601067</v>
      </c>
      <c r="K13" s="63">
        <f t="shared" si="1"/>
        <v>1528.0200766930889</v>
      </c>
      <c r="L13" s="63">
        <f t="shared" si="12"/>
        <v>-7214.6053613991253</v>
      </c>
      <c r="M13" s="65">
        <f t="shared" si="0"/>
        <v>340251.81070130464</v>
      </c>
      <c r="O13" s="14">
        <f t="shared" si="13"/>
        <v>7</v>
      </c>
      <c r="P13" s="54">
        <f t="shared" si="14"/>
        <v>3640.875</v>
      </c>
      <c r="Q13" s="63">
        <f t="shared" si="15"/>
        <v>17063.568083076309</v>
      </c>
      <c r="R13" s="77">
        <f t="shared" si="2"/>
        <v>-7214.6053613991253</v>
      </c>
      <c r="S13" s="63">
        <f t="shared" si="16"/>
        <v>-3012.1951219512193</v>
      </c>
      <c r="T13" s="63"/>
      <c r="U13" s="63">
        <f t="shared" si="17"/>
        <v>-853.17840415381545</v>
      </c>
      <c r="V13" s="77">
        <f t="shared" si="3"/>
        <v>-686.05379573170728</v>
      </c>
      <c r="W13" s="83">
        <f t="shared" si="4"/>
        <v>5297.5353998404416</v>
      </c>
      <c r="X13" s="85">
        <f t="shared" si="18"/>
        <v>36813.988454370898</v>
      </c>
      <c r="Z13" s="92">
        <f t="shared" si="19"/>
        <v>319714.3902439024</v>
      </c>
      <c r="AA13" s="5">
        <f t="shared" si="5"/>
        <v>9591.4317073170714</v>
      </c>
      <c r="AB13" s="92">
        <f t="shared" si="6"/>
        <v>329305.82195121946</v>
      </c>
      <c r="AD13" s="133">
        <f t="shared" si="7"/>
        <v>-21085.365853658535</v>
      </c>
      <c r="AE13" s="3">
        <f t="shared" si="8"/>
        <v>1</v>
      </c>
    </row>
    <row r="14" spans="1:31" ht="14.65" thickBot="1" x14ac:dyDescent="0.5">
      <c r="A14" s="6">
        <f t="shared" si="9"/>
        <v>8</v>
      </c>
      <c r="B14" s="7" t="s">
        <v>33</v>
      </c>
      <c r="C14" s="162">
        <f>+'Summary Equip'!X6</f>
        <v>0.9</v>
      </c>
      <c r="D14" s="337">
        <f>+D13/C12</f>
        <v>300</v>
      </c>
      <c r="E14" s="11"/>
      <c r="F14" s="11"/>
      <c r="G14" s="11"/>
      <c r="H14" s="11"/>
      <c r="I14" s="14">
        <f t="shared" si="10"/>
        <v>8</v>
      </c>
      <c r="J14" s="63">
        <f t="shared" si="11"/>
        <v>340251.81070130464</v>
      </c>
      <c r="K14" s="63">
        <f t="shared" si="1"/>
        <v>1502.9022621235561</v>
      </c>
      <c r="L14" s="63">
        <f t="shared" si="12"/>
        <v>-7214.6053613991253</v>
      </c>
      <c r="M14" s="65">
        <f t="shared" si="0"/>
        <v>334540.10760202905</v>
      </c>
      <c r="O14" s="14">
        <f t="shared" si="13"/>
        <v>8</v>
      </c>
      <c r="P14" s="54">
        <f t="shared" si="14"/>
        <v>4161</v>
      </c>
      <c r="Q14" s="63">
        <f t="shared" si="15"/>
        <v>17063.568083076309</v>
      </c>
      <c r="R14" s="77">
        <f t="shared" si="2"/>
        <v>-7214.6053613991253</v>
      </c>
      <c r="S14" s="63">
        <f t="shared" si="16"/>
        <v>-3012.1951219512193</v>
      </c>
      <c r="T14" s="63"/>
      <c r="U14" s="63">
        <f t="shared" si="17"/>
        <v>-853.17840415381545</v>
      </c>
      <c r="V14" s="77">
        <f t="shared" si="3"/>
        <v>-673.25573170731707</v>
      </c>
      <c r="W14" s="83">
        <f t="shared" si="4"/>
        <v>5310.3334638648321</v>
      </c>
      <c r="X14" s="85">
        <f t="shared" si="18"/>
        <v>42124.321918235728</v>
      </c>
      <c r="Z14" s="92">
        <f t="shared" si="19"/>
        <v>313750.24390243902</v>
      </c>
      <c r="AA14" s="5">
        <f t="shared" si="5"/>
        <v>9412.5073170731703</v>
      </c>
      <c r="AB14" s="92">
        <f t="shared" si="6"/>
        <v>323162.7512195122</v>
      </c>
      <c r="AD14" s="133">
        <f t="shared" si="7"/>
        <v>-24097.560975609755</v>
      </c>
      <c r="AE14" s="3">
        <f t="shared" si="8"/>
        <v>1</v>
      </c>
    </row>
    <row r="15" spans="1:31" ht="14.65" thickBot="1" x14ac:dyDescent="0.5">
      <c r="C15" s="11"/>
      <c r="D15" s="11"/>
      <c r="E15" s="11"/>
      <c r="F15" s="11"/>
      <c r="G15" s="11"/>
      <c r="H15" s="11"/>
      <c r="I15" s="14">
        <f t="shared" si="10"/>
        <v>9</v>
      </c>
      <c r="J15" s="63">
        <f t="shared" si="11"/>
        <v>334540.10760202905</v>
      </c>
      <c r="K15" s="63">
        <f t="shared" si="1"/>
        <v>1477.6735014278042</v>
      </c>
      <c r="L15" s="63">
        <f t="shared" si="12"/>
        <v>-7214.6053613991253</v>
      </c>
      <c r="M15" s="65">
        <f t="shared" si="0"/>
        <v>328803.17574205773</v>
      </c>
      <c r="O15" s="14">
        <f t="shared" si="13"/>
        <v>9</v>
      </c>
      <c r="P15" s="54">
        <f t="shared" si="14"/>
        <v>4681.125</v>
      </c>
      <c r="Q15" s="63">
        <f t="shared" si="15"/>
        <v>17063.568083076309</v>
      </c>
      <c r="R15" s="77">
        <f t="shared" si="2"/>
        <v>-7214.6053613991253</v>
      </c>
      <c r="S15" s="63">
        <f t="shared" si="16"/>
        <v>-3012.1951219512193</v>
      </c>
      <c r="T15" s="63"/>
      <c r="U15" s="63">
        <f t="shared" si="17"/>
        <v>-853.17840415381545</v>
      </c>
      <c r="V15" s="77">
        <f>-(AB15*$C$9/12)</f>
        <v>-660.45766768292685</v>
      </c>
      <c r="W15" s="83">
        <f t="shared" si="4"/>
        <v>5323.1315278892225</v>
      </c>
      <c r="X15" s="85">
        <f t="shared" si="18"/>
        <v>47447.45344612495</v>
      </c>
      <c r="Z15" s="92">
        <f t="shared" si="19"/>
        <v>307786.09756097558</v>
      </c>
      <c r="AA15" s="5">
        <f t="shared" si="5"/>
        <v>9233.5829268292673</v>
      </c>
      <c r="AB15" s="92">
        <f t="shared" si="6"/>
        <v>317019.68048780487</v>
      </c>
      <c r="AD15" s="133">
        <f t="shared" si="7"/>
        <v>-27109.756097560974</v>
      </c>
      <c r="AE15" s="3">
        <f t="shared" si="8"/>
        <v>1</v>
      </c>
    </row>
    <row r="16" spans="1:31" ht="16.149999999999999" thickBot="1" x14ac:dyDescent="0.5">
      <c r="A16" s="661" t="s">
        <v>43</v>
      </c>
      <c r="B16" s="662"/>
      <c r="C16" s="662"/>
      <c r="D16" s="662"/>
      <c r="E16" s="663"/>
      <c r="F16" s="1"/>
      <c r="G16" s="1"/>
      <c r="H16" s="117"/>
      <c r="I16" s="14">
        <f t="shared" si="10"/>
        <v>10</v>
      </c>
      <c r="J16" s="63">
        <f t="shared" si="11"/>
        <v>328803.17574205773</v>
      </c>
      <c r="K16" s="63">
        <f t="shared" si="1"/>
        <v>1452.3333045535292</v>
      </c>
      <c r="L16" s="63">
        <f t="shared" si="12"/>
        <v>-7214.6053613991253</v>
      </c>
      <c r="M16" s="65">
        <f t="shared" si="0"/>
        <v>323040.90368521214</v>
      </c>
      <c r="O16" s="14">
        <f t="shared" si="13"/>
        <v>10</v>
      </c>
      <c r="P16" s="54">
        <f t="shared" si="14"/>
        <v>5201.25</v>
      </c>
      <c r="Q16" s="63">
        <f t="shared" si="15"/>
        <v>17063.568083076309</v>
      </c>
      <c r="R16" s="77">
        <f t="shared" si="2"/>
        <v>-7214.6053613991253</v>
      </c>
      <c r="S16" s="63">
        <f t="shared" si="16"/>
        <v>-3012.1951219512193</v>
      </c>
      <c r="T16" s="63"/>
      <c r="U16" s="63">
        <f t="shared" si="17"/>
        <v>-853.17840415381545</v>
      </c>
      <c r="V16" s="77">
        <f t="shared" ref="V16:V66" si="20">-(AB16*$C$9/12)</f>
        <v>-647.65960365853641</v>
      </c>
      <c r="W16" s="83">
        <f t="shared" si="4"/>
        <v>5335.929591913613</v>
      </c>
      <c r="X16" s="85">
        <f t="shared" si="18"/>
        <v>52783.383038038563</v>
      </c>
      <c r="Z16" s="92">
        <f t="shared" si="19"/>
        <v>301821.95121951215</v>
      </c>
      <c r="AA16" s="5">
        <f t="shared" si="5"/>
        <v>9054.6585365853643</v>
      </c>
      <c r="AB16" s="92">
        <f t="shared" si="6"/>
        <v>310876.60975609749</v>
      </c>
      <c r="AD16" s="133">
        <f t="shared" si="7"/>
        <v>-30121.951219512193</v>
      </c>
      <c r="AE16" s="3">
        <f t="shared" si="8"/>
        <v>1</v>
      </c>
    </row>
    <row r="17" spans="1:31" ht="14.65" thickBot="1" x14ac:dyDescent="0.5">
      <c r="A17" s="97" t="s">
        <v>44</v>
      </c>
      <c r="B17" s="98" t="s">
        <v>48</v>
      </c>
      <c r="C17" s="98" t="s">
        <v>45</v>
      </c>
      <c r="D17" s="99" t="s">
        <v>46</v>
      </c>
      <c r="E17" s="55" t="s">
        <v>47</v>
      </c>
      <c r="F17" s="1"/>
      <c r="G17" s="1"/>
      <c r="H17" s="117"/>
      <c r="I17" s="14">
        <f t="shared" si="10"/>
        <v>11</v>
      </c>
      <c r="J17" s="63">
        <f t="shared" si="11"/>
        <v>323040.90368521214</v>
      </c>
      <c r="K17" s="63">
        <f t="shared" si="1"/>
        <v>1426.8811792838505</v>
      </c>
      <c r="L17" s="63">
        <f t="shared" si="12"/>
        <v>-7214.6053613991253</v>
      </c>
      <c r="M17" s="65">
        <f t="shared" si="0"/>
        <v>317253.17950309685</v>
      </c>
      <c r="O17" s="14">
        <f t="shared" si="13"/>
        <v>11</v>
      </c>
      <c r="P17" s="54">
        <f t="shared" si="14"/>
        <v>5721.375</v>
      </c>
      <c r="Q17" s="63">
        <f t="shared" si="15"/>
        <v>17063.568083076309</v>
      </c>
      <c r="R17" s="77">
        <f t="shared" si="2"/>
        <v>-7214.6053613991253</v>
      </c>
      <c r="S17" s="63">
        <f t="shared" si="16"/>
        <v>-3012.1951219512193</v>
      </c>
      <c r="T17" s="63"/>
      <c r="U17" s="63">
        <f t="shared" si="17"/>
        <v>-853.17840415381545</v>
      </c>
      <c r="V17" s="77">
        <f t="shared" si="20"/>
        <v>-634.86153963414631</v>
      </c>
      <c r="W17" s="83">
        <f t="shared" si="4"/>
        <v>5348.7276559380025</v>
      </c>
      <c r="X17" s="85">
        <f t="shared" si="18"/>
        <v>58132.110693976567</v>
      </c>
      <c r="Z17" s="92">
        <f t="shared" si="19"/>
        <v>295857.80487804877</v>
      </c>
      <c r="AA17" s="5">
        <f t="shared" si="5"/>
        <v>8875.7341463414632</v>
      </c>
      <c r="AB17" s="92">
        <f t="shared" si="6"/>
        <v>304733.53902439022</v>
      </c>
      <c r="AD17" s="133">
        <f t="shared" si="7"/>
        <v>-33134.146341463413</v>
      </c>
      <c r="AE17" s="3">
        <f t="shared" si="8"/>
        <v>1</v>
      </c>
    </row>
    <row r="18" spans="1:31" x14ac:dyDescent="0.45">
      <c r="A18" s="94">
        <v>1</v>
      </c>
      <c r="B18" s="95">
        <v>12</v>
      </c>
      <c r="C18" s="96">
        <f>D$27-(D$27+D$28)*B18/60</f>
        <v>289893.65853658534</v>
      </c>
      <c r="D18" s="100">
        <v>0</v>
      </c>
      <c r="E18" s="103">
        <f t="shared" ref="E18:E23" si="21">C18/(100%-D18)</f>
        <v>289893.65853658534</v>
      </c>
      <c r="F18" s="11"/>
      <c r="G18" s="11"/>
      <c r="H18" s="11"/>
      <c r="I18" s="14">
        <f t="shared" si="10"/>
        <v>12</v>
      </c>
      <c r="J18" s="63">
        <f t="shared" si="11"/>
        <v>317253.17950309685</v>
      </c>
      <c r="K18" s="63">
        <f t="shared" si="1"/>
        <v>1401.3166312277513</v>
      </c>
      <c r="L18" s="63">
        <f t="shared" si="12"/>
        <v>-7214.6053613991253</v>
      </c>
      <c r="M18" s="65">
        <f t="shared" si="0"/>
        <v>311439.89077292546</v>
      </c>
      <c r="O18" s="14">
        <f t="shared" si="13"/>
        <v>12</v>
      </c>
      <c r="P18" s="54">
        <f t="shared" si="14"/>
        <v>6241.5</v>
      </c>
      <c r="Q18" s="63">
        <f t="shared" si="15"/>
        <v>17063.568083076309</v>
      </c>
      <c r="R18" s="77">
        <f t="shared" si="2"/>
        <v>-7214.6053613991253</v>
      </c>
      <c r="S18" s="63">
        <f t="shared" si="16"/>
        <v>-3012.1951219512193</v>
      </c>
      <c r="T18" s="63"/>
      <c r="U18" s="63">
        <f t="shared" si="17"/>
        <v>-853.17840415381545</v>
      </c>
      <c r="V18" s="77">
        <f t="shared" si="20"/>
        <v>-622.0634756097561</v>
      </c>
      <c r="W18" s="83">
        <f t="shared" si="4"/>
        <v>5361.5257199623929</v>
      </c>
      <c r="X18" s="85">
        <f t="shared" si="18"/>
        <v>63493.636413938963</v>
      </c>
      <c r="Z18" s="92">
        <f t="shared" si="19"/>
        <v>289893.65853658534</v>
      </c>
      <c r="AA18" s="5">
        <f t="shared" si="5"/>
        <v>8696.8097560975602</v>
      </c>
      <c r="AB18" s="92">
        <f t="shared" si="6"/>
        <v>298590.4682926829</v>
      </c>
      <c r="AD18" s="133">
        <f t="shared" si="7"/>
        <v>-36146.341463414632</v>
      </c>
      <c r="AE18" s="3">
        <f t="shared" si="8"/>
        <v>1</v>
      </c>
    </row>
    <row r="19" spans="1:31" x14ac:dyDescent="0.45">
      <c r="A19" s="4">
        <f>A18+1</f>
        <v>2</v>
      </c>
      <c r="B19" s="5">
        <f>B18+12</f>
        <v>24</v>
      </c>
      <c r="C19" s="92">
        <f>D$27-(D$27+D$28)*B19/60</f>
        <v>218323.90243902439</v>
      </c>
      <c r="D19" s="101">
        <f>D18</f>
        <v>0</v>
      </c>
      <c r="E19" s="104">
        <f t="shared" si="21"/>
        <v>218323.90243902439</v>
      </c>
      <c r="F19" s="11"/>
      <c r="G19" s="11"/>
      <c r="H19" s="11"/>
      <c r="I19" s="14">
        <f t="shared" si="10"/>
        <v>13</v>
      </c>
      <c r="J19" s="63">
        <f t="shared" si="11"/>
        <v>311439.89077292546</v>
      </c>
      <c r="K19" s="63">
        <f t="shared" si="1"/>
        <v>1375.6391638104751</v>
      </c>
      <c r="L19" s="63">
        <f t="shared" si="12"/>
        <v>-7214.6053613991253</v>
      </c>
      <c r="M19" s="65">
        <f t="shared" si="0"/>
        <v>305600.9245753368</v>
      </c>
      <c r="O19" s="14">
        <f t="shared" si="13"/>
        <v>13</v>
      </c>
      <c r="P19" s="54">
        <f t="shared" si="14"/>
        <v>6761.625</v>
      </c>
      <c r="Q19" s="63">
        <f t="shared" si="15"/>
        <v>17063.568083076309</v>
      </c>
      <c r="R19" s="77">
        <f t="shared" si="2"/>
        <v>-7214.6053613991253</v>
      </c>
      <c r="S19" s="63">
        <f t="shared" si="16"/>
        <v>-3012.1951219512193</v>
      </c>
      <c r="T19" s="63"/>
      <c r="U19" s="63">
        <f t="shared" si="17"/>
        <v>-853.17840415381545</v>
      </c>
      <c r="V19" s="77">
        <f t="shared" si="20"/>
        <v>-609.265411585366</v>
      </c>
      <c r="W19" s="83">
        <f t="shared" si="4"/>
        <v>5374.3237839867834</v>
      </c>
      <c r="X19" s="85">
        <f t="shared" si="18"/>
        <v>68867.960197925742</v>
      </c>
      <c r="Z19" s="92">
        <f t="shared" si="19"/>
        <v>283929.51219512196</v>
      </c>
      <c r="AA19" s="5">
        <f t="shared" si="5"/>
        <v>8517.8853658536591</v>
      </c>
      <c r="AB19" s="92">
        <f t="shared" si="6"/>
        <v>292447.39756097563</v>
      </c>
      <c r="AD19" s="133">
        <f t="shared" si="7"/>
        <v>-39158.536585365851</v>
      </c>
      <c r="AE19" s="3">
        <f t="shared" si="8"/>
        <v>1</v>
      </c>
    </row>
    <row r="20" spans="1:31" x14ac:dyDescent="0.45">
      <c r="A20" s="4">
        <f>A19+1</f>
        <v>3</v>
      </c>
      <c r="B20" s="5">
        <f>B19+12</f>
        <v>36</v>
      </c>
      <c r="C20" s="92">
        <f>D$27-(D$27+D$28)*B20/60</f>
        <v>146754.14634146343</v>
      </c>
      <c r="D20" s="101">
        <f>D19</f>
        <v>0</v>
      </c>
      <c r="E20" s="104">
        <f t="shared" si="21"/>
        <v>146754.14634146343</v>
      </c>
      <c r="F20" s="11"/>
      <c r="G20" s="11"/>
      <c r="H20" s="11"/>
      <c r="I20" s="14">
        <f t="shared" si="10"/>
        <v>14</v>
      </c>
      <c r="J20" s="63">
        <f t="shared" si="11"/>
        <v>305600.9245753368</v>
      </c>
      <c r="K20" s="63">
        <f t="shared" si="1"/>
        <v>1349.8482782638807</v>
      </c>
      <c r="L20" s="63">
        <f t="shared" si="12"/>
        <v>-7214.6053613991253</v>
      </c>
      <c r="M20" s="65">
        <f t="shared" si="0"/>
        <v>299736.16749220155</v>
      </c>
      <c r="O20" s="14">
        <f t="shared" si="13"/>
        <v>14</v>
      </c>
      <c r="P20" s="54">
        <f t="shared" si="14"/>
        <v>7281.75</v>
      </c>
      <c r="Q20" s="63">
        <f t="shared" si="15"/>
        <v>17063.568083076309</v>
      </c>
      <c r="R20" s="77">
        <f t="shared" si="2"/>
        <v>-7214.6053613991253</v>
      </c>
      <c r="S20" s="63">
        <f t="shared" si="16"/>
        <v>-3012.1951219512193</v>
      </c>
      <c r="T20" s="63"/>
      <c r="U20" s="63">
        <f t="shared" si="17"/>
        <v>-853.17840415381545</v>
      </c>
      <c r="V20" s="77">
        <f t="shared" si="20"/>
        <v>-596.46734756097567</v>
      </c>
      <c r="W20" s="83">
        <f t="shared" si="4"/>
        <v>5387.1218480111729</v>
      </c>
      <c r="X20" s="85">
        <f t="shared" si="18"/>
        <v>74255.082045936913</v>
      </c>
      <c r="Z20" s="92">
        <f t="shared" si="19"/>
        <v>277965.36585365853</v>
      </c>
      <c r="AA20" s="5">
        <f t="shared" si="5"/>
        <v>8338.9609756097561</v>
      </c>
      <c r="AB20" s="92">
        <f t="shared" si="6"/>
        <v>286304.32682926831</v>
      </c>
      <c r="AD20" s="133">
        <f t="shared" si="7"/>
        <v>-42170.731707317071</v>
      </c>
      <c r="AE20" s="3">
        <f t="shared" si="8"/>
        <v>1</v>
      </c>
    </row>
    <row r="21" spans="1:31" x14ac:dyDescent="0.45">
      <c r="A21" s="4">
        <f>A20+1</f>
        <v>4</v>
      </c>
      <c r="B21" s="5">
        <f>B20+12</f>
        <v>48</v>
      </c>
      <c r="C21" s="92">
        <f>D$27-(D$27+D$28)*B21/60</f>
        <v>75184.390243902453</v>
      </c>
      <c r="D21" s="101">
        <f>D20</f>
        <v>0</v>
      </c>
      <c r="E21" s="104">
        <f t="shared" si="21"/>
        <v>75184.390243902453</v>
      </c>
      <c r="F21" s="11"/>
      <c r="G21" s="11"/>
      <c r="H21" s="11"/>
      <c r="I21" s="14">
        <f t="shared" si="10"/>
        <v>15</v>
      </c>
      <c r="J21" s="63">
        <f t="shared" si="11"/>
        <v>299736.16749220155</v>
      </c>
      <c r="K21" s="63">
        <f t="shared" si="1"/>
        <v>1323.9434736167518</v>
      </c>
      <c r="L21" s="63">
        <f t="shared" si="12"/>
        <v>-7214.6053613991253</v>
      </c>
      <c r="M21" s="65">
        <f t="shared" si="0"/>
        <v>293845.50560441916</v>
      </c>
      <c r="O21" s="14">
        <f t="shared" si="13"/>
        <v>15</v>
      </c>
      <c r="P21" s="54">
        <f t="shared" si="14"/>
        <v>7801.875</v>
      </c>
      <c r="Q21" s="63">
        <f t="shared" si="15"/>
        <v>17063.568083076309</v>
      </c>
      <c r="R21" s="77">
        <f t="shared" si="2"/>
        <v>-7214.6053613991253</v>
      </c>
      <c r="S21" s="63">
        <f t="shared" si="16"/>
        <v>-3012.1951219512193</v>
      </c>
      <c r="T21" s="63"/>
      <c r="U21" s="63">
        <f t="shared" si="17"/>
        <v>-853.17840415381545</v>
      </c>
      <c r="V21" s="77">
        <f t="shared" si="20"/>
        <v>-583.66928353658534</v>
      </c>
      <c r="W21" s="83">
        <f t="shared" si="4"/>
        <v>5399.9199120355634</v>
      </c>
      <c r="X21" s="85">
        <f t="shared" si="18"/>
        <v>79655.001957972476</v>
      </c>
      <c r="Z21" s="92">
        <f t="shared" si="19"/>
        <v>272001.21951219509</v>
      </c>
      <c r="AA21" s="5">
        <f t="shared" si="5"/>
        <v>8160.0365853658523</v>
      </c>
      <c r="AB21" s="92">
        <f t="shared" si="6"/>
        <v>280161.25609756092</v>
      </c>
      <c r="AD21" s="133">
        <f t="shared" si="7"/>
        <v>-45182.92682926829</v>
      </c>
      <c r="AE21" s="3">
        <f t="shared" si="8"/>
        <v>1</v>
      </c>
    </row>
    <row r="22" spans="1:31" x14ac:dyDescent="0.45">
      <c r="A22" s="4">
        <f>A21+1</f>
        <v>5</v>
      </c>
      <c r="B22" s="5">
        <f>B21+12</f>
        <v>60</v>
      </c>
      <c r="C22" s="92">
        <f>D$27-(D$27+D$28)*B22/60</f>
        <v>3614.6341463414719</v>
      </c>
      <c r="D22" s="101">
        <f>D21</f>
        <v>0</v>
      </c>
      <c r="E22" s="104">
        <f t="shared" si="21"/>
        <v>3614.6341463414719</v>
      </c>
      <c r="F22" s="11"/>
      <c r="G22" s="11"/>
      <c r="H22" s="11"/>
      <c r="I22" s="14">
        <f t="shared" si="10"/>
        <v>16</v>
      </c>
      <c r="J22" s="63">
        <f t="shared" si="11"/>
        <v>293845.50560441916</v>
      </c>
      <c r="K22" s="63">
        <f t="shared" si="1"/>
        <v>1297.9242466850692</v>
      </c>
      <c r="L22" s="63">
        <f t="shared" si="12"/>
        <v>-7214.6053613991253</v>
      </c>
      <c r="M22" s="65">
        <f t="shared" si="0"/>
        <v>287928.82448970509</v>
      </c>
      <c r="O22" s="14">
        <f t="shared" si="13"/>
        <v>16</v>
      </c>
      <c r="P22" s="54">
        <f t="shared" si="14"/>
        <v>8322</v>
      </c>
      <c r="Q22" s="63">
        <f t="shared" si="15"/>
        <v>17063.568083076309</v>
      </c>
      <c r="R22" s="77">
        <f t="shared" si="2"/>
        <v>-7214.6053613991253</v>
      </c>
      <c r="S22" s="63">
        <f t="shared" si="16"/>
        <v>-3012.1951219512193</v>
      </c>
      <c r="T22" s="63"/>
      <c r="U22" s="63">
        <f t="shared" si="17"/>
        <v>-853.17840415381545</v>
      </c>
      <c r="V22" s="77">
        <f t="shared" si="20"/>
        <v>-570.87121951219501</v>
      </c>
      <c r="W22" s="83">
        <f t="shared" si="4"/>
        <v>5412.7179760599538</v>
      </c>
      <c r="X22" s="85">
        <f t="shared" si="18"/>
        <v>85067.71993403243</v>
      </c>
      <c r="Z22" s="92">
        <f t="shared" si="19"/>
        <v>266037.07317073166</v>
      </c>
      <c r="AA22" s="5">
        <f t="shared" si="5"/>
        <v>7981.1121951219493</v>
      </c>
      <c r="AB22" s="92">
        <f t="shared" si="6"/>
        <v>274018.1853658536</v>
      </c>
      <c r="AD22" s="133">
        <f t="shared" si="7"/>
        <v>-48195.121951219509</v>
      </c>
      <c r="AE22" s="3">
        <f t="shared" si="8"/>
        <v>1</v>
      </c>
    </row>
    <row r="23" spans="1:31" ht="14.65" thickBot="1" x14ac:dyDescent="0.5">
      <c r="A23" s="6">
        <f>A22+1</f>
        <v>6</v>
      </c>
      <c r="B23" s="7">
        <f>B22+12</f>
        <v>72</v>
      </c>
      <c r="C23" s="93">
        <v>1</v>
      </c>
      <c r="D23" s="102">
        <f>D22</f>
        <v>0</v>
      </c>
      <c r="E23" s="105">
        <f t="shared" si="21"/>
        <v>1</v>
      </c>
      <c r="H23" s="11"/>
      <c r="I23" s="14">
        <f t="shared" si="10"/>
        <v>17</v>
      </c>
      <c r="J23" s="63">
        <f t="shared" si="11"/>
        <v>287928.82448970509</v>
      </c>
      <c r="K23" s="63">
        <f t="shared" si="1"/>
        <v>1271.7900920622342</v>
      </c>
      <c r="L23" s="63">
        <f t="shared" si="12"/>
        <v>-7214.6053613991253</v>
      </c>
      <c r="M23" s="65">
        <f t="shared" si="0"/>
        <v>281986.00922036823</v>
      </c>
      <c r="O23" s="14">
        <f t="shared" si="13"/>
        <v>17</v>
      </c>
      <c r="P23" s="54">
        <f t="shared" si="14"/>
        <v>8842.125</v>
      </c>
      <c r="Q23" s="63">
        <f t="shared" si="15"/>
        <v>17063.568083076309</v>
      </c>
      <c r="R23" s="77">
        <f t="shared" si="2"/>
        <v>-7214.6053613991253</v>
      </c>
      <c r="S23" s="63">
        <f t="shared" si="16"/>
        <v>-3012.1951219512193</v>
      </c>
      <c r="T23" s="63"/>
      <c r="U23" s="63">
        <f t="shared" si="17"/>
        <v>-853.17840415381545</v>
      </c>
      <c r="V23" s="77">
        <f t="shared" si="20"/>
        <v>-558.07315548780491</v>
      </c>
      <c r="W23" s="83">
        <f t="shared" si="4"/>
        <v>5425.5160400843442</v>
      </c>
      <c r="X23" s="85">
        <f t="shared" si="18"/>
        <v>90493.235974116775</v>
      </c>
      <c r="Z23" s="92">
        <f t="shared" si="19"/>
        <v>260072.92682926828</v>
      </c>
      <c r="AA23" s="5">
        <f t="shared" si="5"/>
        <v>7802.1878048780482</v>
      </c>
      <c r="AB23" s="92">
        <f t="shared" si="6"/>
        <v>267875.11463414633</v>
      </c>
      <c r="AD23" s="133">
        <f t="shared" si="7"/>
        <v>-51207.317073170729</v>
      </c>
      <c r="AE23" s="3">
        <f t="shared" si="8"/>
        <v>1</v>
      </c>
    </row>
    <row r="24" spans="1:31" ht="14.65" thickBot="1" x14ac:dyDescent="0.5">
      <c r="H24" s="11"/>
      <c r="I24" s="14">
        <f>I23+1</f>
        <v>18</v>
      </c>
      <c r="J24" s="63">
        <f t="shared" si="11"/>
        <v>281986.00922036823</v>
      </c>
      <c r="K24" s="63">
        <f t="shared" si="1"/>
        <v>1245.5405021092524</v>
      </c>
      <c r="L24" s="63">
        <f t="shared" si="12"/>
        <v>-7214.6053613991253</v>
      </c>
      <c r="M24" s="65">
        <f t="shared" si="0"/>
        <v>276016.94436107838</v>
      </c>
      <c r="O24" s="14">
        <f>O23+1</f>
        <v>18</v>
      </c>
      <c r="P24" s="54">
        <f t="shared" si="14"/>
        <v>9362.25</v>
      </c>
      <c r="Q24" s="63">
        <f t="shared" si="15"/>
        <v>17063.568083076309</v>
      </c>
      <c r="R24" s="77">
        <f t="shared" si="2"/>
        <v>-7214.6053613991253</v>
      </c>
      <c r="S24" s="63">
        <f t="shared" si="16"/>
        <v>-3012.1951219512193</v>
      </c>
      <c r="T24" s="63"/>
      <c r="U24" s="63">
        <f t="shared" si="17"/>
        <v>-853.17840415381545</v>
      </c>
      <c r="V24" s="77">
        <f t="shared" si="20"/>
        <v>-545.2750914634147</v>
      </c>
      <c r="W24" s="83">
        <f t="shared" si="4"/>
        <v>5438.3141041087347</v>
      </c>
      <c r="X24" s="85">
        <f t="shared" si="18"/>
        <v>95931.550078225511</v>
      </c>
      <c r="Z24" s="92">
        <f t="shared" si="19"/>
        <v>254108.78048780488</v>
      </c>
      <c r="AA24" s="5">
        <f t="shared" si="5"/>
        <v>7623.2634146341461</v>
      </c>
      <c r="AB24" s="92">
        <f t="shared" si="6"/>
        <v>261732.04390243904</v>
      </c>
      <c r="AD24" s="133">
        <f t="shared" si="7"/>
        <v>-54219.512195121948</v>
      </c>
      <c r="AE24" s="3">
        <f t="shared" si="8"/>
        <v>1</v>
      </c>
    </row>
    <row r="25" spans="1:31" ht="32.25" customHeight="1" thickBot="1" x14ac:dyDescent="0.5">
      <c r="A25" s="664" t="s">
        <v>21</v>
      </c>
      <c r="B25" s="665"/>
      <c r="C25" s="665"/>
      <c r="D25" s="665"/>
      <c r="E25" s="665"/>
      <c r="F25" s="665"/>
      <c r="G25" s="666"/>
      <c r="H25" s="11"/>
      <c r="I25" s="14">
        <f t="shared" si="10"/>
        <v>19</v>
      </c>
      <c r="J25" s="63">
        <f t="shared" si="11"/>
        <v>276016.94436107838</v>
      </c>
      <c r="K25" s="63">
        <f t="shared" si="1"/>
        <v>1219.1749669448734</v>
      </c>
      <c r="L25" s="63">
        <f t="shared" si="12"/>
        <v>-7214.6053613991253</v>
      </c>
      <c r="M25" s="65">
        <f t="shared" si="0"/>
        <v>270021.5139666241</v>
      </c>
      <c r="O25" s="14">
        <f t="shared" si="13"/>
        <v>19</v>
      </c>
      <c r="P25" s="54">
        <f t="shared" si="14"/>
        <v>9882.375</v>
      </c>
      <c r="Q25" s="63">
        <f t="shared" si="15"/>
        <v>17063.568083076309</v>
      </c>
      <c r="R25" s="77">
        <f t="shared" si="2"/>
        <v>-7214.6053613991253</v>
      </c>
      <c r="S25" s="63">
        <f t="shared" si="16"/>
        <v>-3012.1951219512193</v>
      </c>
      <c r="T25" s="63"/>
      <c r="U25" s="63">
        <f t="shared" si="17"/>
        <v>-853.17840415381545</v>
      </c>
      <c r="V25" s="77">
        <f t="shared" si="20"/>
        <v>-532.47702743902437</v>
      </c>
      <c r="W25" s="83">
        <f t="shared" si="4"/>
        <v>5451.1121681331242</v>
      </c>
      <c r="X25" s="85">
        <f t="shared" si="18"/>
        <v>101382.66224635864</v>
      </c>
      <c r="Z25" s="92">
        <f t="shared" si="19"/>
        <v>248144.63414634144</v>
      </c>
      <c r="AA25" s="5">
        <f t="shared" si="5"/>
        <v>7444.3390243902431</v>
      </c>
      <c r="AB25" s="92">
        <f t="shared" si="6"/>
        <v>255588.97317073168</v>
      </c>
      <c r="AD25" s="133">
        <f t="shared" si="7"/>
        <v>-57231.707317073167</v>
      </c>
      <c r="AE25" s="3">
        <f t="shared" si="8"/>
        <v>1</v>
      </c>
    </row>
    <row r="26" spans="1:31" ht="28.9" thickBot="1" x14ac:dyDescent="0.5">
      <c r="A26" s="26" t="s">
        <v>0</v>
      </c>
      <c r="B26" s="27" t="s">
        <v>1</v>
      </c>
      <c r="C26" s="43" t="s">
        <v>22</v>
      </c>
      <c r="D26" s="43" t="s">
        <v>10</v>
      </c>
      <c r="E26" s="43" t="s">
        <v>23</v>
      </c>
      <c r="F26" s="43" t="s">
        <v>24</v>
      </c>
      <c r="G26" s="44" t="s">
        <v>25</v>
      </c>
      <c r="H26" s="11"/>
      <c r="I26" s="14">
        <f t="shared" si="10"/>
        <v>20</v>
      </c>
      <c r="J26" s="63">
        <f t="shared" si="11"/>
        <v>270021.5139666241</v>
      </c>
      <c r="K26" s="63">
        <f t="shared" si="1"/>
        <v>1192.6929744356853</v>
      </c>
      <c r="L26" s="63">
        <f t="shared" si="12"/>
        <v>-7214.6053613991253</v>
      </c>
      <c r="M26" s="65">
        <f t="shared" si="0"/>
        <v>263999.60157966067</v>
      </c>
      <c r="O26" s="14">
        <f t="shared" si="13"/>
        <v>20</v>
      </c>
      <c r="P26" s="54">
        <f t="shared" si="14"/>
        <v>10402.5</v>
      </c>
      <c r="Q26" s="63">
        <f t="shared" si="15"/>
        <v>17063.568083076309</v>
      </c>
      <c r="R26" s="77">
        <f t="shared" si="2"/>
        <v>-7214.6053613991253</v>
      </c>
      <c r="S26" s="63">
        <f t="shared" si="16"/>
        <v>-3012.1951219512193</v>
      </c>
      <c r="T26" s="63"/>
      <c r="U26" s="63">
        <f t="shared" si="17"/>
        <v>-853.17840415381545</v>
      </c>
      <c r="V26" s="77">
        <f t="shared" si="20"/>
        <v>-519.67896341463415</v>
      </c>
      <c r="W26" s="83">
        <f t="shared" si="4"/>
        <v>5463.9102321575147</v>
      </c>
      <c r="X26" s="85">
        <f t="shared" si="18"/>
        <v>106846.57247851616</v>
      </c>
      <c r="Z26" s="92">
        <f t="shared" si="19"/>
        <v>242180.48780487804</v>
      </c>
      <c r="AA26" s="5">
        <f t="shared" si="5"/>
        <v>7265.4146341463411</v>
      </c>
      <c r="AB26" s="92">
        <f t="shared" si="6"/>
        <v>249445.90243902439</v>
      </c>
      <c r="AD26" s="133">
        <f t="shared" si="7"/>
        <v>-60243.902439024387</v>
      </c>
      <c r="AE26" s="3">
        <f t="shared" si="8"/>
        <v>1</v>
      </c>
    </row>
    <row r="27" spans="1:31" x14ac:dyDescent="0.45">
      <c r="A27" s="8">
        <v>1</v>
      </c>
      <c r="B27" s="9" t="s">
        <v>16</v>
      </c>
      <c r="C27" s="48">
        <v>1</v>
      </c>
      <c r="D27" s="153">
        <f>+F7</f>
        <v>361463.41463414632</v>
      </c>
      <c r="E27" s="523">
        <f>+'Summary Equip'!AE6</f>
        <v>0.8</v>
      </c>
      <c r="F27" s="62">
        <f>E27*D27</f>
        <v>289170.73170731706</v>
      </c>
      <c r="G27" s="60">
        <f>D27-F27</f>
        <v>72292.682926829264</v>
      </c>
      <c r="H27" s="11"/>
      <c r="I27" s="14">
        <f t="shared" si="10"/>
        <v>21</v>
      </c>
      <c r="J27" s="63">
        <f t="shared" si="11"/>
        <v>263999.60157966067</v>
      </c>
      <c r="K27" s="63">
        <f t="shared" si="1"/>
        <v>1166.0940101861688</v>
      </c>
      <c r="L27" s="63">
        <f t="shared" si="12"/>
        <v>-7214.6053613991253</v>
      </c>
      <c r="M27" s="65">
        <f t="shared" si="0"/>
        <v>257951.09022844769</v>
      </c>
      <c r="O27" s="14">
        <f t="shared" si="13"/>
        <v>21</v>
      </c>
      <c r="P27" s="54">
        <f t="shared" si="14"/>
        <v>10922.625</v>
      </c>
      <c r="Q27" s="63">
        <f t="shared" si="15"/>
        <v>17063.568083076309</v>
      </c>
      <c r="R27" s="77">
        <f t="shared" si="2"/>
        <v>-7214.6053613991253</v>
      </c>
      <c r="S27" s="63">
        <f t="shared" si="16"/>
        <v>-3012.1951219512193</v>
      </c>
      <c r="T27" s="63"/>
      <c r="U27" s="63">
        <f t="shared" si="17"/>
        <v>-853.17840415381545</v>
      </c>
      <c r="V27" s="77">
        <f t="shared" si="20"/>
        <v>-506.88089939024388</v>
      </c>
      <c r="W27" s="83">
        <f t="shared" si="4"/>
        <v>5476.7082961819051</v>
      </c>
      <c r="X27" s="85">
        <f t="shared" si="18"/>
        <v>112323.28077469807</v>
      </c>
      <c r="Z27" s="92">
        <f t="shared" si="19"/>
        <v>236216.3414634146</v>
      </c>
      <c r="AA27" s="5">
        <f t="shared" si="5"/>
        <v>7086.4902439024381</v>
      </c>
      <c r="AB27" s="92">
        <f t="shared" si="6"/>
        <v>243302.83170731703</v>
      </c>
      <c r="AD27" s="133">
        <f t="shared" si="7"/>
        <v>-63256.097560975606</v>
      </c>
      <c r="AE27" s="3">
        <f t="shared" si="8"/>
        <v>1</v>
      </c>
    </row>
    <row r="28" spans="1:31" x14ac:dyDescent="0.45">
      <c r="A28" s="4">
        <f>A27+1</f>
        <v>2</v>
      </c>
      <c r="B28" s="5" t="s">
        <v>12</v>
      </c>
      <c r="C28" s="19">
        <f>C11</f>
        <v>0.01</v>
      </c>
      <c r="D28" s="300">
        <f>-C28*D27</f>
        <v>-3614.6341463414633</v>
      </c>
      <c r="E28" s="19">
        <f>+E27</f>
        <v>0.8</v>
      </c>
      <c r="F28" s="63">
        <f t="shared" ref="F28:F33" si="22">E28*D28</f>
        <v>-2891.707317073171</v>
      </c>
      <c r="G28" s="65">
        <f>D28-F28</f>
        <v>-722.92682926829229</v>
      </c>
      <c r="H28" s="11"/>
      <c r="I28" s="14">
        <f t="shared" si="10"/>
        <v>22</v>
      </c>
      <c r="J28" s="63">
        <f t="shared" si="11"/>
        <v>257951.09022844769</v>
      </c>
      <c r="K28" s="63">
        <f t="shared" si="1"/>
        <v>1139.3775575287043</v>
      </c>
      <c r="L28" s="63">
        <f t="shared" si="12"/>
        <v>-7214.6053613991253</v>
      </c>
      <c r="M28" s="65">
        <f t="shared" si="0"/>
        <v>251875.86242457727</v>
      </c>
      <c r="O28" s="14">
        <f t="shared" si="13"/>
        <v>22</v>
      </c>
      <c r="P28" s="54">
        <f t="shared" si="14"/>
        <v>11442.75</v>
      </c>
      <c r="Q28" s="63">
        <f t="shared" si="15"/>
        <v>17063.568083076309</v>
      </c>
      <c r="R28" s="77">
        <f t="shared" si="2"/>
        <v>-7214.6053613991253</v>
      </c>
      <c r="S28" s="63">
        <f t="shared" si="16"/>
        <v>-3012.1951219512193</v>
      </c>
      <c r="T28" s="63"/>
      <c r="U28" s="63">
        <f t="shared" si="17"/>
        <v>-853.17840415381545</v>
      </c>
      <c r="V28" s="77">
        <f t="shared" si="20"/>
        <v>-494.08283536585367</v>
      </c>
      <c r="W28" s="83">
        <f t="shared" si="4"/>
        <v>5489.5063602062955</v>
      </c>
      <c r="X28" s="85">
        <f t="shared" si="18"/>
        <v>117812.78713490437</v>
      </c>
      <c r="Z28" s="92">
        <f t="shared" si="19"/>
        <v>230252.1951219512</v>
      </c>
      <c r="AA28" s="5">
        <f t="shared" si="5"/>
        <v>6907.5658536585361</v>
      </c>
      <c r="AB28" s="92">
        <f t="shared" si="6"/>
        <v>237159.76097560974</v>
      </c>
      <c r="AD28" s="133">
        <f t="shared" si="7"/>
        <v>-66268.292682926825</v>
      </c>
      <c r="AE28" s="3">
        <f t="shared" si="8"/>
        <v>1</v>
      </c>
    </row>
    <row r="29" spans="1:31" x14ac:dyDescent="0.45">
      <c r="A29" s="4">
        <f t="shared" ref="A29:A34" si="23">A28+1</f>
        <v>3</v>
      </c>
      <c r="B29" s="5" t="s">
        <v>17</v>
      </c>
      <c r="C29" s="522">
        <f>C8</f>
        <v>5.2999999999999999E-2</v>
      </c>
      <c r="D29" s="63">
        <f>K67</f>
        <v>50909.441930107198</v>
      </c>
      <c r="E29" s="19">
        <v>1</v>
      </c>
      <c r="F29" s="63">
        <f t="shared" si="22"/>
        <v>50909.441930107198</v>
      </c>
      <c r="G29" s="65">
        <f>D29-F29</f>
        <v>0</v>
      </c>
      <c r="H29" s="11"/>
      <c r="I29" s="14">
        <f t="shared" si="10"/>
        <v>23</v>
      </c>
      <c r="J29" s="63">
        <f t="shared" si="11"/>
        <v>251875.86242457727</v>
      </c>
      <c r="K29" s="63">
        <f t="shared" si="1"/>
        <v>1112.5430975135359</v>
      </c>
      <c r="L29" s="63">
        <f t="shared" si="12"/>
        <v>-7214.6053613991253</v>
      </c>
      <c r="M29" s="65">
        <f t="shared" si="0"/>
        <v>245773.80016069167</v>
      </c>
      <c r="O29" s="14">
        <f t="shared" si="13"/>
        <v>23</v>
      </c>
      <c r="P29" s="54">
        <f t="shared" si="14"/>
        <v>11962.875</v>
      </c>
      <c r="Q29" s="63">
        <f t="shared" si="15"/>
        <v>17063.568083076309</v>
      </c>
      <c r="R29" s="77">
        <f t="shared" si="2"/>
        <v>-7214.6053613991253</v>
      </c>
      <c r="S29" s="63">
        <f t="shared" si="16"/>
        <v>-3012.1951219512193</v>
      </c>
      <c r="T29" s="63"/>
      <c r="U29" s="63">
        <f t="shared" si="17"/>
        <v>-853.17840415381545</v>
      </c>
      <c r="V29" s="77">
        <f t="shared" si="20"/>
        <v>-481.28477134146334</v>
      </c>
      <c r="W29" s="83">
        <f t="shared" si="4"/>
        <v>5502.304424230686</v>
      </c>
      <c r="X29" s="85">
        <f t="shared" si="18"/>
        <v>123315.09155913506</v>
      </c>
      <c r="Z29" s="92">
        <f t="shared" si="19"/>
        <v>224288.04878048779</v>
      </c>
      <c r="AA29" s="5">
        <f t="shared" si="5"/>
        <v>6728.6414634146331</v>
      </c>
      <c r="AB29" s="92">
        <f t="shared" si="6"/>
        <v>231016.69024390241</v>
      </c>
      <c r="AD29" s="133">
        <f t="shared" si="7"/>
        <v>-69280.487804878037</v>
      </c>
      <c r="AE29" s="3">
        <f t="shared" si="8"/>
        <v>1</v>
      </c>
    </row>
    <row r="30" spans="1:31" x14ac:dyDescent="0.45">
      <c r="A30" s="4">
        <f t="shared" si="23"/>
        <v>4</v>
      </c>
      <c r="B30" s="5" t="s">
        <v>6</v>
      </c>
      <c r="C30" s="23">
        <f>C9</f>
        <v>2.5000000000000001E-2</v>
      </c>
      <c r="D30" s="63">
        <f>-V67</f>
        <v>22180.208414634148</v>
      </c>
      <c r="E30" s="19">
        <v>1</v>
      </c>
      <c r="F30" s="63">
        <f t="shared" si="22"/>
        <v>22180.208414634148</v>
      </c>
      <c r="G30" s="65">
        <f>D30-F30</f>
        <v>0</v>
      </c>
      <c r="H30" s="11"/>
      <c r="I30" s="14">
        <f t="shared" si="10"/>
        <v>24</v>
      </c>
      <c r="J30" s="63">
        <f t="shared" si="11"/>
        <v>245773.80016069167</v>
      </c>
      <c r="K30" s="63">
        <f t="shared" si="1"/>
        <v>1085.5901088986916</v>
      </c>
      <c r="L30" s="63">
        <f t="shared" si="12"/>
        <v>-7214.6053613991253</v>
      </c>
      <c r="M30" s="65">
        <f t="shared" si="0"/>
        <v>239644.78490819124</v>
      </c>
      <c r="O30" s="14">
        <f t="shared" si="13"/>
        <v>24</v>
      </c>
      <c r="P30" s="54">
        <f t="shared" si="14"/>
        <v>12483</v>
      </c>
      <c r="Q30" s="63">
        <f t="shared" si="15"/>
        <v>17063.568083076309</v>
      </c>
      <c r="R30" s="77">
        <f t="shared" si="2"/>
        <v>-7214.6053613991253</v>
      </c>
      <c r="S30" s="63">
        <f t="shared" si="16"/>
        <v>-3012.1951219512193</v>
      </c>
      <c r="T30" s="63"/>
      <c r="U30" s="63">
        <f t="shared" si="17"/>
        <v>-853.17840415381545</v>
      </c>
      <c r="V30" s="77">
        <f t="shared" si="20"/>
        <v>-468.48670731707324</v>
      </c>
      <c r="W30" s="83">
        <f t="shared" si="4"/>
        <v>5515.1024882550755</v>
      </c>
      <c r="X30" s="85">
        <f t="shared" si="18"/>
        <v>128830.19404739013</v>
      </c>
      <c r="Z30" s="92">
        <f t="shared" si="19"/>
        <v>218323.90243902439</v>
      </c>
      <c r="AA30" s="5">
        <f t="shared" si="5"/>
        <v>6549.7170731707311</v>
      </c>
      <c r="AB30" s="92">
        <f t="shared" si="6"/>
        <v>224873.61951219512</v>
      </c>
      <c r="AD30" s="133">
        <f t="shared" si="7"/>
        <v>-72292.682926829264</v>
      </c>
      <c r="AE30" s="3">
        <f t="shared" si="8"/>
        <v>1</v>
      </c>
    </row>
    <row r="31" spans="1:31" x14ac:dyDescent="0.45">
      <c r="A31" s="4">
        <f t="shared" si="23"/>
        <v>5</v>
      </c>
      <c r="B31" s="5" t="s">
        <v>27</v>
      </c>
      <c r="C31" s="334">
        <f>+'Summary Equip'!AH6</f>
        <v>0.5</v>
      </c>
      <c r="D31" s="63">
        <f>D27*C31</f>
        <v>180731.70731707316</v>
      </c>
      <c r="E31" s="334">
        <f>+ASSUMPTIONS!B43</f>
        <v>0.1</v>
      </c>
      <c r="F31" s="63">
        <f t="shared" si="22"/>
        <v>18073.170731707316</v>
      </c>
      <c r="G31" s="65">
        <f>D31</f>
        <v>180731.70731707316</v>
      </c>
      <c r="H31" s="11"/>
      <c r="I31" s="14">
        <f t="shared" si="10"/>
        <v>25</v>
      </c>
      <c r="J31" s="63">
        <f t="shared" si="11"/>
        <v>239644.78490819124</v>
      </c>
      <c r="K31" s="63">
        <f t="shared" si="1"/>
        <v>1058.5180681398579</v>
      </c>
      <c r="L31" s="63">
        <f t="shared" si="12"/>
        <v>-7214.6053613991253</v>
      </c>
      <c r="M31" s="65">
        <f t="shared" si="0"/>
        <v>233488.69761493197</v>
      </c>
      <c r="O31" s="14">
        <f t="shared" si="13"/>
        <v>25</v>
      </c>
      <c r="P31" s="54">
        <f t="shared" si="14"/>
        <v>13003.125</v>
      </c>
      <c r="Q31" s="63">
        <f t="shared" si="15"/>
        <v>17063.568083076309</v>
      </c>
      <c r="R31" s="77">
        <f t="shared" si="2"/>
        <v>-7214.6053613991253</v>
      </c>
      <c r="S31" s="63">
        <f t="shared" si="16"/>
        <v>-3012.1951219512193</v>
      </c>
      <c r="T31" s="63"/>
      <c r="U31" s="63">
        <f t="shared" si="17"/>
        <v>-853.17840415381545</v>
      </c>
      <c r="V31" s="77">
        <f t="shared" si="20"/>
        <v>-455.68864329268291</v>
      </c>
      <c r="W31" s="83">
        <f t="shared" si="4"/>
        <v>5527.900552279466</v>
      </c>
      <c r="X31" s="85">
        <f t="shared" si="18"/>
        <v>134358.0945996696</v>
      </c>
      <c r="Z31" s="92">
        <f t="shared" si="19"/>
        <v>212359.75609756095</v>
      </c>
      <c r="AA31" s="5">
        <f t="shared" si="5"/>
        <v>6370.7926829268281</v>
      </c>
      <c r="AB31" s="92">
        <f t="shared" si="6"/>
        <v>218730.54878048779</v>
      </c>
      <c r="AD31" s="133">
        <f t="shared" si="7"/>
        <v>-75304.878048780491</v>
      </c>
      <c r="AE31" s="3">
        <f t="shared" si="8"/>
        <v>1</v>
      </c>
    </row>
    <row r="32" spans="1:31" x14ac:dyDescent="0.45">
      <c r="A32" s="4">
        <f t="shared" si="23"/>
        <v>6</v>
      </c>
      <c r="B32" s="5" t="s">
        <v>26</v>
      </c>
      <c r="C32" s="335">
        <f>+'Summary Equip'!AI6</f>
        <v>0.15</v>
      </c>
      <c r="D32" s="63">
        <f>D27*C32</f>
        <v>54219.512195121948</v>
      </c>
      <c r="E32" s="334">
        <f>+ASSUMPTIONS!B44</f>
        <v>0.05</v>
      </c>
      <c r="F32" s="63">
        <f t="shared" si="22"/>
        <v>2710.9756097560976</v>
      </c>
      <c r="G32" s="65">
        <f>D32</f>
        <v>54219.512195121948</v>
      </c>
      <c r="H32" s="11"/>
      <c r="I32" s="14">
        <f t="shared" si="10"/>
        <v>26</v>
      </c>
      <c r="J32" s="63">
        <f t="shared" si="11"/>
        <v>233488.69761493197</v>
      </c>
      <c r="K32" s="63">
        <f t="shared" si="1"/>
        <v>1031.3264493802108</v>
      </c>
      <c r="L32" s="63">
        <f t="shared" si="12"/>
        <v>-7214.6053613991253</v>
      </c>
      <c r="M32" s="65">
        <f t="shared" si="0"/>
        <v>227305.41870291304</v>
      </c>
      <c r="O32" s="14">
        <f t="shared" si="13"/>
        <v>26</v>
      </c>
      <c r="P32" s="54">
        <f t="shared" si="14"/>
        <v>13523.25</v>
      </c>
      <c r="Q32" s="63">
        <f t="shared" si="15"/>
        <v>17063.568083076309</v>
      </c>
      <c r="R32" s="77">
        <f t="shared" si="2"/>
        <v>-7214.6053613991253</v>
      </c>
      <c r="S32" s="63">
        <f t="shared" si="16"/>
        <v>-3012.1951219512193</v>
      </c>
      <c r="T32" s="63"/>
      <c r="U32" s="63">
        <f t="shared" si="17"/>
        <v>-853.17840415381545</v>
      </c>
      <c r="V32" s="77">
        <f t="shared" si="20"/>
        <v>-442.8905792682927</v>
      </c>
      <c r="W32" s="83">
        <f t="shared" si="4"/>
        <v>5540.6986163038564</v>
      </c>
      <c r="X32" s="85">
        <f t="shared" si="18"/>
        <v>139898.79321597345</v>
      </c>
      <c r="Z32" s="92">
        <f t="shared" si="19"/>
        <v>206395.60975609758</v>
      </c>
      <c r="AA32" s="5">
        <f t="shared" si="5"/>
        <v>6191.8682926829269</v>
      </c>
      <c r="AB32" s="92">
        <f t="shared" si="6"/>
        <v>212587.4780487805</v>
      </c>
      <c r="AD32" s="133">
        <f t="shared" si="7"/>
        <v>-78317.073170731717</v>
      </c>
      <c r="AE32" s="3">
        <f t="shared" si="8"/>
        <v>1</v>
      </c>
    </row>
    <row r="33" spans="1:31" ht="14.65" thickBot="1" x14ac:dyDescent="0.5">
      <c r="A33" s="6">
        <f t="shared" si="23"/>
        <v>7</v>
      </c>
      <c r="B33" s="7" t="s">
        <v>32</v>
      </c>
      <c r="C33" s="336">
        <f>+'Summary Equip'!AJ6</f>
        <v>0.03</v>
      </c>
      <c r="D33" s="64">
        <f>D27*C33</f>
        <v>10843.902439024389</v>
      </c>
      <c r="E33" s="334">
        <f>+ASSUMPTIONS!B45</f>
        <v>0</v>
      </c>
      <c r="F33" s="64">
        <f t="shared" si="22"/>
        <v>0</v>
      </c>
      <c r="G33" s="66">
        <f>D33</f>
        <v>10843.902439024389</v>
      </c>
      <c r="H33" s="11"/>
      <c r="I33" s="14">
        <f t="shared" si="10"/>
        <v>27</v>
      </c>
      <c r="J33" s="63">
        <f t="shared" si="11"/>
        <v>227305.41870291304</v>
      </c>
      <c r="K33" s="63">
        <f t="shared" si="1"/>
        <v>1004.0147244402016</v>
      </c>
      <c r="L33" s="63">
        <f t="shared" si="12"/>
        <v>-7214.6053613991253</v>
      </c>
      <c r="M33" s="65">
        <f t="shared" si="0"/>
        <v>221094.82806595412</v>
      </c>
      <c r="O33" s="14">
        <f t="shared" si="13"/>
        <v>27</v>
      </c>
      <c r="P33" s="54">
        <f t="shared" si="14"/>
        <v>14043.375</v>
      </c>
      <c r="Q33" s="63">
        <f t="shared" si="15"/>
        <v>17063.568083076309</v>
      </c>
      <c r="R33" s="77">
        <f t="shared" si="2"/>
        <v>-7214.6053613991253</v>
      </c>
      <c r="S33" s="63">
        <f t="shared" si="16"/>
        <v>-3012.1951219512193</v>
      </c>
      <c r="T33" s="63"/>
      <c r="U33" s="63">
        <f t="shared" si="17"/>
        <v>-853.17840415381545</v>
      </c>
      <c r="V33" s="77">
        <f t="shared" si="20"/>
        <v>-430.09251524390248</v>
      </c>
      <c r="W33" s="83">
        <f t="shared" si="4"/>
        <v>5553.4966803282468</v>
      </c>
      <c r="X33" s="85">
        <f t="shared" si="18"/>
        <v>145452.28989630169</v>
      </c>
      <c r="Z33" s="92">
        <f t="shared" si="19"/>
        <v>200431.46341463414</v>
      </c>
      <c r="AA33" s="5">
        <f t="shared" si="5"/>
        <v>6012.943902439024</v>
      </c>
      <c r="AB33" s="92">
        <f t="shared" si="6"/>
        <v>206444.40731707317</v>
      </c>
      <c r="AD33" s="133">
        <f t="shared" si="7"/>
        <v>-81329.268292682944</v>
      </c>
      <c r="AE33" s="3">
        <f t="shared" si="8"/>
        <v>1</v>
      </c>
    </row>
    <row r="34" spans="1:31" ht="14.65" thickBot="1" x14ac:dyDescent="0.5">
      <c r="A34" s="33">
        <f t="shared" si="23"/>
        <v>8</v>
      </c>
      <c r="B34" s="30" t="s">
        <v>8</v>
      </c>
      <c r="C34" s="45"/>
      <c r="D34" s="46"/>
      <c r="E34" s="47"/>
      <c r="F34" s="67">
        <f>SUM(F27:F33)</f>
        <v>380152.8210764486</v>
      </c>
      <c r="G34" s="68">
        <f>SUM(G27:G33)</f>
        <v>317364.87804878049</v>
      </c>
      <c r="H34" s="11"/>
      <c r="I34" s="14">
        <f t="shared" si="10"/>
        <v>28</v>
      </c>
      <c r="J34" s="63">
        <f t="shared" si="11"/>
        <v>221094.82806595412</v>
      </c>
      <c r="K34" s="63">
        <f t="shared" si="1"/>
        <v>976.5823628072967</v>
      </c>
      <c r="L34" s="63">
        <f t="shared" si="12"/>
        <v>-7214.6053613991253</v>
      </c>
      <c r="M34" s="65">
        <f t="shared" si="0"/>
        <v>214856.80506736229</v>
      </c>
      <c r="O34" s="14">
        <f t="shared" si="13"/>
        <v>28</v>
      </c>
      <c r="P34" s="54">
        <f t="shared" si="14"/>
        <v>14563.5</v>
      </c>
      <c r="Q34" s="63">
        <f t="shared" si="15"/>
        <v>17063.568083076309</v>
      </c>
      <c r="R34" s="77">
        <f t="shared" si="2"/>
        <v>-7214.6053613991253</v>
      </c>
      <c r="S34" s="63">
        <f t="shared" si="16"/>
        <v>-3012.1951219512193</v>
      </c>
      <c r="T34" s="63"/>
      <c r="U34" s="63">
        <f t="shared" si="17"/>
        <v>-853.17840415381545</v>
      </c>
      <c r="V34" s="77">
        <f t="shared" si="20"/>
        <v>-417.29445121951215</v>
      </c>
      <c r="W34" s="83">
        <f t="shared" si="4"/>
        <v>5566.2947443526373</v>
      </c>
      <c r="X34" s="85">
        <f t="shared" si="18"/>
        <v>151018.58464065433</v>
      </c>
      <c r="Z34" s="92">
        <f t="shared" si="19"/>
        <v>194467.31707317071</v>
      </c>
      <c r="AA34" s="5">
        <f t="shared" si="5"/>
        <v>5834.019512195121</v>
      </c>
      <c r="AB34" s="92">
        <f t="shared" si="6"/>
        <v>200301.33658536582</v>
      </c>
      <c r="AD34" s="133">
        <f t="shared" si="7"/>
        <v>-84341.46341463417</v>
      </c>
      <c r="AE34" s="3">
        <f t="shared" si="8"/>
        <v>1</v>
      </c>
    </row>
    <row r="35" spans="1:31" ht="14.65" thickBot="1" x14ac:dyDescent="0.5">
      <c r="A35" s="31">
        <f>A34+1</f>
        <v>9</v>
      </c>
      <c r="B35" s="32" t="s">
        <v>7</v>
      </c>
      <c r="C35" s="42">
        <f>+C10</f>
        <v>0.05</v>
      </c>
      <c r="D35" s="22"/>
      <c r="E35" s="34"/>
      <c r="F35" s="69">
        <f>F36-F34</f>
        <v>20008.043214549951</v>
      </c>
      <c r="G35" s="70">
        <f>G36-G34</f>
        <v>16703.414634146378</v>
      </c>
      <c r="H35" s="11"/>
      <c r="I35" s="14">
        <f t="shared" si="10"/>
        <v>29</v>
      </c>
      <c r="J35" s="63">
        <f t="shared" si="11"/>
        <v>214856.80506736229</v>
      </c>
      <c r="K35" s="63">
        <f t="shared" si="1"/>
        <v>949.02883162567264</v>
      </c>
      <c r="L35" s="63">
        <f t="shared" si="12"/>
        <v>-7214.6053613991253</v>
      </c>
      <c r="M35" s="65">
        <f t="shared" si="0"/>
        <v>208591.22853758885</v>
      </c>
      <c r="O35" s="14">
        <f t="shared" si="13"/>
        <v>29</v>
      </c>
      <c r="P35" s="54">
        <f t="shared" si="14"/>
        <v>15083.625</v>
      </c>
      <c r="Q35" s="63">
        <f t="shared" si="15"/>
        <v>17063.568083076309</v>
      </c>
      <c r="R35" s="77">
        <f t="shared" si="2"/>
        <v>-7214.6053613991253</v>
      </c>
      <c r="S35" s="63">
        <f t="shared" si="16"/>
        <v>-3012.1951219512193</v>
      </c>
      <c r="T35" s="63"/>
      <c r="U35" s="63">
        <f t="shared" si="17"/>
        <v>-853.17840415381545</v>
      </c>
      <c r="V35" s="77">
        <f t="shared" si="20"/>
        <v>-404.496387195122</v>
      </c>
      <c r="W35" s="83">
        <f t="shared" si="4"/>
        <v>5579.0928083770268</v>
      </c>
      <c r="X35" s="85">
        <f t="shared" si="18"/>
        <v>156597.67744903135</v>
      </c>
      <c r="Z35" s="92">
        <f t="shared" si="19"/>
        <v>188503.17073170733</v>
      </c>
      <c r="AA35" s="5">
        <f t="shared" si="5"/>
        <v>5655.0951219512199</v>
      </c>
      <c r="AB35" s="92">
        <f t="shared" si="6"/>
        <v>194158.26585365855</v>
      </c>
      <c r="AD35" s="133">
        <f t="shared" si="7"/>
        <v>-87353.658536585397</v>
      </c>
      <c r="AE35" s="3">
        <f t="shared" si="8"/>
        <v>1</v>
      </c>
    </row>
    <row r="36" spans="1:31" ht="14.65" thickBot="1" x14ac:dyDescent="0.5">
      <c r="A36" s="37">
        <f>A35+1</f>
        <v>10</v>
      </c>
      <c r="B36" s="38" t="s">
        <v>28</v>
      </c>
      <c r="C36" s="39"/>
      <c r="D36" s="40"/>
      <c r="E36" s="41"/>
      <c r="F36" s="71">
        <f>F34/(100%-C35)</f>
        <v>400160.86429099855</v>
      </c>
      <c r="G36" s="72">
        <f>G34/(100%-C35)</f>
        <v>334068.29268292687</v>
      </c>
      <c r="H36" s="11"/>
      <c r="I36" s="14">
        <f t="shared" si="10"/>
        <v>30</v>
      </c>
      <c r="J36" s="63">
        <f t="shared" si="11"/>
        <v>208591.22853758885</v>
      </c>
      <c r="K36" s="63">
        <f t="shared" si="1"/>
        <v>921.35359568586671</v>
      </c>
      <c r="L36" s="63">
        <f t="shared" si="12"/>
        <v>-7214.6053613991253</v>
      </c>
      <c r="M36" s="65">
        <f t="shared" si="0"/>
        <v>202297.97677187558</v>
      </c>
      <c r="O36" s="14">
        <f t="shared" si="13"/>
        <v>30</v>
      </c>
      <c r="P36" s="54">
        <f t="shared" si="14"/>
        <v>15603.75</v>
      </c>
      <c r="Q36" s="63">
        <f t="shared" si="15"/>
        <v>17063.568083076309</v>
      </c>
      <c r="R36" s="77">
        <f t="shared" si="2"/>
        <v>-7214.6053613991253</v>
      </c>
      <c r="S36" s="63">
        <f t="shared" si="16"/>
        <v>-3012.1951219512193</v>
      </c>
      <c r="T36" s="63">
        <f>-T68*0.5</f>
        <v>-27109.756097560974</v>
      </c>
      <c r="U36" s="63">
        <f t="shared" si="17"/>
        <v>-853.17840415381545</v>
      </c>
      <c r="V36" s="77">
        <f t="shared" si="20"/>
        <v>-391.69832317073173</v>
      </c>
      <c r="W36" s="83">
        <f t="shared" si="4"/>
        <v>-21517.865225159556</v>
      </c>
      <c r="X36" s="85">
        <f t="shared" si="18"/>
        <v>135079.81222387179</v>
      </c>
      <c r="Z36" s="92">
        <f t="shared" si="19"/>
        <v>182539.0243902439</v>
      </c>
      <c r="AA36" s="5">
        <f t="shared" si="5"/>
        <v>5476.1707317073169</v>
      </c>
      <c r="AB36" s="92">
        <f t="shared" si="6"/>
        <v>188015.19512195123</v>
      </c>
      <c r="AD36" s="133">
        <f t="shared" si="7"/>
        <v>-90365.853658536624</v>
      </c>
      <c r="AE36" s="3">
        <f t="shared" si="8"/>
        <v>1</v>
      </c>
    </row>
    <row r="37" spans="1:31" x14ac:dyDescent="0.45">
      <c r="C37" s="11"/>
      <c r="D37" s="11"/>
      <c r="E37" s="11"/>
      <c r="F37" s="11"/>
      <c r="G37" s="11"/>
      <c r="H37" s="11"/>
      <c r="I37" s="14">
        <f t="shared" si="10"/>
        <v>31</v>
      </c>
      <c r="J37" s="63">
        <f t="shared" si="11"/>
        <v>202297.97677187558</v>
      </c>
      <c r="K37" s="63">
        <f t="shared" si="1"/>
        <v>893.55611741437997</v>
      </c>
      <c r="L37" s="63">
        <f t="shared" si="12"/>
        <v>-7214.6053613991253</v>
      </c>
      <c r="M37" s="65">
        <f t="shared" si="0"/>
        <v>195976.92752789083</v>
      </c>
      <c r="O37" s="14">
        <f t="shared" si="13"/>
        <v>31</v>
      </c>
      <c r="P37" s="54">
        <f t="shared" si="14"/>
        <v>16123.875</v>
      </c>
      <c r="Q37" s="63">
        <f t="shared" si="15"/>
        <v>17063.568083076309</v>
      </c>
      <c r="R37" s="77">
        <f t="shared" si="2"/>
        <v>-7214.6053613991253</v>
      </c>
      <c r="S37" s="63">
        <f t="shared" si="16"/>
        <v>-3012.1951219512193</v>
      </c>
      <c r="T37" s="63"/>
      <c r="U37" s="63">
        <f t="shared" si="17"/>
        <v>-853.17840415381545</v>
      </c>
      <c r="V37" s="77">
        <f t="shared" si="20"/>
        <v>-378.90025914634151</v>
      </c>
      <c r="W37" s="83">
        <f t="shared" si="4"/>
        <v>5604.6889364258077</v>
      </c>
      <c r="X37" s="85">
        <f t="shared" si="18"/>
        <v>140684.5011602976</v>
      </c>
      <c r="Z37" s="92">
        <f t="shared" si="19"/>
        <v>176574.87804878049</v>
      </c>
      <c r="AA37" s="5">
        <f t="shared" si="5"/>
        <v>5297.2463414634149</v>
      </c>
      <c r="AB37" s="92">
        <f t="shared" si="6"/>
        <v>181872.1243902439</v>
      </c>
      <c r="AD37" s="133">
        <f t="shared" si="7"/>
        <v>-93378.04878048785</v>
      </c>
      <c r="AE37" s="3">
        <f t="shared" si="8"/>
        <v>1</v>
      </c>
    </row>
    <row r="38" spans="1:31" x14ac:dyDescent="0.45">
      <c r="C38" s="11"/>
      <c r="D38" s="11"/>
      <c r="E38" s="11"/>
      <c r="F38" s="11"/>
      <c r="G38" s="11"/>
      <c r="H38" s="11"/>
      <c r="I38" s="14">
        <f t="shared" si="10"/>
        <v>32</v>
      </c>
      <c r="J38" s="63">
        <f t="shared" si="11"/>
        <v>195976.92752789083</v>
      </c>
      <c r="K38" s="63">
        <f t="shared" si="1"/>
        <v>865.63585686323574</v>
      </c>
      <c r="L38" s="63">
        <f t="shared" si="12"/>
        <v>-7214.6053613991253</v>
      </c>
      <c r="M38" s="65">
        <f t="shared" si="0"/>
        <v>189627.95802335493</v>
      </c>
      <c r="O38" s="14">
        <f t="shared" si="13"/>
        <v>32</v>
      </c>
      <c r="P38" s="54">
        <f t="shared" si="14"/>
        <v>16644</v>
      </c>
      <c r="Q38" s="63">
        <f t="shared" si="15"/>
        <v>17063.568083076309</v>
      </c>
      <c r="R38" s="77">
        <f t="shared" si="2"/>
        <v>-7214.6053613991253</v>
      </c>
      <c r="S38" s="63">
        <f t="shared" si="16"/>
        <v>-3012.1951219512193</v>
      </c>
      <c r="T38" s="63"/>
      <c r="U38" s="63">
        <f t="shared" si="17"/>
        <v>-853.17840415381545</v>
      </c>
      <c r="V38" s="77">
        <f t="shared" si="20"/>
        <v>-366.10219512195118</v>
      </c>
      <c r="W38" s="83">
        <f t="shared" si="4"/>
        <v>5617.4870004501981</v>
      </c>
      <c r="X38" s="85">
        <f t="shared" si="18"/>
        <v>146301.9881607478</v>
      </c>
      <c r="Z38" s="92">
        <f t="shared" si="19"/>
        <v>170610.73170731706</v>
      </c>
      <c r="AA38" s="5">
        <f t="shared" si="5"/>
        <v>5118.3219512195119</v>
      </c>
      <c r="AB38" s="92">
        <f t="shared" si="6"/>
        <v>175729.05365853658</v>
      </c>
      <c r="AD38" s="133">
        <f t="shared" si="7"/>
        <v>-96390.243902439077</v>
      </c>
      <c r="AE38" s="3">
        <f t="shared" si="8"/>
        <v>1</v>
      </c>
    </row>
    <row r="39" spans="1:31" x14ac:dyDescent="0.45">
      <c r="C39" s="11"/>
      <c r="D39" s="11"/>
      <c r="E39" s="11"/>
      <c r="F39" s="11"/>
      <c r="G39" s="11"/>
      <c r="H39" s="11"/>
      <c r="I39" s="14">
        <f t="shared" si="10"/>
        <v>33</v>
      </c>
      <c r="J39" s="63">
        <f t="shared" si="11"/>
        <v>189627.95802335493</v>
      </c>
      <c r="K39" s="63">
        <f t="shared" si="1"/>
        <v>837.59227169949065</v>
      </c>
      <c r="L39" s="63">
        <f t="shared" si="12"/>
        <v>-7214.6053613991253</v>
      </c>
      <c r="M39" s="65">
        <f t="shared" si="0"/>
        <v>183250.94493365529</v>
      </c>
      <c r="O39" s="14">
        <f t="shared" si="13"/>
        <v>33</v>
      </c>
      <c r="P39" s="54">
        <f t="shared" si="14"/>
        <v>17164.125</v>
      </c>
      <c r="Q39" s="63">
        <f t="shared" si="15"/>
        <v>17063.568083076309</v>
      </c>
      <c r="R39" s="77">
        <f t="shared" si="2"/>
        <v>-7214.6053613991253</v>
      </c>
      <c r="S39" s="63">
        <f t="shared" si="16"/>
        <v>-3012.1951219512193</v>
      </c>
      <c r="T39" s="63"/>
      <c r="U39" s="63">
        <f t="shared" si="17"/>
        <v>-853.17840415381545</v>
      </c>
      <c r="V39" s="77">
        <f t="shared" si="20"/>
        <v>-353.30413109756097</v>
      </c>
      <c r="W39" s="83">
        <f t="shared" si="4"/>
        <v>5630.2850644745877</v>
      </c>
      <c r="X39" s="85">
        <f t="shared" si="18"/>
        <v>151932.27322522239</v>
      </c>
      <c r="Z39" s="92">
        <f t="shared" si="19"/>
        <v>164646.58536585365</v>
      </c>
      <c r="AA39" s="5">
        <f t="shared" si="5"/>
        <v>4939.3975609756089</v>
      </c>
      <c r="AB39" s="92">
        <f t="shared" si="6"/>
        <v>169585.98292682925</v>
      </c>
      <c r="AD39" s="133">
        <f t="shared" si="7"/>
        <v>-99402.439024390304</v>
      </c>
      <c r="AE39" s="3">
        <f t="shared" si="8"/>
        <v>1</v>
      </c>
    </row>
    <row r="40" spans="1:31" ht="14.65" thickBot="1" x14ac:dyDescent="0.5">
      <c r="C40" s="11"/>
      <c r="D40" s="11"/>
      <c r="E40" s="11"/>
      <c r="F40" s="11"/>
      <c r="G40" s="11"/>
      <c r="H40" s="11"/>
      <c r="I40" s="14">
        <f t="shared" si="10"/>
        <v>34</v>
      </c>
      <c r="J40" s="63">
        <f t="shared" si="11"/>
        <v>183250.94493365529</v>
      </c>
      <c r="K40" s="63">
        <f t="shared" si="1"/>
        <v>809.42481719470163</v>
      </c>
      <c r="L40" s="63">
        <f t="shared" si="12"/>
        <v>-7214.6053613991253</v>
      </c>
      <c r="M40" s="65">
        <f t="shared" si="0"/>
        <v>176845.76438945087</v>
      </c>
      <c r="O40" s="14">
        <f t="shared" si="13"/>
        <v>34</v>
      </c>
      <c r="P40" s="54">
        <f t="shared" si="14"/>
        <v>17684.25</v>
      </c>
      <c r="Q40" s="63">
        <f t="shared" si="15"/>
        <v>17063.568083076309</v>
      </c>
      <c r="R40" s="77">
        <f t="shared" si="2"/>
        <v>-7214.6053613991253</v>
      </c>
      <c r="S40" s="63">
        <f t="shared" si="16"/>
        <v>-3012.1951219512193</v>
      </c>
      <c r="T40" s="63"/>
      <c r="U40" s="63">
        <f t="shared" si="17"/>
        <v>-853.17840415381545</v>
      </c>
      <c r="V40" s="77">
        <f t="shared" si="20"/>
        <v>-340.50606707317075</v>
      </c>
      <c r="W40" s="83">
        <f t="shared" si="4"/>
        <v>5643.0831284989781</v>
      </c>
      <c r="X40" s="85">
        <f t="shared" si="18"/>
        <v>157575.35635372138</v>
      </c>
      <c r="Z40" s="92">
        <f t="shared" si="19"/>
        <v>158682.43902439025</v>
      </c>
      <c r="AA40" s="5">
        <f t="shared" si="5"/>
        <v>4760.4731707317069</v>
      </c>
      <c r="AB40" s="92">
        <f t="shared" si="6"/>
        <v>163442.91219512196</v>
      </c>
      <c r="AD40" s="133">
        <f t="shared" si="7"/>
        <v>-102414.63414634153</v>
      </c>
      <c r="AE40" s="3">
        <f t="shared" si="8"/>
        <v>1</v>
      </c>
    </row>
    <row r="41" spans="1:31" ht="32.25" customHeight="1" thickBot="1" x14ac:dyDescent="0.5">
      <c r="A41" s="667" t="s">
        <v>29</v>
      </c>
      <c r="B41" s="668"/>
      <c r="C41" s="668"/>
      <c r="D41" s="668"/>
      <c r="E41" s="668"/>
      <c r="F41" s="668"/>
      <c r="G41" s="669"/>
      <c r="H41" s="11"/>
      <c r="I41" s="14">
        <f t="shared" si="10"/>
        <v>35</v>
      </c>
      <c r="J41" s="63">
        <f t="shared" si="11"/>
        <v>176845.76438945087</v>
      </c>
      <c r="K41" s="63">
        <f t="shared" si="1"/>
        <v>781.13294621434318</v>
      </c>
      <c r="L41" s="63">
        <f t="shared" si="12"/>
        <v>-7214.6053613991253</v>
      </c>
      <c r="M41" s="65">
        <f t="shared" si="0"/>
        <v>170412.29197426609</v>
      </c>
      <c r="O41" s="14">
        <f t="shared" si="13"/>
        <v>35</v>
      </c>
      <c r="P41" s="54">
        <f t="shared" si="14"/>
        <v>18204.375</v>
      </c>
      <c r="Q41" s="63">
        <f t="shared" si="15"/>
        <v>17063.568083076309</v>
      </c>
      <c r="R41" s="77">
        <f t="shared" si="2"/>
        <v>-7214.6053613991253</v>
      </c>
      <c r="S41" s="63">
        <f t="shared" si="16"/>
        <v>-3012.1951219512193</v>
      </c>
      <c r="T41" s="63"/>
      <c r="U41" s="63">
        <f t="shared" si="17"/>
        <v>-853.17840415381545</v>
      </c>
      <c r="V41" s="77">
        <f t="shared" si="20"/>
        <v>-327.70800304878043</v>
      </c>
      <c r="W41" s="83">
        <f t="shared" si="4"/>
        <v>5655.8811925233686</v>
      </c>
      <c r="X41" s="85">
        <f t="shared" si="18"/>
        <v>163231.23754624475</v>
      </c>
      <c r="Z41" s="92">
        <f t="shared" si="19"/>
        <v>152718.29268292681</v>
      </c>
      <c r="AA41" s="5">
        <f t="shared" si="5"/>
        <v>4581.5487804878039</v>
      </c>
      <c r="AB41" s="92">
        <f t="shared" si="6"/>
        <v>157299.8414634146</v>
      </c>
      <c r="AD41" s="133">
        <f t="shared" si="7"/>
        <v>-105426.82926829276</v>
      </c>
      <c r="AE41" s="3">
        <f t="shared" si="8"/>
        <v>1</v>
      </c>
    </row>
    <row r="42" spans="1:31" ht="19.5" customHeight="1" x14ac:dyDescent="0.45">
      <c r="A42" s="35">
        <v>1</v>
      </c>
      <c r="B42" s="670" t="s">
        <v>30</v>
      </c>
      <c r="C42" s="671"/>
      <c r="D42" s="671"/>
      <c r="E42" s="672"/>
      <c r="F42" s="73">
        <f>F36/C12/C14</f>
        <v>7410.3863757592317</v>
      </c>
      <c r="G42" s="74">
        <f>G36/C13/C14</f>
        <v>18.559349593495938</v>
      </c>
      <c r="H42" s="11"/>
      <c r="I42" s="20">
        <f t="shared" si="10"/>
        <v>36</v>
      </c>
      <c r="J42" s="63">
        <f t="shared" si="11"/>
        <v>170412.29197426609</v>
      </c>
      <c r="K42" s="79">
        <f t="shared" si="1"/>
        <v>752.71610920718126</v>
      </c>
      <c r="L42" s="63">
        <f t="shared" si="12"/>
        <v>-7214.6053613991253</v>
      </c>
      <c r="M42" s="80">
        <f t="shared" si="0"/>
        <v>163950.40272207416</v>
      </c>
      <c r="O42" s="20">
        <f t="shared" si="13"/>
        <v>36</v>
      </c>
      <c r="P42" s="54">
        <f t="shared" si="14"/>
        <v>18724.5</v>
      </c>
      <c r="Q42" s="63">
        <f t="shared" si="15"/>
        <v>17063.568083076309</v>
      </c>
      <c r="R42" s="77">
        <f t="shared" si="2"/>
        <v>-7214.6053613991253</v>
      </c>
      <c r="S42" s="63">
        <f t="shared" si="16"/>
        <v>-3012.1951219512193</v>
      </c>
      <c r="T42" s="63"/>
      <c r="U42" s="63">
        <f t="shared" si="17"/>
        <v>-853.17840415381545</v>
      </c>
      <c r="V42" s="77">
        <f t="shared" si="20"/>
        <v>-314.90993902439033</v>
      </c>
      <c r="W42" s="83">
        <f t="shared" si="4"/>
        <v>5668.679256547759</v>
      </c>
      <c r="X42" s="85">
        <f t="shared" si="18"/>
        <v>168899.91680279252</v>
      </c>
      <c r="Z42" s="92">
        <f t="shared" si="19"/>
        <v>146754.14634146343</v>
      </c>
      <c r="AA42" s="5">
        <f t="shared" si="5"/>
        <v>4402.6243902439028</v>
      </c>
      <c r="AB42" s="92">
        <f t="shared" si="6"/>
        <v>151156.77073170734</v>
      </c>
      <c r="AD42" s="133">
        <f t="shared" si="7"/>
        <v>-108439.02439024398</v>
      </c>
      <c r="AE42" s="3">
        <f t="shared" si="8"/>
        <v>1</v>
      </c>
    </row>
    <row r="43" spans="1:31" ht="19.5" customHeight="1" thickBot="1" x14ac:dyDescent="0.5">
      <c r="A43" s="36">
        <f>A42+1</f>
        <v>2</v>
      </c>
      <c r="B43" s="673" t="s">
        <v>31</v>
      </c>
      <c r="C43" s="674"/>
      <c r="D43" s="674"/>
      <c r="E43" s="675"/>
      <c r="F43" s="75"/>
      <c r="G43" s="76">
        <f>+(F42*C12+D13*G42)/D13</f>
        <v>43.260637512693378</v>
      </c>
      <c r="H43" s="11"/>
      <c r="I43" s="20">
        <f t="shared" si="10"/>
        <v>37</v>
      </c>
      <c r="J43" s="63">
        <f t="shared" si="11"/>
        <v>163950.40272207416</v>
      </c>
      <c r="K43" s="79">
        <f t="shared" si="1"/>
        <v>724.17375419459722</v>
      </c>
      <c r="L43" s="63">
        <f t="shared" si="12"/>
        <v>-7214.6053613991253</v>
      </c>
      <c r="M43" s="80">
        <f t="shared" si="0"/>
        <v>157459.97111486964</v>
      </c>
      <c r="O43" s="20">
        <f t="shared" si="13"/>
        <v>37</v>
      </c>
      <c r="P43" s="54">
        <f t="shared" si="14"/>
        <v>19244.625</v>
      </c>
      <c r="Q43" s="63">
        <f t="shared" si="15"/>
        <v>17063.568083076309</v>
      </c>
      <c r="R43" s="77">
        <f t="shared" si="2"/>
        <v>-7214.6053613991253</v>
      </c>
      <c r="S43" s="63">
        <f t="shared" si="16"/>
        <v>-3012.1951219512193</v>
      </c>
      <c r="T43" s="63"/>
      <c r="U43" s="63">
        <f t="shared" si="17"/>
        <v>-853.17840415381545</v>
      </c>
      <c r="V43" s="77">
        <f t="shared" si="20"/>
        <v>-302.11187500000005</v>
      </c>
      <c r="W43" s="83">
        <f t="shared" si="4"/>
        <v>5681.4773205721485</v>
      </c>
      <c r="X43" s="85">
        <f t="shared" si="18"/>
        <v>174581.39412336468</v>
      </c>
      <c r="Z43" s="92">
        <f t="shared" si="19"/>
        <v>140790</v>
      </c>
      <c r="AA43" s="5">
        <f t="shared" si="5"/>
        <v>4223.7</v>
      </c>
      <c r="AB43" s="92">
        <f t="shared" si="6"/>
        <v>145013.70000000001</v>
      </c>
      <c r="AD43" s="133">
        <f t="shared" si="7"/>
        <v>-111451.21951219521</v>
      </c>
      <c r="AE43" s="3">
        <f t="shared" si="8"/>
        <v>1</v>
      </c>
    </row>
    <row r="44" spans="1:31" x14ac:dyDescent="0.45">
      <c r="I44" s="20">
        <f t="shared" si="10"/>
        <v>38</v>
      </c>
      <c r="J44" s="63">
        <f t="shared" si="11"/>
        <v>157459.97111486964</v>
      </c>
      <c r="K44" s="79">
        <f t="shared" si="1"/>
        <v>695.50532675986722</v>
      </c>
      <c r="L44" s="63">
        <f t="shared" si="12"/>
        <v>-7214.6053613991253</v>
      </c>
      <c r="M44" s="80">
        <f t="shared" si="0"/>
        <v>150940.87108023037</v>
      </c>
      <c r="O44" s="20">
        <f t="shared" si="13"/>
        <v>38</v>
      </c>
      <c r="P44" s="54">
        <f t="shared" si="14"/>
        <v>19764.75</v>
      </c>
      <c r="Q44" s="63">
        <f t="shared" si="15"/>
        <v>17063.568083076309</v>
      </c>
      <c r="R44" s="77">
        <f t="shared" si="2"/>
        <v>-7214.6053613991253</v>
      </c>
      <c r="S44" s="63">
        <f t="shared" si="16"/>
        <v>-3012.1951219512193</v>
      </c>
      <c r="T44" s="63"/>
      <c r="U44" s="63">
        <f t="shared" si="17"/>
        <v>-853.17840415381545</v>
      </c>
      <c r="V44" s="77">
        <f t="shared" si="20"/>
        <v>-289.31381097560973</v>
      </c>
      <c r="W44" s="83">
        <f t="shared" si="4"/>
        <v>5694.275384596539</v>
      </c>
      <c r="X44" s="85">
        <f t="shared" si="18"/>
        <v>180275.66950796123</v>
      </c>
      <c r="Z44" s="92">
        <f t="shared" si="19"/>
        <v>134825.85365853657</v>
      </c>
      <c r="AA44" s="5">
        <f t="shared" si="5"/>
        <v>4044.7756097560969</v>
      </c>
      <c r="AB44" s="92">
        <f t="shared" si="6"/>
        <v>138870.62926829266</v>
      </c>
      <c r="AD44" s="133">
        <f t="shared" si="7"/>
        <v>-114463.41463414644</v>
      </c>
      <c r="AE44" s="3">
        <f t="shared" si="8"/>
        <v>1</v>
      </c>
    </row>
    <row r="45" spans="1:31" x14ac:dyDescent="0.45">
      <c r="I45" s="20">
        <f t="shared" si="10"/>
        <v>39</v>
      </c>
      <c r="J45" s="63">
        <f t="shared" si="11"/>
        <v>150940.87108023037</v>
      </c>
      <c r="K45" s="79">
        <f t="shared" si="1"/>
        <v>666.71027003739152</v>
      </c>
      <c r="L45" s="63">
        <f t="shared" si="12"/>
        <v>-7214.6053613991253</v>
      </c>
      <c r="M45" s="80">
        <f t="shared" si="0"/>
        <v>144392.97598886862</v>
      </c>
      <c r="O45" s="20">
        <f t="shared" si="13"/>
        <v>39</v>
      </c>
      <c r="P45" s="54">
        <f t="shared" si="14"/>
        <v>20284.875</v>
      </c>
      <c r="Q45" s="63">
        <f t="shared" si="15"/>
        <v>17063.568083076309</v>
      </c>
      <c r="R45" s="77">
        <f t="shared" si="2"/>
        <v>-7214.6053613991253</v>
      </c>
      <c r="S45" s="63">
        <f t="shared" si="16"/>
        <v>-3012.1951219512193</v>
      </c>
      <c r="T45" s="63"/>
      <c r="U45" s="63">
        <f t="shared" si="17"/>
        <v>-853.17840415381545</v>
      </c>
      <c r="V45" s="77">
        <f t="shared" si="20"/>
        <v>-276.51574695121951</v>
      </c>
      <c r="W45" s="83">
        <f t="shared" si="4"/>
        <v>5707.0734486209294</v>
      </c>
      <c r="X45" s="85">
        <f t="shared" si="18"/>
        <v>185982.74295658217</v>
      </c>
      <c r="Z45" s="92">
        <f t="shared" si="19"/>
        <v>128861.70731707316</v>
      </c>
      <c r="AA45" s="5">
        <f t="shared" si="5"/>
        <v>3865.8512195121948</v>
      </c>
      <c r="AB45" s="92">
        <f t="shared" si="6"/>
        <v>132727.55853658536</v>
      </c>
      <c r="AD45" s="133">
        <f t="shared" si="7"/>
        <v>-117475.60975609766</v>
      </c>
      <c r="AE45" s="3">
        <f t="shared" si="8"/>
        <v>1</v>
      </c>
    </row>
    <row r="46" spans="1:31" x14ac:dyDescent="0.45">
      <c r="I46" s="20">
        <f t="shared" si="10"/>
        <v>40</v>
      </c>
      <c r="J46" s="63">
        <f t="shared" si="11"/>
        <v>144392.97598886862</v>
      </c>
      <c r="K46" s="79">
        <f t="shared" si="1"/>
        <v>637.78802470187964</v>
      </c>
      <c r="L46" s="63">
        <f t="shared" si="12"/>
        <v>-7214.6053613991253</v>
      </c>
      <c r="M46" s="80">
        <f t="shared" si="0"/>
        <v>137816.15865217138</v>
      </c>
      <c r="O46" s="20">
        <f t="shared" si="13"/>
        <v>40</v>
      </c>
      <c r="P46" s="54">
        <f t="shared" si="14"/>
        <v>20805</v>
      </c>
      <c r="Q46" s="63">
        <f t="shared" si="15"/>
        <v>17063.568083076309</v>
      </c>
      <c r="R46" s="77">
        <f t="shared" si="2"/>
        <v>-7214.6053613991253</v>
      </c>
      <c r="S46" s="63">
        <f t="shared" si="16"/>
        <v>-3012.1951219512193</v>
      </c>
      <c r="T46" s="63"/>
      <c r="U46" s="63">
        <f t="shared" si="17"/>
        <v>-853.17840415381545</v>
      </c>
      <c r="V46" s="77">
        <f t="shared" si="20"/>
        <v>-263.7176829268293</v>
      </c>
      <c r="W46" s="83">
        <f t="shared" si="4"/>
        <v>5719.8715126453199</v>
      </c>
      <c r="X46" s="85">
        <f t="shared" si="18"/>
        <v>191702.6144692275</v>
      </c>
      <c r="Z46" s="92">
        <f t="shared" si="19"/>
        <v>122897.56097560975</v>
      </c>
      <c r="AA46" s="5">
        <f t="shared" si="5"/>
        <v>3686.9268292682923</v>
      </c>
      <c r="AB46" s="92">
        <f t="shared" si="6"/>
        <v>126584.48780487805</v>
      </c>
      <c r="AD46" s="133">
        <f t="shared" si="7"/>
        <v>-120487.80487804889</v>
      </c>
      <c r="AE46" s="3">
        <f t="shared" si="8"/>
        <v>1</v>
      </c>
    </row>
    <row r="47" spans="1:31" x14ac:dyDescent="0.45">
      <c r="I47" s="20">
        <f t="shared" si="10"/>
        <v>41</v>
      </c>
      <c r="J47" s="63">
        <f t="shared" si="11"/>
        <v>137816.15865217138</v>
      </c>
      <c r="K47" s="79">
        <f t="shared" si="1"/>
        <v>608.73802895748429</v>
      </c>
      <c r="L47" s="63">
        <f t="shared" si="12"/>
        <v>-7214.6053613991253</v>
      </c>
      <c r="M47" s="80">
        <f t="shared" si="0"/>
        <v>131210.29131972973</v>
      </c>
      <c r="O47" s="20">
        <f t="shared" si="13"/>
        <v>41</v>
      </c>
      <c r="P47" s="54">
        <f t="shared" si="14"/>
        <v>21325.125</v>
      </c>
      <c r="Q47" s="63">
        <f t="shared" si="15"/>
        <v>17063.568083076309</v>
      </c>
      <c r="R47" s="77">
        <f t="shared" si="2"/>
        <v>-7214.6053613991253</v>
      </c>
      <c r="S47" s="63">
        <f t="shared" si="16"/>
        <v>-3012.1951219512193</v>
      </c>
      <c r="T47" s="63"/>
      <c r="U47" s="63">
        <f t="shared" si="17"/>
        <v>-853.17840415381545</v>
      </c>
      <c r="V47" s="77">
        <f t="shared" si="20"/>
        <v>-250.91961890243905</v>
      </c>
      <c r="W47" s="83">
        <f t="shared" si="4"/>
        <v>5732.6695766697103</v>
      </c>
      <c r="X47" s="85">
        <f t="shared" si="18"/>
        <v>197435.28404589722</v>
      </c>
      <c r="Z47" s="92">
        <f t="shared" si="19"/>
        <v>116933.41463414635</v>
      </c>
      <c r="AA47" s="5">
        <f t="shared" si="5"/>
        <v>3508.0024390243902</v>
      </c>
      <c r="AB47" s="92">
        <f t="shared" si="6"/>
        <v>120441.41707317074</v>
      </c>
      <c r="AD47" s="133">
        <f t="shared" si="7"/>
        <v>-123500.00000000012</v>
      </c>
      <c r="AE47" s="3">
        <f t="shared" si="8"/>
        <v>1</v>
      </c>
    </row>
    <row r="48" spans="1:31" x14ac:dyDescent="0.45">
      <c r="I48" s="20">
        <f t="shared" si="10"/>
        <v>42</v>
      </c>
      <c r="J48" s="63">
        <f t="shared" si="11"/>
        <v>131210.29131972973</v>
      </c>
      <c r="K48" s="79">
        <f t="shared" si="1"/>
        <v>579.55971852688947</v>
      </c>
      <c r="L48" s="63">
        <f t="shared" si="12"/>
        <v>-7214.6053613991253</v>
      </c>
      <c r="M48" s="80">
        <f t="shared" si="0"/>
        <v>124575.24567685751</v>
      </c>
      <c r="O48" s="20">
        <f t="shared" si="13"/>
        <v>42</v>
      </c>
      <c r="P48" s="54">
        <f t="shared" si="14"/>
        <v>21845.25</v>
      </c>
      <c r="Q48" s="63">
        <f t="shared" si="15"/>
        <v>17063.568083076309</v>
      </c>
      <c r="R48" s="77">
        <f t="shared" si="2"/>
        <v>-7214.6053613991253</v>
      </c>
      <c r="S48" s="63">
        <f t="shared" si="16"/>
        <v>-3012.1951219512193</v>
      </c>
      <c r="T48" s="63"/>
      <c r="U48" s="63">
        <f t="shared" si="17"/>
        <v>-853.17840415381545</v>
      </c>
      <c r="V48" s="77">
        <f t="shared" si="20"/>
        <v>-238.12155487804876</v>
      </c>
      <c r="W48" s="83">
        <f t="shared" si="4"/>
        <v>5745.4676406940998</v>
      </c>
      <c r="X48" s="85">
        <f t="shared" si="18"/>
        <v>203180.75168659131</v>
      </c>
      <c r="Z48" s="92">
        <f t="shared" si="19"/>
        <v>110969.26829268291</v>
      </c>
      <c r="AA48" s="5">
        <f t="shared" si="5"/>
        <v>3329.0780487804873</v>
      </c>
      <c r="AB48" s="92">
        <f t="shared" si="6"/>
        <v>114298.3463414634</v>
      </c>
      <c r="AD48" s="133">
        <f t="shared" si="7"/>
        <v>-126512.19512195134</v>
      </c>
      <c r="AE48" s="3">
        <f t="shared" si="8"/>
        <v>1</v>
      </c>
    </row>
    <row r="49" spans="9:31" x14ac:dyDescent="0.45">
      <c r="I49" s="20">
        <f t="shared" si="10"/>
        <v>43</v>
      </c>
      <c r="J49" s="63">
        <f t="shared" si="11"/>
        <v>124575.24567685751</v>
      </c>
      <c r="K49" s="79">
        <f t="shared" si="1"/>
        <v>550.25252664034974</v>
      </c>
      <c r="L49" s="63">
        <f t="shared" si="12"/>
        <v>-7214.6053613991253</v>
      </c>
      <c r="M49" s="80">
        <f t="shared" si="0"/>
        <v>117910.89284209874</v>
      </c>
      <c r="O49" s="20">
        <f t="shared" si="13"/>
        <v>43</v>
      </c>
      <c r="P49" s="54">
        <f t="shared" si="14"/>
        <v>22365.375</v>
      </c>
      <c r="Q49" s="63">
        <f t="shared" si="15"/>
        <v>17063.568083076309</v>
      </c>
      <c r="R49" s="77">
        <f t="shared" si="2"/>
        <v>-7214.6053613991253</v>
      </c>
      <c r="S49" s="63">
        <f t="shared" si="16"/>
        <v>-3012.1951219512193</v>
      </c>
      <c r="T49" s="63"/>
      <c r="U49" s="63">
        <f t="shared" si="17"/>
        <v>-853.17840415381545</v>
      </c>
      <c r="V49" s="77">
        <f t="shared" si="20"/>
        <v>-225.32349085365854</v>
      </c>
      <c r="W49" s="83">
        <f t="shared" si="4"/>
        <v>5758.2657047184903</v>
      </c>
      <c r="X49" s="85">
        <f t="shared" si="18"/>
        <v>208939.01739130978</v>
      </c>
      <c r="Z49" s="92">
        <f t="shared" si="19"/>
        <v>105005.12195121951</v>
      </c>
      <c r="AA49" s="5">
        <f t="shared" si="5"/>
        <v>3150.1536585365852</v>
      </c>
      <c r="AB49" s="92">
        <f t="shared" si="6"/>
        <v>108155.27560975609</v>
      </c>
      <c r="AD49" s="133">
        <f t="shared" si="7"/>
        <v>-129524.39024390257</v>
      </c>
      <c r="AE49" s="3">
        <f t="shared" si="8"/>
        <v>1</v>
      </c>
    </row>
    <row r="50" spans="9:31" x14ac:dyDescent="0.45">
      <c r="I50" s="20">
        <f t="shared" si="10"/>
        <v>44</v>
      </c>
      <c r="J50" s="63">
        <f t="shared" si="11"/>
        <v>117910.89284209874</v>
      </c>
      <c r="K50" s="79">
        <f t="shared" si="1"/>
        <v>520.81588402468105</v>
      </c>
      <c r="L50" s="63">
        <f t="shared" si="12"/>
        <v>-7214.6053613991253</v>
      </c>
      <c r="M50" s="80">
        <f t="shared" si="0"/>
        <v>111217.10336472429</v>
      </c>
      <c r="O50" s="20">
        <f t="shared" si="13"/>
        <v>44</v>
      </c>
      <c r="P50" s="54">
        <f t="shared" si="14"/>
        <v>22885.5</v>
      </c>
      <c r="Q50" s="63">
        <f t="shared" si="15"/>
        <v>17063.568083076309</v>
      </c>
      <c r="R50" s="77">
        <f t="shared" si="2"/>
        <v>-7214.6053613991253</v>
      </c>
      <c r="S50" s="63">
        <f t="shared" si="16"/>
        <v>-3012.1951219512193</v>
      </c>
      <c r="T50" s="63"/>
      <c r="U50" s="63">
        <f t="shared" si="17"/>
        <v>-853.17840415381545</v>
      </c>
      <c r="V50" s="77">
        <f t="shared" si="20"/>
        <v>-212.52542682926824</v>
      </c>
      <c r="W50" s="83">
        <f t="shared" si="4"/>
        <v>5771.0637687428807</v>
      </c>
      <c r="X50" s="85">
        <f t="shared" si="18"/>
        <v>214710.08116005265</v>
      </c>
      <c r="Z50" s="92">
        <f t="shared" si="19"/>
        <v>99040.975609756075</v>
      </c>
      <c r="AA50" s="5">
        <f t="shared" si="5"/>
        <v>2971.2292682926823</v>
      </c>
      <c r="AB50" s="92">
        <f t="shared" si="6"/>
        <v>102012.20487804875</v>
      </c>
      <c r="AD50" s="133">
        <f t="shared" si="7"/>
        <v>-132536.5853658538</v>
      </c>
      <c r="AE50" s="3">
        <f t="shared" si="8"/>
        <v>1</v>
      </c>
    </row>
    <row r="51" spans="9:31" x14ac:dyDescent="0.45">
      <c r="I51" s="20">
        <f t="shared" si="10"/>
        <v>45</v>
      </c>
      <c r="J51" s="63">
        <f t="shared" si="11"/>
        <v>111217.10336472429</v>
      </c>
      <c r="K51" s="79">
        <f t="shared" si="1"/>
        <v>491.24921889220258</v>
      </c>
      <c r="L51" s="63">
        <f t="shared" si="12"/>
        <v>-7214.6053613991253</v>
      </c>
      <c r="M51" s="80">
        <f t="shared" si="0"/>
        <v>104493.74722221737</v>
      </c>
      <c r="O51" s="20">
        <f t="shared" si="13"/>
        <v>45</v>
      </c>
      <c r="P51" s="54">
        <f t="shared" si="14"/>
        <v>23405.625</v>
      </c>
      <c r="Q51" s="63">
        <f t="shared" si="15"/>
        <v>17063.568083076309</v>
      </c>
      <c r="R51" s="77">
        <f t="shared" si="2"/>
        <v>-7214.6053613991253</v>
      </c>
      <c r="S51" s="63">
        <f t="shared" si="16"/>
        <v>-3012.1951219512193</v>
      </c>
      <c r="T51" s="63"/>
      <c r="U51" s="63">
        <f t="shared" si="17"/>
        <v>-853.17840415381545</v>
      </c>
      <c r="V51" s="77">
        <f t="shared" si="20"/>
        <v>-199.72736280487808</v>
      </c>
      <c r="W51" s="83">
        <f t="shared" si="4"/>
        <v>5783.8618327672712</v>
      </c>
      <c r="X51" s="85">
        <f t="shared" si="18"/>
        <v>220493.94299281991</v>
      </c>
      <c r="Z51" s="92">
        <f t="shared" si="19"/>
        <v>93076.829268292699</v>
      </c>
      <c r="AA51" s="5">
        <f t="shared" si="5"/>
        <v>2792.3048780487807</v>
      </c>
      <c r="AB51" s="92">
        <f t="shared" si="6"/>
        <v>95869.134146341472</v>
      </c>
      <c r="AD51" s="133">
        <f t="shared" si="7"/>
        <v>-135548.78048780502</v>
      </c>
      <c r="AE51" s="3">
        <f t="shared" si="8"/>
        <v>1</v>
      </c>
    </row>
    <row r="52" spans="9:31" x14ac:dyDescent="0.45">
      <c r="I52" s="20">
        <f t="shared" si="10"/>
        <v>46</v>
      </c>
      <c r="J52" s="63">
        <f t="shared" si="11"/>
        <v>104493.74722221737</v>
      </c>
      <c r="K52" s="79">
        <f t="shared" si="1"/>
        <v>461.55195692963099</v>
      </c>
      <c r="L52" s="63">
        <f t="shared" si="12"/>
        <v>-7214.6053613991253</v>
      </c>
      <c r="M52" s="80">
        <f t="shared" si="0"/>
        <v>97740.693817747873</v>
      </c>
      <c r="O52" s="20">
        <f t="shared" si="13"/>
        <v>46</v>
      </c>
      <c r="P52" s="54">
        <f t="shared" si="14"/>
        <v>23925.75</v>
      </c>
      <c r="Q52" s="63">
        <f t="shared" si="15"/>
        <v>17063.568083076309</v>
      </c>
      <c r="R52" s="77">
        <f t="shared" si="2"/>
        <v>-7214.6053613991253</v>
      </c>
      <c r="S52" s="63">
        <f t="shared" si="16"/>
        <v>-3012.1951219512193</v>
      </c>
      <c r="T52" s="63"/>
      <c r="U52" s="63">
        <f t="shared" si="17"/>
        <v>-853.17840415381545</v>
      </c>
      <c r="V52" s="77">
        <f t="shared" si="20"/>
        <v>-186.92929878048781</v>
      </c>
      <c r="W52" s="83">
        <f t="shared" si="4"/>
        <v>5796.6598967916616</v>
      </c>
      <c r="X52" s="85">
        <f t="shared" si="18"/>
        <v>226290.60288961156</v>
      </c>
      <c r="Z52" s="92">
        <f t="shared" si="19"/>
        <v>87112.682926829264</v>
      </c>
      <c r="AA52" s="5">
        <f t="shared" si="5"/>
        <v>2613.3804878048777</v>
      </c>
      <c r="AB52" s="92">
        <f t="shared" si="6"/>
        <v>89726.063414634147</v>
      </c>
      <c r="AD52" s="133">
        <f t="shared" si="7"/>
        <v>-138560.97560975625</v>
      </c>
      <c r="AE52" s="3">
        <f t="shared" si="8"/>
        <v>1</v>
      </c>
    </row>
    <row r="53" spans="9:31" x14ac:dyDescent="0.45">
      <c r="I53" s="20">
        <f t="shared" si="10"/>
        <v>47</v>
      </c>
      <c r="J53" s="63">
        <f t="shared" si="11"/>
        <v>97740.693817747873</v>
      </c>
      <c r="K53" s="79">
        <f t="shared" si="1"/>
        <v>431.7235212869241</v>
      </c>
      <c r="L53" s="63">
        <f t="shared" si="12"/>
        <v>-7214.6053613991253</v>
      </c>
      <c r="M53" s="80">
        <f t="shared" si="0"/>
        <v>90957.811977635676</v>
      </c>
      <c r="O53" s="20">
        <f t="shared" si="13"/>
        <v>47</v>
      </c>
      <c r="P53" s="54">
        <f t="shared" si="14"/>
        <v>24445.875</v>
      </c>
      <c r="Q53" s="63">
        <f t="shared" si="15"/>
        <v>17063.568083076309</v>
      </c>
      <c r="R53" s="77">
        <f t="shared" si="2"/>
        <v>-7214.6053613991253</v>
      </c>
      <c r="S53" s="63">
        <f t="shared" si="16"/>
        <v>-3012.1951219512193</v>
      </c>
      <c r="T53" s="63"/>
      <c r="U53" s="63">
        <f t="shared" si="17"/>
        <v>-853.17840415381545</v>
      </c>
      <c r="V53" s="77">
        <f t="shared" si="20"/>
        <v>-174.13123475609765</v>
      </c>
      <c r="W53" s="83">
        <f t="shared" si="4"/>
        <v>5809.4579608160511</v>
      </c>
      <c r="X53" s="85">
        <f t="shared" si="18"/>
        <v>232100.0608504276</v>
      </c>
      <c r="Z53" s="92">
        <f t="shared" si="19"/>
        <v>81148.536585365888</v>
      </c>
      <c r="AA53" s="5">
        <f t="shared" si="5"/>
        <v>2434.4560975609766</v>
      </c>
      <c r="AB53" s="92">
        <f t="shared" si="6"/>
        <v>83582.992682926866</v>
      </c>
      <c r="AD53" s="133">
        <f t="shared" si="7"/>
        <v>-141573.17073170748</v>
      </c>
      <c r="AE53" s="3">
        <f t="shared" si="8"/>
        <v>1</v>
      </c>
    </row>
    <row r="54" spans="9:31" x14ac:dyDescent="0.45">
      <c r="I54" s="20">
        <f t="shared" si="10"/>
        <v>48</v>
      </c>
      <c r="J54" s="63">
        <f t="shared" si="11"/>
        <v>90957.811977635676</v>
      </c>
      <c r="K54" s="79">
        <f t="shared" si="1"/>
        <v>401.7633325660758</v>
      </c>
      <c r="L54" s="63">
        <f t="shared" si="12"/>
        <v>-7214.6053613991253</v>
      </c>
      <c r="M54" s="80">
        <f t="shared" si="0"/>
        <v>84144.969948802624</v>
      </c>
      <c r="O54" s="20">
        <f t="shared" si="13"/>
        <v>48</v>
      </c>
      <c r="P54" s="54">
        <f t="shared" si="14"/>
        <v>24966</v>
      </c>
      <c r="Q54" s="63">
        <f t="shared" si="15"/>
        <v>17063.568083076309</v>
      </c>
      <c r="R54" s="77">
        <f t="shared" si="2"/>
        <v>-7214.6053613991253</v>
      </c>
      <c r="S54" s="63">
        <f t="shared" si="16"/>
        <v>-3012.1951219512193</v>
      </c>
      <c r="T54" s="63">
        <f>-T68*0.5</f>
        <v>-27109.756097560974</v>
      </c>
      <c r="U54" s="63">
        <f t="shared" si="17"/>
        <v>-853.17840415381545</v>
      </c>
      <c r="V54" s="77">
        <f t="shared" si="20"/>
        <v>-161.33317073170736</v>
      </c>
      <c r="W54" s="83">
        <f t="shared" si="4"/>
        <v>-21287.500072720533</v>
      </c>
      <c r="X54" s="85">
        <f t="shared" si="18"/>
        <v>210812.56077770708</v>
      </c>
      <c r="Z54" s="92">
        <f t="shared" si="19"/>
        <v>75184.390243902453</v>
      </c>
      <c r="AA54" s="5">
        <f t="shared" si="5"/>
        <v>2255.5317073170736</v>
      </c>
      <c r="AB54" s="92">
        <f t="shared" si="6"/>
        <v>77439.921951219527</v>
      </c>
      <c r="AD54" s="133">
        <f t="shared" ref="AD54:AD62" si="24">IF(AD53=0,0,IF(+S54+AD53&lt;-$S$68,0,+S54+AD53))</f>
        <v>-144585.3658536587</v>
      </c>
      <c r="AE54" s="3">
        <f t="shared" si="8"/>
        <v>1</v>
      </c>
    </row>
    <row r="55" spans="9:31" x14ac:dyDescent="0.45">
      <c r="I55" s="20">
        <f t="shared" si="10"/>
        <v>49</v>
      </c>
      <c r="J55" s="63">
        <f t="shared" si="11"/>
        <v>84144.969948802624</v>
      </c>
      <c r="K55" s="79">
        <f>J55*$C$8*30.44/365.25</f>
        <v>371.67080880986236</v>
      </c>
      <c r="L55" s="63">
        <f t="shared" si="12"/>
        <v>-7214.6053613991253</v>
      </c>
      <c r="M55" s="80">
        <f t="shared" si="0"/>
        <v>77302.035396213367</v>
      </c>
      <c r="O55" s="20">
        <f t="shared" si="13"/>
        <v>49</v>
      </c>
      <c r="P55" s="54">
        <f t="shared" si="14"/>
        <v>25486.125</v>
      </c>
      <c r="Q55" s="63">
        <f t="shared" si="15"/>
        <v>17063.568083076309</v>
      </c>
      <c r="R55" s="77">
        <f t="shared" si="2"/>
        <v>-7214.6053613991253</v>
      </c>
      <c r="S55" s="63">
        <f t="shared" si="16"/>
        <v>-3012.1951219512193</v>
      </c>
      <c r="T55" s="63">
        <f>-T69*0.5</f>
        <v>0</v>
      </c>
      <c r="U55" s="63">
        <f t="shared" si="17"/>
        <v>-853.17840415381545</v>
      </c>
      <c r="V55" s="77">
        <f t="shared" si="20"/>
        <v>-148.53510670731706</v>
      </c>
      <c r="W55" s="83">
        <f t="shared" si="4"/>
        <v>5835.054088864832</v>
      </c>
      <c r="X55" s="85">
        <f t="shared" si="18"/>
        <v>216647.61486657191</v>
      </c>
      <c r="Z55" s="92">
        <f t="shared" si="19"/>
        <v>69220.243902439019</v>
      </c>
      <c r="AA55" s="5">
        <f t="shared" si="5"/>
        <v>2076.6073170731706</v>
      </c>
      <c r="AB55" s="92">
        <f t="shared" si="6"/>
        <v>71296.851219512188</v>
      </c>
      <c r="AD55" s="133">
        <f t="shared" si="24"/>
        <v>-147597.56097560993</v>
      </c>
      <c r="AE55" s="3">
        <f t="shared" si="8"/>
        <v>1</v>
      </c>
    </row>
    <row r="56" spans="9:31" x14ac:dyDescent="0.45">
      <c r="I56" s="20">
        <f t="shared" si="10"/>
        <v>50</v>
      </c>
      <c r="J56" s="63">
        <f t="shared" si="11"/>
        <v>77302.035396213367</v>
      </c>
      <c r="K56" s="79">
        <f>J56*$C$8*30.44/365.25</f>
        <v>341.44536549053788</v>
      </c>
      <c r="L56" s="63">
        <f t="shared" si="12"/>
        <v>-7214.6053613991253</v>
      </c>
      <c r="M56" s="80">
        <f t="shared" si="0"/>
        <v>70428.87540030478</v>
      </c>
      <c r="O56" s="20">
        <f t="shared" si="13"/>
        <v>50</v>
      </c>
      <c r="P56" s="54">
        <f t="shared" si="14"/>
        <v>26006.25</v>
      </c>
      <c r="Q56" s="63">
        <f t="shared" si="15"/>
        <v>17063.568083076309</v>
      </c>
      <c r="R56" s="77">
        <f t="shared" si="2"/>
        <v>-7214.6053613991253</v>
      </c>
      <c r="S56" s="63">
        <f t="shared" si="16"/>
        <v>-3012.1951219512193</v>
      </c>
      <c r="T56" s="63">
        <f>-T70*0.5</f>
        <v>0</v>
      </c>
      <c r="U56" s="63">
        <f t="shared" si="17"/>
        <v>-853.17840415381545</v>
      </c>
      <c r="V56" s="77">
        <f t="shared" si="20"/>
        <v>-135.73704268292678</v>
      </c>
      <c r="W56" s="83">
        <f t="shared" si="4"/>
        <v>5847.8521528892225</v>
      </c>
      <c r="X56" s="85">
        <f t="shared" si="18"/>
        <v>222495.46701946112</v>
      </c>
      <c r="Z56" s="92">
        <f t="shared" si="19"/>
        <v>63256.097560975584</v>
      </c>
      <c r="AA56" s="5">
        <f t="shared" si="5"/>
        <v>1897.6829268292674</v>
      </c>
      <c r="AB56" s="92">
        <f t="shared" si="6"/>
        <v>65153.780487804848</v>
      </c>
      <c r="AD56" s="133">
        <f t="shared" si="24"/>
        <v>-150609.75609756116</v>
      </c>
      <c r="AE56" s="3">
        <f t="shared" si="8"/>
        <v>1</v>
      </c>
    </row>
    <row r="57" spans="9:31" x14ac:dyDescent="0.45">
      <c r="I57" s="20">
        <f t="shared" si="10"/>
        <v>51</v>
      </c>
      <c r="J57" s="63">
        <f t="shared" si="11"/>
        <v>70428.87540030478</v>
      </c>
      <c r="K57" s="79">
        <f t="shared" ref="K57:K66" si="25">J57*$C$8*30.44/365.25</f>
        <v>311.08641549847971</v>
      </c>
      <c r="L57" s="63">
        <f t="shared" si="12"/>
        <v>-7214.6053613991253</v>
      </c>
      <c r="M57" s="80">
        <f t="shared" si="0"/>
        <v>63525.356454404129</v>
      </c>
      <c r="O57" s="20">
        <f t="shared" si="13"/>
        <v>51</v>
      </c>
      <c r="P57" s="54">
        <f t="shared" si="14"/>
        <v>26526.375</v>
      </c>
      <c r="Q57" s="63">
        <f t="shared" si="15"/>
        <v>17063.568083076309</v>
      </c>
      <c r="R57" s="77">
        <f t="shared" si="2"/>
        <v>-7214.6053613991253</v>
      </c>
      <c r="S57" s="63">
        <f t="shared" si="16"/>
        <v>-3012.1951219512193</v>
      </c>
      <c r="T57" s="63">
        <f>-T71*0.5</f>
        <v>0</v>
      </c>
      <c r="U57" s="63">
        <f t="shared" si="17"/>
        <v>-853.17840415381545</v>
      </c>
      <c r="V57" s="77">
        <f t="shared" si="20"/>
        <v>-122.9389786585365</v>
      </c>
      <c r="W57" s="83">
        <f t="shared" si="4"/>
        <v>5860.6502169136129</v>
      </c>
      <c r="X57" s="85">
        <f t="shared" si="18"/>
        <v>228356.11723637473</v>
      </c>
      <c r="Z57" s="92">
        <f t="shared" si="19"/>
        <v>57291.95121951215</v>
      </c>
      <c r="AA57" s="5">
        <f t="shared" si="5"/>
        <v>1718.7585365853645</v>
      </c>
      <c r="AB57" s="92">
        <f t="shared" si="6"/>
        <v>59010.709756097516</v>
      </c>
      <c r="AD57" s="133">
        <f t="shared" si="24"/>
        <v>-153621.95121951238</v>
      </c>
      <c r="AE57" s="3">
        <f t="shared" si="8"/>
        <v>1</v>
      </c>
    </row>
    <row r="58" spans="9:31" x14ac:dyDescent="0.45">
      <c r="I58" s="20">
        <f t="shared" si="10"/>
        <v>52</v>
      </c>
      <c r="J58" s="63">
        <f t="shared" si="11"/>
        <v>63525.356454404129</v>
      </c>
      <c r="K58" s="79">
        <f t="shared" si="25"/>
        <v>280.59336913078516</v>
      </c>
      <c r="L58" s="63">
        <f t="shared" si="12"/>
        <v>-7214.6053613991253</v>
      </c>
      <c r="M58" s="80">
        <f t="shared" si="0"/>
        <v>56591.344462135792</v>
      </c>
      <c r="O58" s="20">
        <f t="shared" si="13"/>
        <v>52</v>
      </c>
      <c r="P58" s="54">
        <f t="shared" si="14"/>
        <v>27046.5</v>
      </c>
      <c r="Q58" s="63">
        <f t="shared" si="15"/>
        <v>17063.568083076309</v>
      </c>
      <c r="R58" s="77">
        <f t="shared" si="2"/>
        <v>-7214.6053613991253</v>
      </c>
      <c r="S58" s="63">
        <f t="shared" si="16"/>
        <v>-3012.1951219512193</v>
      </c>
      <c r="T58" s="63"/>
      <c r="U58" s="63">
        <f t="shared" si="17"/>
        <v>-853.17840415381545</v>
      </c>
      <c r="V58" s="77">
        <f t="shared" si="20"/>
        <v>-110.14091463414645</v>
      </c>
      <c r="W58" s="83">
        <f t="shared" si="4"/>
        <v>5873.4482809380024</v>
      </c>
      <c r="X58" s="85">
        <f t="shared" si="18"/>
        <v>234229.56551731273</v>
      </c>
      <c r="Z58" s="92">
        <f t="shared" si="19"/>
        <v>51327.804878048832</v>
      </c>
      <c r="AA58" s="5">
        <f t="shared" si="5"/>
        <v>1539.8341463414649</v>
      </c>
      <c r="AB58" s="92">
        <f t="shared" si="6"/>
        <v>52867.639024390293</v>
      </c>
      <c r="AD58" s="133">
        <f t="shared" si="24"/>
        <v>-156634.14634146361</v>
      </c>
      <c r="AE58" s="3">
        <f t="shared" si="8"/>
        <v>1</v>
      </c>
    </row>
    <row r="59" spans="9:31" x14ac:dyDescent="0.45">
      <c r="I59" s="20">
        <f t="shared" si="10"/>
        <v>53</v>
      </c>
      <c r="J59" s="63">
        <f t="shared" si="11"/>
        <v>56591.344462135792</v>
      </c>
      <c r="K59" s="79">
        <f t="shared" si="25"/>
        <v>249.96563407981634</v>
      </c>
      <c r="L59" s="63">
        <f t="shared" si="12"/>
        <v>-7214.6053613991253</v>
      </c>
      <c r="M59" s="80">
        <f t="shared" si="0"/>
        <v>49626.704734816485</v>
      </c>
      <c r="O59" s="20">
        <f t="shared" si="13"/>
        <v>53</v>
      </c>
      <c r="P59" s="54">
        <f t="shared" si="14"/>
        <v>27566.625</v>
      </c>
      <c r="Q59" s="63">
        <f t="shared" si="15"/>
        <v>17063.568083076309</v>
      </c>
      <c r="R59" s="77">
        <f t="shared" si="2"/>
        <v>-7214.6053613991253</v>
      </c>
      <c r="S59" s="63">
        <f t="shared" si="16"/>
        <v>-3012.1951219512193</v>
      </c>
      <c r="T59" s="63"/>
      <c r="U59" s="63">
        <f t="shared" si="17"/>
        <v>-853.17840415381545</v>
      </c>
      <c r="V59" s="77">
        <f t="shared" si="20"/>
        <v>-97.342850609756169</v>
      </c>
      <c r="W59" s="83">
        <f t="shared" si="4"/>
        <v>5886.2463449623929</v>
      </c>
      <c r="X59" s="85">
        <f t="shared" si="18"/>
        <v>240115.81186227512</v>
      </c>
      <c r="Z59" s="92">
        <f t="shared" si="19"/>
        <v>45363.658536585397</v>
      </c>
      <c r="AA59" s="5">
        <f t="shared" si="5"/>
        <v>1360.909756097562</v>
      </c>
      <c r="AB59" s="92">
        <f t="shared" si="6"/>
        <v>46724.568292682961</v>
      </c>
      <c r="AD59" s="133">
        <f t="shared" si="24"/>
        <v>-159646.34146341484</v>
      </c>
      <c r="AE59" s="3">
        <f t="shared" si="8"/>
        <v>1</v>
      </c>
    </row>
    <row r="60" spans="9:31" x14ac:dyDescent="0.45">
      <c r="I60" s="20">
        <f t="shared" si="10"/>
        <v>54</v>
      </c>
      <c r="J60" s="63">
        <f t="shared" si="11"/>
        <v>49626.704734816485</v>
      </c>
      <c r="K60" s="79">
        <f t="shared" si="25"/>
        <v>219.2026154216951</v>
      </c>
      <c r="L60" s="63">
        <f t="shared" si="12"/>
        <v>-7214.6053613991253</v>
      </c>
      <c r="M60" s="80">
        <f t="shared" si="0"/>
        <v>42631.301988839055</v>
      </c>
      <c r="O60" s="20">
        <f t="shared" si="13"/>
        <v>54</v>
      </c>
      <c r="P60" s="54">
        <f t="shared" si="14"/>
        <v>28086.75</v>
      </c>
      <c r="Q60" s="63">
        <f t="shared" si="15"/>
        <v>17063.568083076309</v>
      </c>
      <c r="R60" s="77">
        <f t="shared" si="2"/>
        <v>-7214.6053613991253</v>
      </c>
      <c r="S60" s="63">
        <f t="shared" si="16"/>
        <v>-3012.1951219512193</v>
      </c>
      <c r="T60" s="63"/>
      <c r="U60" s="63">
        <f t="shared" si="17"/>
        <v>-853.17840415381545</v>
      </c>
      <c r="V60" s="77">
        <f t="shared" si="20"/>
        <v>-84.544786585365884</v>
      </c>
      <c r="W60" s="83">
        <f t="shared" si="4"/>
        <v>5899.0444089867833</v>
      </c>
      <c r="X60" s="85">
        <f t="shared" si="18"/>
        <v>246014.8562712619</v>
      </c>
      <c r="Z60" s="92">
        <f t="shared" si="19"/>
        <v>39399.512195121963</v>
      </c>
      <c r="AA60" s="5">
        <f t="shared" si="5"/>
        <v>1181.9853658536588</v>
      </c>
      <c r="AB60" s="92">
        <f t="shared" si="6"/>
        <v>40581.497560975622</v>
      </c>
      <c r="AD60" s="133">
        <f t="shared" si="24"/>
        <v>-162658.53658536606</v>
      </c>
      <c r="AE60" s="3">
        <f t="shared" si="8"/>
        <v>1</v>
      </c>
    </row>
    <row r="61" spans="9:31" x14ac:dyDescent="0.45">
      <c r="I61" s="20">
        <f t="shared" si="10"/>
        <v>55</v>
      </c>
      <c r="J61" s="63">
        <f t="shared" si="11"/>
        <v>42631.301988839055</v>
      </c>
      <c r="K61" s="79">
        <f t="shared" si="25"/>
        <v>188.30371560474694</v>
      </c>
      <c r="L61" s="63">
        <f t="shared" si="12"/>
        <v>-7214.6053613991253</v>
      </c>
      <c r="M61" s="80">
        <f t="shared" si="0"/>
        <v>35605.000343044681</v>
      </c>
      <c r="O61" s="20">
        <f t="shared" si="13"/>
        <v>55</v>
      </c>
      <c r="P61" s="54">
        <f t="shared" si="14"/>
        <v>28606.875</v>
      </c>
      <c r="Q61" s="63">
        <f t="shared" si="15"/>
        <v>17063.568083076309</v>
      </c>
      <c r="R61" s="77">
        <f t="shared" si="2"/>
        <v>-7214.6053613991253</v>
      </c>
      <c r="S61" s="63">
        <f t="shared" si="16"/>
        <v>-3012.1951219512193</v>
      </c>
      <c r="T61" s="63" t="e">
        <f>-#REF!*0.5</f>
        <v>#REF!</v>
      </c>
      <c r="U61" s="63">
        <f t="shared" si="17"/>
        <v>-853.17840415381545</v>
      </c>
      <c r="V61" s="77">
        <f t="shared" si="20"/>
        <v>-71.746722560975584</v>
      </c>
      <c r="W61" s="83" t="e">
        <f t="shared" si="4"/>
        <v>#REF!</v>
      </c>
      <c r="X61" s="85" t="e">
        <f t="shared" si="18"/>
        <v>#REF!</v>
      </c>
      <c r="Z61" s="92">
        <f t="shared" si="19"/>
        <v>33435.365853658528</v>
      </c>
      <c r="AA61" s="5">
        <f t="shared" si="5"/>
        <v>1003.0609756097558</v>
      </c>
      <c r="AB61" s="92">
        <f t="shared" si="6"/>
        <v>34438.426829268283</v>
      </c>
      <c r="AD61" s="133">
        <f t="shared" si="24"/>
        <v>-165670.73170731729</v>
      </c>
      <c r="AE61" s="3">
        <f t="shared" si="8"/>
        <v>1</v>
      </c>
    </row>
    <row r="62" spans="9:31" x14ac:dyDescent="0.45">
      <c r="I62" s="20">
        <f t="shared" si="10"/>
        <v>56</v>
      </c>
      <c r="J62" s="63">
        <f t="shared" si="11"/>
        <v>35605.000343044681</v>
      </c>
      <c r="K62" s="79">
        <f t="shared" si="25"/>
        <v>157.26833443789417</v>
      </c>
      <c r="L62" s="63">
        <f t="shared" si="12"/>
        <v>-7214.6053613991253</v>
      </c>
      <c r="M62" s="80">
        <f t="shared" si="0"/>
        <v>28547.663316083454</v>
      </c>
      <c r="O62" s="20">
        <f t="shared" si="13"/>
        <v>56</v>
      </c>
      <c r="P62" s="54">
        <f t="shared" si="14"/>
        <v>29127</v>
      </c>
      <c r="Q62" s="63">
        <f t="shared" si="15"/>
        <v>17063.568083076309</v>
      </c>
      <c r="R62" s="77">
        <f t="shared" si="2"/>
        <v>-7214.6053613991253</v>
      </c>
      <c r="S62" s="63">
        <f t="shared" si="16"/>
        <v>-3012.1951219512193</v>
      </c>
      <c r="T62" s="63" t="e">
        <f>-#REF!*0.5</f>
        <v>#REF!</v>
      </c>
      <c r="U62" s="63">
        <f t="shared" si="17"/>
        <v>-853.17840415381545</v>
      </c>
      <c r="V62" s="77">
        <f t="shared" si="20"/>
        <v>-58.948658536585306</v>
      </c>
      <c r="W62" s="83" t="e">
        <f t="shared" si="4"/>
        <v>#REF!</v>
      </c>
      <c r="X62" s="85" t="e">
        <f t="shared" si="18"/>
        <v>#REF!</v>
      </c>
      <c r="Z62" s="92">
        <f t="shared" si="19"/>
        <v>27471.219512195094</v>
      </c>
      <c r="AA62" s="5">
        <f t="shared" si="5"/>
        <v>824.13658536585274</v>
      </c>
      <c r="AB62" s="92">
        <f t="shared" si="6"/>
        <v>28295.356097560947</v>
      </c>
      <c r="AD62" s="133">
        <f t="shared" si="24"/>
        <v>-168682.92682926852</v>
      </c>
      <c r="AE62" s="3">
        <f t="shared" si="8"/>
        <v>1</v>
      </c>
    </row>
    <row r="63" spans="9:31" x14ac:dyDescent="0.45">
      <c r="I63" s="20">
        <f t="shared" si="10"/>
        <v>57</v>
      </c>
      <c r="J63" s="63">
        <f t="shared" si="11"/>
        <v>28547.663316083454</v>
      </c>
      <c r="K63" s="79">
        <f t="shared" si="25"/>
        <v>126.09586907899727</v>
      </c>
      <c r="L63" s="63">
        <f t="shared" si="12"/>
        <v>-7214.6053613991253</v>
      </c>
      <c r="M63" s="80">
        <f t="shared" si="0"/>
        <v>21459.153823763325</v>
      </c>
      <c r="O63" s="20">
        <f t="shared" si="13"/>
        <v>57</v>
      </c>
      <c r="P63" s="54">
        <f t="shared" si="14"/>
        <v>29647.125</v>
      </c>
      <c r="Q63" s="63">
        <f t="shared" si="15"/>
        <v>17063.568083076309</v>
      </c>
      <c r="R63" s="77">
        <f t="shared" si="2"/>
        <v>-7214.6053613991253</v>
      </c>
      <c r="S63" s="63">
        <f>+S61</f>
        <v>-3012.1951219512193</v>
      </c>
      <c r="T63" s="63" t="e">
        <f>-#REF!*0.5</f>
        <v>#REF!</v>
      </c>
      <c r="U63" s="63">
        <f>U61</f>
        <v>-853.17840415381545</v>
      </c>
      <c r="V63" s="77">
        <f t="shared" si="20"/>
        <v>-46.150594512195148</v>
      </c>
      <c r="W63" s="83" t="e">
        <f t="shared" si="4"/>
        <v>#REF!</v>
      </c>
      <c r="X63" s="85" t="e">
        <f>X61+W63</f>
        <v>#REF!</v>
      </c>
      <c r="Z63" s="92">
        <f t="shared" si="19"/>
        <v>21507.073170731717</v>
      </c>
      <c r="AA63" s="5">
        <f t="shared" si="5"/>
        <v>645.21219512195148</v>
      </c>
      <c r="AB63" s="92">
        <f t="shared" si="6"/>
        <v>22152.28536585367</v>
      </c>
      <c r="AD63" s="133">
        <f>IF(AD61=0,0,IF(+S63+AD61&lt;-$S$68,0,+S63+AD61))</f>
        <v>-168682.92682926852</v>
      </c>
      <c r="AE63" s="3">
        <f t="shared" si="8"/>
        <v>1</v>
      </c>
    </row>
    <row r="64" spans="9:31" x14ac:dyDescent="0.45">
      <c r="I64" s="20">
        <f t="shared" si="10"/>
        <v>58</v>
      </c>
      <c r="J64" s="63">
        <f t="shared" si="11"/>
        <v>21459.153823763325</v>
      </c>
      <c r="K64" s="79">
        <f t="shared" si="25"/>
        <v>94.785714023145388</v>
      </c>
      <c r="L64" s="63">
        <f t="shared" si="12"/>
        <v>-7214.6053613991253</v>
      </c>
      <c r="M64" s="80">
        <f t="shared" si="0"/>
        <v>14339.334176387347</v>
      </c>
      <c r="O64" s="20">
        <f t="shared" si="13"/>
        <v>58</v>
      </c>
      <c r="P64" s="54">
        <f t="shared" si="14"/>
        <v>30167.25</v>
      </c>
      <c r="Q64" s="63">
        <f t="shared" si="15"/>
        <v>17063.568083076309</v>
      </c>
      <c r="R64" s="77">
        <f t="shared" si="2"/>
        <v>-7214.6053613991253</v>
      </c>
      <c r="S64" s="63">
        <f>+S61</f>
        <v>-3012.1951219512193</v>
      </c>
      <c r="T64" s="63" t="e">
        <f>-#REF!*0.5</f>
        <v>#REF!</v>
      </c>
      <c r="U64" s="63">
        <f>U61</f>
        <v>-853.17840415381545</v>
      </c>
      <c r="V64" s="77">
        <f t="shared" si="20"/>
        <v>-33.352530487804984</v>
      </c>
      <c r="W64" s="83" t="e">
        <f t="shared" si="4"/>
        <v>#REF!</v>
      </c>
      <c r="X64" s="85" t="e">
        <f>X61+W64</f>
        <v>#REF!</v>
      </c>
      <c r="Z64" s="92">
        <f t="shared" si="19"/>
        <v>15542.926829268341</v>
      </c>
      <c r="AA64" s="5">
        <f t="shared" si="5"/>
        <v>466.28780487805022</v>
      </c>
      <c r="AB64" s="92">
        <f t="shared" si="6"/>
        <v>16009.21463414639</v>
      </c>
      <c r="AD64" s="133">
        <f>IF(AD61=0,0,IF(+S64+AD61&lt;-$S$68,0,+S64+AD61))</f>
        <v>-168682.92682926852</v>
      </c>
      <c r="AE64" s="3">
        <f t="shared" si="8"/>
        <v>1</v>
      </c>
    </row>
    <row r="65" spans="9:31" x14ac:dyDescent="0.45">
      <c r="I65" s="20">
        <f t="shared" si="10"/>
        <v>59</v>
      </c>
      <c r="J65" s="63">
        <f t="shared" si="11"/>
        <v>14339.334176387347</v>
      </c>
      <c r="K65" s="79">
        <f t="shared" si="25"/>
        <v>63.33726109089455</v>
      </c>
      <c r="L65" s="63">
        <f t="shared" si="12"/>
        <v>-7214.6053613991253</v>
      </c>
      <c r="M65" s="80">
        <f t="shared" si="0"/>
        <v>7188.0660760791152</v>
      </c>
      <c r="O65" s="20">
        <f t="shared" si="13"/>
        <v>59</v>
      </c>
      <c r="P65" s="54">
        <f t="shared" si="14"/>
        <v>30687.375</v>
      </c>
      <c r="Q65" s="63">
        <f t="shared" si="15"/>
        <v>17063.568083076309</v>
      </c>
      <c r="R65" s="77">
        <f t="shared" si="2"/>
        <v>-7214.6053613991253</v>
      </c>
      <c r="S65" s="63">
        <f>+S62</f>
        <v>-3012.1951219512193</v>
      </c>
      <c r="T65" s="63" t="e">
        <f>-#REF!*0.5</f>
        <v>#REF!</v>
      </c>
      <c r="U65" s="63">
        <f>U62</f>
        <v>-853.17840415381545</v>
      </c>
      <c r="V65" s="77">
        <f t="shared" si="20"/>
        <v>-20.554466463414695</v>
      </c>
      <c r="W65" s="83" t="e">
        <f t="shared" si="4"/>
        <v>#REF!</v>
      </c>
      <c r="X65" s="85" t="e">
        <f>X62+W65</f>
        <v>#REF!</v>
      </c>
      <c r="Z65" s="92">
        <f t="shared" si="19"/>
        <v>9578.7804878049064</v>
      </c>
      <c r="AA65" s="5">
        <f t="shared" si="5"/>
        <v>287.3634146341472</v>
      </c>
      <c r="AB65" s="92">
        <f t="shared" si="6"/>
        <v>9866.1439024390529</v>
      </c>
      <c r="AD65" s="133">
        <f>IF(AD62=0,0,IF(+S65+AD62&lt;-$S$68,0,+S65+AD62))</f>
        <v>-171695.12195121974</v>
      </c>
      <c r="AE65" s="3">
        <f t="shared" si="8"/>
        <v>1</v>
      </c>
    </row>
    <row r="66" spans="9:31" ht="14.65" thickBot="1" x14ac:dyDescent="0.5">
      <c r="I66" s="20">
        <f t="shared" si="10"/>
        <v>60</v>
      </c>
      <c r="J66" s="63">
        <f t="shared" si="11"/>
        <v>7188.0660760791152</v>
      </c>
      <c r="K66" s="79">
        <f t="shared" si="25"/>
        <v>31.749899416454365</v>
      </c>
      <c r="L66" s="63">
        <f t="shared" si="12"/>
        <v>-7214.6053613991253</v>
      </c>
      <c r="M66" s="80">
        <f t="shared" si="0"/>
        <v>5.2106140964442602</v>
      </c>
      <c r="O66" s="20">
        <f t="shared" si="13"/>
        <v>60</v>
      </c>
      <c r="P66" s="54">
        <f t="shared" si="14"/>
        <v>31207.5</v>
      </c>
      <c r="Q66" s="63">
        <f t="shared" si="15"/>
        <v>17063.568083076309</v>
      </c>
      <c r="R66" s="77">
        <f t="shared" si="2"/>
        <v>-7214.6053613991253</v>
      </c>
      <c r="S66" s="63">
        <f>+S62</f>
        <v>-3012.1951219512193</v>
      </c>
      <c r="T66" s="63" t="e">
        <f>-#REF!*0.5</f>
        <v>#REF!</v>
      </c>
      <c r="U66" s="63">
        <f>U62</f>
        <v>-853.17840415381545</v>
      </c>
      <c r="V66" s="77">
        <f t="shared" si="20"/>
        <v>-7.7564024390244084</v>
      </c>
      <c r="W66" s="83" t="e">
        <f t="shared" si="4"/>
        <v>#REF!</v>
      </c>
      <c r="X66" s="85" t="e">
        <f>X62+W66</f>
        <v>#REF!</v>
      </c>
      <c r="Z66" s="92">
        <f t="shared" si="19"/>
        <v>3614.6341463414719</v>
      </c>
      <c r="AA66" s="5">
        <f t="shared" si="5"/>
        <v>108.43902439024416</v>
      </c>
      <c r="AB66" s="92">
        <f t="shared" si="6"/>
        <v>3723.0731707317159</v>
      </c>
      <c r="AD66" s="133">
        <f>IF(AD62=0,0,IF(+S66+AD62&lt;-$S$68,0,+S66+AD62))</f>
        <v>-171695.12195121974</v>
      </c>
      <c r="AE66" s="3">
        <f t="shared" si="8"/>
        <v>1</v>
      </c>
    </row>
    <row r="67" spans="9:31" ht="14.65" thickBot="1" x14ac:dyDescent="0.5">
      <c r="I67" s="21" t="s">
        <v>20</v>
      </c>
      <c r="J67" s="69">
        <f>C7*C11</f>
        <v>3795.3658536585363</v>
      </c>
      <c r="K67" s="69">
        <f>SUM(K7:K54)</f>
        <v>50909.441930107198</v>
      </c>
      <c r="L67" s="81"/>
      <c r="M67" s="82"/>
      <c r="O67" s="58"/>
      <c r="P67" s="59"/>
      <c r="Q67" s="69">
        <f t="shared" ref="Q67:V67" si="26">SUM(Q7:Q54)</f>
        <v>819051.26798766246</v>
      </c>
      <c r="R67" s="69">
        <f t="shared" si="26"/>
        <v>-346301.05734715803</v>
      </c>
      <c r="S67" s="87">
        <f t="shared" si="26"/>
        <v>-144585.3658536587</v>
      </c>
      <c r="T67" s="87">
        <f t="shared" si="26"/>
        <v>-54219.512195121948</v>
      </c>
      <c r="U67" s="69">
        <f t="shared" si="26"/>
        <v>-40952.563399383122</v>
      </c>
      <c r="V67" s="69">
        <f t="shared" si="26"/>
        <v>-22180.208414634148</v>
      </c>
      <c r="W67" s="88"/>
      <c r="X67" s="82"/>
    </row>
    <row r="68" spans="9:31" x14ac:dyDescent="0.45">
      <c r="Q68" s="89">
        <f>+SUM(Q67:V67)</f>
        <v>210812.5607777065</v>
      </c>
      <c r="R68" s="89"/>
      <c r="S68" s="90">
        <f>D31</f>
        <v>180731.70731707316</v>
      </c>
      <c r="T68" s="60">
        <f>D32</f>
        <v>54219.512195121948</v>
      </c>
      <c r="U68" s="89"/>
      <c r="V68" s="89"/>
      <c r="W68" s="89"/>
      <c r="X68" s="89"/>
    </row>
    <row r="69" spans="9:31" ht="14.65" thickBot="1" x14ac:dyDescent="0.5">
      <c r="L69" s="129">
        <f>+PMT(C8/12,C12,(C7),,)</f>
        <v>-7214.6053613991253</v>
      </c>
      <c r="Q69" s="89"/>
      <c r="R69" s="89"/>
      <c r="S69" s="91">
        <f>S67+S68</f>
        <v>36146.341463414457</v>
      </c>
      <c r="T69" s="66">
        <f>T67+T68</f>
        <v>0</v>
      </c>
      <c r="U69" s="89"/>
      <c r="V69" s="89"/>
      <c r="W69" s="89"/>
      <c r="X69" s="89"/>
    </row>
    <row r="70" spans="9:31" ht="14.65" thickBot="1" x14ac:dyDescent="0.5">
      <c r="I70" s="12"/>
      <c r="J70" s="316"/>
      <c r="K70" s="316"/>
      <c r="L70" s="316"/>
      <c r="M70" s="316"/>
      <c r="O70" s="12"/>
      <c r="P70" s="12"/>
      <c r="Q70" s="316"/>
      <c r="R70" s="316"/>
      <c r="S70" s="317"/>
      <c r="T70" s="318"/>
      <c r="U70" s="316"/>
      <c r="V70" s="316"/>
      <c r="W70" s="316"/>
      <c r="X70" s="316"/>
    </row>
    <row r="71" spans="9:31" ht="14.65" thickBot="1" x14ac:dyDescent="0.5">
      <c r="I71" s="12"/>
      <c r="J71" s="316"/>
      <c r="K71" s="316"/>
      <c r="L71" s="316"/>
      <c r="M71" s="316"/>
      <c r="O71" s="12"/>
      <c r="P71" s="12"/>
      <c r="Q71" s="316"/>
      <c r="R71" s="316"/>
      <c r="S71" s="317"/>
      <c r="T71" s="318"/>
      <c r="U71" s="316"/>
      <c r="V71" s="316"/>
      <c r="W71" s="316"/>
      <c r="X71" s="316"/>
    </row>
    <row r="72" spans="9:31" x14ac:dyDescent="0.45">
      <c r="Q72" s="89"/>
      <c r="R72" s="89"/>
      <c r="S72" s="90">
        <f>D31</f>
        <v>180731.70731707316</v>
      </c>
      <c r="T72" s="60">
        <f>D32</f>
        <v>54219.512195121948</v>
      </c>
      <c r="U72" s="89"/>
      <c r="V72" s="89"/>
      <c r="W72" s="89"/>
      <c r="X72" s="89"/>
    </row>
    <row r="73" spans="9:31" ht="14.65" thickBot="1" x14ac:dyDescent="0.5">
      <c r="L73" s="129"/>
      <c r="Q73" s="89"/>
      <c r="R73" s="89"/>
      <c r="S73" s="91">
        <f>S55+S72</f>
        <v>177719.51219512193</v>
      </c>
      <c r="T73" s="66">
        <f>T55+T72</f>
        <v>54219.512195121948</v>
      </c>
      <c r="U73" s="89"/>
      <c r="V73" s="89"/>
      <c r="W73" s="89"/>
      <c r="X73" s="89"/>
    </row>
  </sheetData>
  <mergeCells count="11">
    <mergeCell ref="A16:E16"/>
    <mergeCell ref="A25:G25"/>
    <mergeCell ref="A41:G41"/>
    <mergeCell ref="B42:E42"/>
    <mergeCell ref="B43:E43"/>
    <mergeCell ref="A1:X1"/>
    <mergeCell ref="A3:C3"/>
    <mergeCell ref="D3:X3"/>
    <mergeCell ref="A5:C5"/>
    <mergeCell ref="I5:M5"/>
    <mergeCell ref="O5:X5"/>
  </mergeCells>
  <printOptions horizontalCentered="1"/>
  <pageMargins left="0.70866141732283505" right="0.70866141732283505" top="0.74803149606299202" bottom="0.74803149606299202" header="0.31496062992126" footer="0.31496062992126"/>
  <headerFooter>
    <oddHeader>&amp;R&amp;A</oddHeader>
    <oddFooter>&amp;L&amp;D&amp;C&amp;P&amp;R&amp;A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BAB0-95CB-3047-8870-0C9FA679FACB}">
  <sheetPr>
    <tabColor theme="9" tint="-0.249977111117893"/>
    <pageSetUpPr fitToPage="1"/>
  </sheetPr>
  <dimension ref="A1:AJ73"/>
  <sheetViews>
    <sheetView zoomScale="70" zoomScaleNormal="70" workbookViewId="0">
      <selection activeCell="C10" sqref="C10"/>
    </sheetView>
  </sheetViews>
  <sheetFormatPr defaultColWidth="9.1328125" defaultRowHeight="14.25" x14ac:dyDescent="0.45"/>
  <cols>
    <col min="1" max="1" width="6.265625" style="3" customWidth="1"/>
    <col min="2" max="2" width="18.265625" style="3" bestFit="1" customWidth="1"/>
    <col min="3" max="4" width="15" style="3" bestFit="1" customWidth="1"/>
    <col min="5" max="5" width="14" style="3" bestFit="1" customWidth="1"/>
    <col min="6" max="6" width="17.3984375" style="3" bestFit="1" customWidth="1"/>
    <col min="7" max="7" width="15.1328125" style="3" bestFit="1" customWidth="1"/>
    <col min="8" max="8" width="9.1328125" style="3"/>
    <col min="9" max="9" width="7.3984375" style="3" bestFit="1" customWidth="1"/>
    <col min="10" max="10" width="15" style="3" bestFit="1" customWidth="1"/>
    <col min="11" max="11" width="14" style="3" bestFit="1" customWidth="1"/>
    <col min="12" max="12" width="13.1328125" style="3" bestFit="1" customWidth="1"/>
    <col min="13" max="13" width="15" style="3" bestFit="1" customWidth="1"/>
    <col min="14" max="16" width="9.1328125" style="3"/>
    <col min="17" max="19" width="15.86328125" style="3" bestFit="1" customWidth="1"/>
    <col min="20" max="21" width="14.73046875" style="3" customWidth="1"/>
    <col min="22" max="22" width="13.265625" style="3" bestFit="1" customWidth="1"/>
    <col min="23" max="23" width="14.86328125" style="3" bestFit="1" customWidth="1"/>
    <col min="24" max="24" width="15.1328125" style="3" bestFit="1" customWidth="1"/>
    <col min="25" max="25" width="9.1328125" style="3"/>
    <col min="26" max="26" width="15" style="3" customWidth="1"/>
    <col min="27" max="27" width="9.1328125" style="3"/>
    <col min="28" max="28" width="16.265625" style="3" customWidth="1"/>
    <col min="29" max="29" width="6" style="3" customWidth="1"/>
    <col min="30" max="30" width="18.86328125" style="3" customWidth="1"/>
    <col min="31" max="31" width="9.1328125" style="3"/>
    <col min="32" max="32" width="9.86328125" style="3" bestFit="1" customWidth="1"/>
    <col min="33" max="33" width="13.86328125" style="3" customWidth="1"/>
    <col min="34" max="34" width="11.86328125" style="3" customWidth="1"/>
    <col min="35" max="35" width="14.1328125" style="3" customWidth="1"/>
    <col min="36" max="36" width="12.73046875" style="3" customWidth="1"/>
    <col min="37" max="16384" width="9.1328125" style="3"/>
  </cols>
  <sheetData>
    <row r="1" spans="1:36" ht="62.25" customHeight="1" thickBot="1" x14ac:dyDescent="0.5">
      <c r="A1" s="676">
        <f>+ASSUMPTIONS!B1</f>
        <v>0</v>
      </c>
      <c r="B1" s="677"/>
      <c r="C1" s="677"/>
      <c r="D1" s="677"/>
      <c r="E1" s="677"/>
      <c r="F1" s="677"/>
      <c r="G1" s="677"/>
      <c r="H1" s="677"/>
      <c r="I1" s="677"/>
      <c r="J1" s="677"/>
      <c r="K1" s="677"/>
      <c r="L1" s="677"/>
      <c r="M1" s="677"/>
      <c r="N1" s="677"/>
      <c r="O1" s="677"/>
      <c r="P1" s="677"/>
      <c r="Q1" s="677"/>
      <c r="R1" s="677"/>
      <c r="S1" s="677"/>
      <c r="T1" s="677"/>
      <c r="U1" s="677"/>
      <c r="V1" s="677"/>
      <c r="W1" s="677"/>
      <c r="X1" s="678"/>
    </row>
    <row r="2" spans="1:36" ht="16.149999999999999" thickBot="1" x14ac:dyDescent="0.5">
      <c r="A2" s="308"/>
      <c r="B2" s="308"/>
      <c r="C2" s="309"/>
      <c r="D2" s="309"/>
      <c r="E2" s="309"/>
      <c r="F2" s="309"/>
      <c r="G2" s="309"/>
      <c r="H2" s="309"/>
      <c r="I2" s="310"/>
      <c r="J2" s="309"/>
      <c r="K2" s="309"/>
      <c r="L2" s="309"/>
      <c r="M2" s="309"/>
    </row>
    <row r="3" spans="1:36" ht="32.25" customHeight="1" thickBot="1" x14ac:dyDescent="0.5">
      <c r="A3" s="679" t="str">
        <f>'Summary Equip'!B7</f>
        <v>EXC 90t</v>
      </c>
      <c r="B3" s="680"/>
      <c r="C3" s="681"/>
      <c r="D3" s="682"/>
      <c r="E3" s="683"/>
      <c r="F3" s="683"/>
      <c r="G3" s="683"/>
      <c r="H3" s="683"/>
      <c r="I3" s="683"/>
      <c r="J3" s="683"/>
      <c r="K3" s="683"/>
      <c r="L3" s="683"/>
      <c r="M3" s="683"/>
      <c r="N3" s="683"/>
      <c r="O3" s="683"/>
      <c r="P3" s="683"/>
      <c r="Q3" s="683"/>
      <c r="R3" s="683"/>
      <c r="S3" s="683"/>
      <c r="T3" s="683"/>
      <c r="U3" s="683"/>
      <c r="V3" s="683"/>
      <c r="W3" s="683"/>
      <c r="X3" s="684"/>
      <c r="AG3" s="3">
        <v>0.8</v>
      </c>
      <c r="AI3" s="3">
        <f>1-AG3</f>
        <v>0.19999999999999996</v>
      </c>
    </row>
    <row r="4" spans="1:36" ht="14.65" thickBot="1" x14ac:dyDescent="0.5">
      <c r="C4" s="11"/>
      <c r="D4" s="11"/>
      <c r="E4" s="11"/>
      <c r="F4" s="11"/>
      <c r="G4" s="11"/>
      <c r="H4" s="11"/>
      <c r="I4" s="12"/>
      <c r="J4" s="11"/>
      <c r="K4" s="11"/>
      <c r="L4" s="11"/>
      <c r="M4" s="11"/>
      <c r="Q4" s="368">
        <f>+'Summary Equip'!AC6</f>
        <v>520.125</v>
      </c>
      <c r="U4" s="57">
        <v>0.05</v>
      </c>
      <c r="AG4" s="132">
        <f>+$D$31*AG3</f>
        <v>400000</v>
      </c>
      <c r="AH4" s="337">
        <f>+D32</f>
        <v>150000</v>
      </c>
      <c r="AI4" s="132">
        <f>+$D$31*AI3</f>
        <v>99999.999999999971</v>
      </c>
      <c r="AJ4" s="132">
        <f>+D33</f>
        <v>30000</v>
      </c>
    </row>
    <row r="5" spans="1:36" ht="23.25" customHeight="1" thickBot="1" x14ac:dyDescent="0.5">
      <c r="A5" s="685" t="s">
        <v>9</v>
      </c>
      <c r="B5" s="686"/>
      <c r="C5" s="687"/>
      <c r="D5" s="11"/>
      <c r="E5" s="11"/>
      <c r="F5" s="11"/>
      <c r="G5" s="11"/>
      <c r="H5" s="11"/>
      <c r="I5" s="688" t="s">
        <v>34</v>
      </c>
      <c r="J5" s="689"/>
      <c r="K5" s="689"/>
      <c r="L5" s="689"/>
      <c r="M5" s="690"/>
      <c r="O5" s="688" t="s">
        <v>35</v>
      </c>
      <c r="P5" s="691"/>
      <c r="Q5" s="689"/>
      <c r="R5" s="689"/>
      <c r="S5" s="689"/>
      <c r="T5" s="689"/>
      <c r="U5" s="689"/>
      <c r="V5" s="689"/>
      <c r="W5" s="692"/>
      <c r="X5" s="693"/>
      <c r="AA5" s="145">
        <v>0</v>
      </c>
      <c r="AH5" s="3">
        <f>+SUM(AH7:AH66)</f>
        <v>0</v>
      </c>
      <c r="AJ5" s="3">
        <f>+SUM(AJ7:AJ66)</f>
        <v>0</v>
      </c>
    </row>
    <row r="6" spans="1:36" ht="28.9" thickBot="1" x14ac:dyDescent="0.5">
      <c r="A6" s="29" t="s">
        <v>0</v>
      </c>
      <c r="B6" s="28" t="s">
        <v>1</v>
      </c>
      <c r="C6" s="50" t="s">
        <v>10</v>
      </c>
      <c r="D6" s="11"/>
      <c r="E6" s="11"/>
      <c r="F6" s="11"/>
      <c r="G6" s="11"/>
      <c r="H6" s="11"/>
      <c r="I6" s="16" t="s">
        <v>15</v>
      </c>
      <c r="J6" s="17" t="s">
        <v>70</v>
      </c>
      <c r="K6" s="17" t="s">
        <v>17</v>
      </c>
      <c r="L6" s="17" t="s">
        <v>18</v>
      </c>
      <c r="M6" s="18" t="s">
        <v>19</v>
      </c>
      <c r="O6" s="16" t="s">
        <v>15</v>
      </c>
      <c r="P6" s="52" t="s">
        <v>39</v>
      </c>
      <c r="Q6" s="17" t="s">
        <v>36</v>
      </c>
      <c r="R6" s="17" t="s">
        <v>37</v>
      </c>
      <c r="S6" s="17" t="s">
        <v>27</v>
      </c>
      <c r="T6" s="17" t="s">
        <v>38</v>
      </c>
      <c r="U6" s="17" t="s">
        <v>7</v>
      </c>
      <c r="V6" s="17" t="s">
        <v>41</v>
      </c>
      <c r="W6" s="18" t="s">
        <v>40</v>
      </c>
      <c r="X6" s="55" t="s">
        <v>42</v>
      </c>
      <c r="Z6" s="5" t="s">
        <v>71</v>
      </c>
      <c r="AA6" s="5" t="s">
        <v>46</v>
      </c>
      <c r="AB6" s="5" t="s">
        <v>47</v>
      </c>
      <c r="AE6" s="12" t="str">
        <f>+O6</f>
        <v>Month</v>
      </c>
      <c r="AF6" s="12" t="str">
        <f>+P6</f>
        <v>Hours</v>
      </c>
      <c r="AG6" s="3" t="s">
        <v>89</v>
      </c>
      <c r="AH6" s="3" t="s">
        <v>105</v>
      </c>
      <c r="AI6" s="3" t="s">
        <v>106</v>
      </c>
      <c r="AJ6" s="3" t="s">
        <v>107</v>
      </c>
    </row>
    <row r="7" spans="1:36" x14ac:dyDescent="0.45">
      <c r="A7" s="8">
        <v>1</v>
      </c>
      <c r="B7" s="9" t="s">
        <v>11</v>
      </c>
      <c r="C7" s="152">
        <f>+F11*(1+'Summary Equip'!$N$3)</f>
        <v>1050000</v>
      </c>
      <c r="D7" s="11"/>
      <c r="E7" s="8" t="s">
        <v>61</v>
      </c>
      <c r="F7" s="150">
        <f>+'Summary Equip'!J7</f>
        <v>1000000</v>
      </c>
      <c r="G7" s="379"/>
      <c r="H7" s="383">
        <v>1</v>
      </c>
      <c r="I7" s="53">
        <v>1</v>
      </c>
      <c r="J7" s="77">
        <f>C7</f>
        <v>1050000</v>
      </c>
      <c r="K7" s="77">
        <f>J7*$C$8*30.44/365.25</f>
        <v>4637.8809034907599</v>
      </c>
      <c r="L7" s="77">
        <f>+L69</f>
        <v>-19959.434535584627</v>
      </c>
      <c r="M7" s="78">
        <f t="shared" ref="M7:M66" si="0">J7+K7+L7</f>
        <v>1034678.4463679062</v>
      </c>
      <c r="O7" s="15">
        <v>1</v>
      </c>
      <c r="P7" s="53">
        <f>Q4</f>
        <v>520.125</v>
      </c>
      <c r="Q7" s="77">
        <f>$F$42+($Q$4*$G$42)</f>
        <v>45125.440098887702</v>
      </c>
      <c r="R7" s="77">
        <f>+L7</f>
        <v>-19959.434535584627</v>
      </c>
      <c r="S7" s="77">
        <f>+IF(R7=0,,-S68/C12)</f>
        <v>-8333.3333333333339</v>
      </c>
      <c r="T7" s="77"/>
      <c r="U7" s="77">
        <f>-Q7*U4</f>
        <v>-2256.2720049443851</v>
      </c>
      <c r="V7" s="77">
        <f>-(AB7*$C$9/12)</f>
        <v>-2048.9583333333335</v>
      </c>
      <c r="W7" s="83">
        <f>SUM(Q7:V7)</f>
        <v>12527.441891692024</v>
      </c>
      <c r="X7" s="84">
        <f>W7</f>
        <v>12527.441891692024</v>
      </c>
      <c r="Z7" s="92">
        <f>+$D$27-(($D$27+$D$28)*O7/$B$22)</f>
        <v>983500</v>
      </c>
      <c r="AA7" s="5">
        <f>+Z7*$AA$5</f>
        <v>0</v>
      </c>
      <c r="AB7" s="92">
        <f>+Z7+AA7</f>
        <v>983500</v>
      </c>
      <c r="AC7" s="132"/>
      <c r="AE7" s="12">
        <f>+O7</f>
        <v>1</v>
      </c>
      <c r="AF7" s="337">
        <f>+P7</f>
        <v>520.125</v>
      </c>
      <c r="AG7" s="176">
        <f>+AG$4/$D$13*$D$14</f>
        <v>6666.6666666666661</v>
      </c>
      <c r="AI7" s="176">
        <f>+AI$4/$D$13*$D$14</f>
        <v>1666.6666666666661</v>
      </c>
    </row>
    <row r="8" spans="1:36" ht="28.5" x14ac:dyDescent="0.45">
      <c r="A8" s="4">
        <f>A7+1</f>
        <v>2</v>
      </c>
      <c r="B8" s="5" t="s">
        <v>3</v>
      </c>
      <c r="C8" s="156">
        <f>+'Summary Equip'!R7</f>
        <v>5.2999999999999999E-2</v>
      </c>
      <c r="D8" s="11"/>
      <c r="E8" s="107" t="s">
        <v>64</v>
      </c>
      <c r="F8" s="311">
        <f>+'Summary Equip'!D7</f>
        <v>0</v>
      </c>
      <c r="G8" s="380"/>
      <c r="H8" s="383">
        <f>+'Summary Equip'!C6</f>
        <v>1</v>
      </c>
      <c r="I8" s="54">
        <f>I7+1</f>
        <v>2</v>
      </c>
      <c r="J8" s="63">
        <f>+IF(M7&lt;0,,M7)</f>
        <v>1034678.4463679062</v>
      </c>
      <c r="K8" s="63">
        <f t="shared" ref="K8:K54" si="1">J8*$C$8*30.44/365.25</f>
        <v>4570.2051501554288</v>
      </c>
      <c r="L8" s="63">
        <f>IF(M7&lt;0,,L7)</f>
        <v>-19959.434535584627</v>
      </c>
      <c r="M8" s="65">
        <f t="shared" si="0"/>
        <v>1019289.216982477</v>
      </c>
      <c r="O8" s="14">
        <f>O7+1</f>
        <v>2</v>
      </c>
      <c r="P8" s="54">
        <f>P7+$Q$4</f>
        <v>1040.25</v>
      </c>
      <c r="Q8" s="63">
        <f>$F$42+($Q$4*$G$42)</f>
        <v>45125.440098887702</v>
      </c>
      <c r="R8" s="77">
        <f t="shared" ref="R8:R66" si="2">+L8</f>
        <v>-19959.434535584627</v>
      </c>
      <c r="S8" s="63">
        <f>+IF(R8=0,,S7)</f>
        <v>-8333.3333333333339</v>
      </c>
      <c r="T8" s="63"/>
      <c r="U8" s="63">
        <f>U7</f>
        <v>-2256.2720049443851</v>
      </c>
      <c r="V8" s="77">
        <f t="shared" ref="V8:V14" si="3">-(AB8*$C$9/12)</f>
        <v>-2014.5833333333333</v>
      </c>
      <c r="W8" s="83">
        <f t="shared" ref="W8:W66" si="4">SUM(Q8:V8)</f>
        <v>12561.816891692024</v>
      </c>
      <c r="X8" s="85">
        <f>X7+W8</f>
        <v>25089.258783384048</v>
      </c>
      <c r="Z8" s="92">
        <f>+$D$27-(($D$27+$D$28)*O8/$B$22)</f>
        <v>967000</v>
      </c>
      <c r="AA8" s="5">
        <f t="shared" ref="AA8:AA66" si="5">+Z8*$AA$5</f>
        <v>0</v>
      </c>
      <c r="AB8" s="92">
        <f t="shared" ref="AB8:AB66" si="6">+Z8+AA8</f>
        <v>967000</v>
      </c>
      <c r="AE8" s="12">
        <f t="shared" ref="AE8:AE66" si="7">+O8</f>
        <v>2</v>
      </c>
      <c r="AF8" s="337">
        <f t="shared" ref="AF8:AF66" si="8">+P8</f>
        <v>1040.25</v>
      </c>
      <c r="AG8" s="176">
        <f t="shared" ref="AG8:AG66" si="9">+AG$4/$D$13*$D$14</f>
        <v>6666.6666666666661</v>
      </c>
      <c r="AI8" s="176">
        <f t="shared" ref="AI8:AI66" si="10">+AI$4/$D$13*$D$14</f>
        <v>1666.6666666666661</v>
      </c>
    </row>
    <row r="9" spans="1:36" x14ac:dyDescent="0.45">
      <c r="A9" s="4">
        <f t="shared" ref="A9:A14" si="11">A8+1</f>
        <v>3</v>
      </c>
      <c r="B9" s="5" t="s">
        <v>4</v>
      </c>
      <c r="C9" s="157">
        <f>+'Summary Equip'!S7</f>
        <v>2.5000000000000001E-2</v>
      </c>
      <c r="D9" s="11"/>
      <c r="E9" s="338" t="s">
        <v>69</v>
      </c>
      <c r="F9" s="311">
        <f>'Summary Equip'!F7</f>
        <v>50000</v>
      </c>
      <c r="G9" s="381"/>
      <c r="H9" s="383">
        <f>+'Summary Equip'!E6</f>
        <v>1</v>
      </c>
      <c r="I9" s="54">
        <f t="shared" ref="I9:I66" si="12">I8+1</f>
        <v>3</v>
      </c>
      <c r="J9" s="63">
        <f t="shared" ref="J9:J66" si="13">+IF(M8&lt;0,,M8)</f>
        <v>1019289.216982477</v>
      </c>
      <c r="K9" s="63">
        <f t="shared" si="1"/>
        <v>4502.2304710257895</v>
      </c>
      <c r="L9" s="63">
        <f t="shared" ref="L9:L66" si="14">IF(M8&lt;0,,L8)</f>
        <v>-19959.434535584627</v>
      </c>
      <c r="M9" s="65">
        <f t="shared" si="0"/>
        <v>1003832.0129179182</v>
      </c>
      <c r="O9" s="14">
        <f t="shared" ref="O9:O66" si="15">O8+1</f>
        <v>3</v>
      </c>
      <c r="P9" s="54">
        <f t="shared" ref="P9:P66" si="16">P8+$Q$4</f>
        <v>1560.375</v>
      </c>
      <c r="Q9" s="63">
        <f t="shared" ref="Q9:Q66" si="17">$F$42+($Q$4*$G$42)</f>
        <v>45125.440098887702</v>
      </c>
      <c r="R9" s="77">
        <f t="shared" si="2"/>
        <v>-19959.434535584627</v>
      </c>
      <c r="S9" s="63">
        <f t="shared" ref="S9:S62" si="18">+S8</f>
        <v>-8333.3333333333339</v>
      </c>
      <c r="T9" s="63"/>
      <c r="U9" s="63">
        <f t="shared" ref="U9:U62" si="19">U8</f>
        <v>-2256.2720049443851</v>
      </c>
      <c r="V9" s="77">
        <f t="shared" si="3"/>
        <v>-1980.2083333333333</v>
      </c>
      <c r="W9" s="83">
        <f t="shared" si="4"/>
        <v>12596.191891692024</v>
      </c>
      <c r="X9" s="85">
        <f t="shared" ref="X9:X62" si="20">X8+W9</f>
        <v>37685.45067507607</v>
      </c>
      <c r="Z9" s="92">
        <f t="shared" ref="Z9:Z66" si="21">+$D$27-(($D$27+$D$28)*O9/$B$22)</f>
        <v>950500</v>
      </c>
      <c r="AA9" s="5">
        <f t="shared" si="5"/>
        <v>0</v>
      </c>
      <c r="AB9" s="92">
        <f t="shared" si="6"/>
        <v>950500</v>
      </c>
      <c r="AE9" s="12">
        <f t="shared" si="7"/>
        <v>3</v>
      </c>
      <c r="AF9" s="337">
        <f t="shared" si="8"/>
        <v>1560.375</v>
      </c>
      <c r="AG9" s="176">
        <f t="shared" si="9"/>
        <v>6666.6666666666661</v>
      </c>
      <c r="AI9" s="176">
        <f t="shared" si="10"/>
        <v>1666.6666666666661</v>
      </c>
    </row>
    <row r="10" spans="1:36" ht="14.65" thickBot="1" x14ac:dyDescent="0.5">
      <c r="A10" s="4">
        <f t="shared" si="11"/>
        <v>4</v>
      </c>
      <c r="B10" s="5" t="s">
        <v>5</v>
      </c>
      <c r="C10" s="158">
        <f>+'Summary Equip'!T7</f>
        <v>0.05</v>
      </c>
      <c r="D10" s="11"/>
      <c r="E10" s="111" t="s">
        <v>52</v>
      </c>
      <c r="F10" s="312">
        <f>SUM(F7:F8)*G10</f>
        <v>0</v>
      </c>
      <c r="G10" s="382">
        <f>+'Summary Equip'!H7</f>
        <v>0</v>
      </c>
      <c r="H10" s="383">
        <f>+'Summary Equip'!G6</f>
        <v>0</v>
      </c>
      <c r="I10" s="54">
        <f t="shared" si="12"/>
        <v>4</v>
      </c>
      <c r="J10" s="63">
        <f t="shared" si="13"/>
        <v>1003832.0129179182</v>
      </c>
      <c r="K10" s="63">
        <f t="shared" si="1"/>
        <v>4433.9555457378119</v>
      </c>
      <c r="L10" s="63">
        <f t="shared" si="14"/>
        <v>-19959.434535584627</v>
      </c>
      <c r="M10" s="65">
        <f t="shared" si="0"/>
        <v>988306.53392807127</v>
      </c>
      <c r="O10" s="14">
        <f t="shared" si="15"/>
        <v>4</v>
      </c>
      <c r="P10" s="54">
        <f t="shared" si="16"/>
        <v>2080.5</v>
      </c>
      <c r="Q10" s="63">
        <f t="shared" si="17"/>
        <v>45125.440098887702</v>
      </c>
      <c r="R10" s="77">
        <f t="shared" si="2"/>
        <v>-19959.434535584627</v>
      </c>
      <c r="S10" s="63">
        <f t="shared" si="18"/>
        <v>-8333.3333333333339</v>
      </c>
      <c r="T10" s="63"/>
      <c r="U10" s="63">
        <f t="shared" si="19"/>
        <v>-2256.2720049443851</v>
      </c>
      <c r="V10" s="77">
        <f t="shared" si="3"/>
        <v>-1945.8333333333333</v>
      </c>
      <c r="W10" s="83">
        <f t="shared" si="4"/>
        <v>12630.566891692024</v>
      </c>
      <c r="X10" s="85">
        <f t="shared" si="20"/>
        <v>50316.017566768096</v>
      </c>
      <c r="Z10" s="92">
        <f t="shared" si="21"/>
        <v>934000</v>
      </c>
      <c r="AA10" s="5">
        <f t="shared" si="5"/>
        <v>0</v>
      </c>
      <c r="AB10" s="92">
        <f t="shared" si="6"/>
        <v>934000</v>
      </c>
      <c r="AE10" s="12">
        <f t="shared" si="7"/>
        <v>4</v>
      </c>
      <c r="AF10" s="337">
        <f t="shared" si="8"/>
        <v>2080.5</v>
      </c>
      <c r="AG10" s="176">
        <f t="shared" si="9"/>
        <v>6666.6666666666661</v>
      </c>
      <c r="AI10" s="176">
        <f t="shared" si="10"/>
        <v>1666.6666666666661</v>
      </c>
    </row>
    <row r="11" spans="1:36" ht="14.65" thickBot="1" x14ac:dyDescent="0.5">
      <c r="A11" s="4">
        <f t="shared" si="11"/>
        <v>5</v>
      </c>
      <c r="B11" s="5" t="s">
        <v>12</v>
      </c>
      <c r="C11" s="159">
        <f>+'Summary Equip'!U7</f>
        <v>0.01</v>
      </c>
      <c r="D11" s="11"/>
      <c r="E11" s="112" t="s">
        <v>28</v>
      </c>
      <c r="F11" s="313">
        <f>SUMPRODUCT(F7:F10,H7:H10)</f>
        <v>1050000</v>
      </c>
      <c r="G11" s="113"/>
      <c r="H11" s="11"/>
      <c r="I11" s="14">
        <f t="shared" si="12"/>
        <v>5</v>
      </c>
      <c r="J11" s="63">
        <f t="shared" si="13"/>
        <v>988306.53392807127</v>
      </c>
      <c r="K11" s="63">
        <f t="shared" si="1"/>
        <v>4365.3790480953758</v>
      </c>
      <c r="L11" s="63">
        <f t="shared" si="14"/>
        <v>-19959.434535584627</v>
      </c>
      <c r="M11" s="65">
        <f t="shared" si="0"/>
        <v>972712.47844058205</v>
      </c>
      <c r="O11" s="14">
        <f t="shared" si="15"/>
        <v>5</v>
      </c>
      <c r="P11" s="54">
        <f t="shared" si="16"/>
        <v>2600.625</v>
      </c>
      <c r="Q11" s="63">
        <f t="shared" si="17"/>
        <v>45125.440098887702</v>
      </c>
      <c r="R11" s="77">
        <f t="shared" si="2"/>
        <v>-19959.434535584627</v>
      </c>
      <c r="S11" s="63">
        <f t="shared" si="18"/>
        <v>-8333.3333333333339</v>
      </c>
      <c r="T11" s="63"/>
      <c r="U11" s="63">
        <f t="shared" si="19"/>
        <v>-2256.2720049443851</v>
      </c>
      <c r="V11" s="77">
        <f t="shared" si="3"/>
        <v>-1911.4583333333333</v>
      </c>
      <c r="W11" s="83">
        <f t="shared" si="4"/>
        <v>12664.941891692024</v>
      </c>
      <c r="X11" s="85">
        <f t="shared" si="20"/>
        <v>62980.959458460122</v>
      </c>
      <c r="Z11" s="92">
        <f t="shared" si="21"/>
        <v>917500</v>
      </c>
      <c r="AA11" s="5">
        <f t="shared" si="5"/>
        <v>0</v>
      </c>
      <c r="AB11" s="92">
        <f t="shared" si="6"/>
        <v>917500</v>
      </c>
      <c r="AE11" s="12">
        <f t="shared" si="7"/>
        <v>5</v>
      </c>
      <c r="AF11" s="337">
        <f t="shared" si="8"/>
        <v>2600.625</v>
      </c>
      <c r="AG11" s="176">
        <f t="shared" si="9"/>
        <v>6666.6666666666661</v>
      </c>
      <c r="AI11" s="176">
        <f t="shared" si="10"/>
        <v>1666.6666666666661</v>
      </c>
    </row>
    <row r="12" spans="1:36" x14ac:dyDescent="0.45">
      <c r="A12" s="4">
        <f t="shared" si="11"/>
        <v>6</v>
      </c>
      <c r="B12" s="5" t="s">
        <v>13</v>
      </c>
      <c r="C12" s="160">
        <f>+'Summary Equip'!V7</f>
        <v>60</v>
      </c>
      <c r="D12" s="11"/>
      <c r="E12" s="11"/>
      <c r="F12" s="11"/>
      <c r="G12" s="11"/>
      <c r="H12" s="11"/>
      <c r="I12" s="14">
        <f t="shared" si="12"/>
        <v>6</v>
      </c>
      <c r="J12" s="63">
        <f t="shared" si="13"/>
        <v>972712.47844058205</v>
      </c>
      <c r="K12" s="63">
        <f t="shared" si="1"/>
        <v>4296.4996460445172</v>
      </c>
      <c r="L12" s="63">
        <f t="shared" si="14"/>
        <v>-19959.434535584627</v>
      </c>
      <c r="M12" s="65">
        <f t="shared" si="0"/>
        <v>957049.54355104198</v>
      </c>
      <c r="O12" s="14">
        <f t="shared" si="15"/>
        <v>6</v>
      </c>
      <c r="P12" s="54">
        <f t="shared" si="16"/>
        <v>3120.75</v>
      </c>
      <c r="Q12" s="63">
        <f t="shared" si="17"/>
        <v>45125.440098887702</v>
      </c>
      <c r="R12" s="77">
        <f t="shared" si="2"/>
        <v>-19959.434535584627</v>
      </c>
      <c r="S12" s="63">
        <f t="shared" si="18"/>
        <v>-8333.3333333333339</v>
      </c>
      <c r="T12" s="63"/>
      <c r="U12" s="63">
        <f t="shared" si="19"/>
        <v>-2256.2720049443851</v>
      </c>
      <c r="V12" s="77">
        <f t="shared" si="3"/>
        <v>-1877.0833333333333</v>
      </c>
      <c r="W12" s="83">
        <f t="shared" si="4"/>
        <v>12699.316891692024</v>
      </c>
      <c r="X12" s="85">
        <f t="shared" si="20"/>
        <v>75680.27635015214</v>
      </c>
      <c r="Z12" s="92">
        <f t="shared" si="21"/>
        <v>901000</v>
      </c>
      <c r="AA12" s="5">
        <f t="shared" si="5"/>
        <v>0</v>
      </c>
      <c r="AB12" s="92">
        <f t="shared" si="6"/>
        <v>901000</v>
      </c>
      <c r="AE12" s="12">
        <f t="shared" si="7"/>
        <v>6</v>
      </c>
      <c r="AF12" s="337">
        <f t="shared" si="8"/>
        <v>3120.75</v>
      </c>
      <c r="AG12" s="176">
        <f t="shared" si="9"/>
        <v>6666.6666666666661</v>
      </c>
      <c r="AI12" s="176">
        <f t="shared" si="10"/>
        <v>1666.6666666666661</v>
      </c>
    </row>
    <row r="13" spans="1:36" x14ac:dyDescent="0.45">
      <c r="A13" s="4">
        <f t="shared" si="11"/>
        <v>7</v>
      </c>
      <c r="B13" s="5" t="s">
        <v>14</v>
      </c>
      <c r="C13" s="161">
        <f>+'Summary Equip'!W7</f>
        <v>20000</v>
      </c>
      <c r="D13" s="176">
        <f>+C13*C14</f>
        <v>18000</v>
      </c>
      <c r="E13" s="11"/>
      <c r="F13" s="11"/>
      <c r="G13" s="11"/>
      <c r="H13" s="11"/>
      <c r="I13" s="14">
        <f t="shared" si="12"/>
        <v>7</v>
      </c>
      <c r="J13" s="63">
        <f t="shared" si="13"/>
        <v>957049.54355104198</v>
      </c>
      <c r="K13" s="63">
        <f t="shared" si="1"/>
        <v>4227.3160016475485</v>
      </c>
      <c r="L13" s="63">
        <f t="shared" si="14"/>
        <v>-19959.434535584627</v>
      </c>
      <c r="M13" s="65">
        <f t="shared" si="0"/>
        <v>941317.42501710483</v>
      </c>
      <c r="O13" s="14">
        <f t="shared" si="15"/>
        <v>7</v>
      </c>
      <c r="P13" s="54">
        <f t="shared" si="16"/>
        <v>3640.875</v>
      </c>
      <c r="Q13" s="63">
        <f t="shared" si="17"/>
        <v>45125.440098887702</v>
      </c>
      <c r="R13" s="77">
        <f t="shared" si="2"/>
        <v>-19959.434535584627</v>
      </c>
      <c r="S13" s="63">
        <f t="shared" si="18"/>
        <v>-8333.3333333333339</v>
      </c>
      <c r="T13" s="63"/>
      <c r="U13" s="63">
        <f t="shared" si="19"/>
        <v>-2256.2720049443851</v>
      </c>
      <c r="V13" s="77">
        <f t="shared" si="3"/>
        <v>-1842.7083333333333</v>
      </c>
      <c r="W13" s="83">
        <f t="shared" si="4"/>
        <v>12733.691891692024</v>
      </c>
      <c r="X13" s="85">
        <f t="shared" si="20"/>
        <v>88413.968241844166</v>
      </c>
      <c r="Z13" s="92">
        <f t="shared" si="21"/>
        <v>884500</v>
      </c>
      <c r="AA13" s="5">
        <f t="shared" si="5"/>
        <v>0</v>
      </c>
      <c r="AB13" s="92">
        <f t="shared" si="6"/>
        <v>884500</v>
      </c>
      <c r="AE13" s="12">
        <f t="shared" si="7"/>
        <v>7</v>
      </c>
      <c r="AF13" s="337">
        <f t="shared" si="8"/>
        <v>3640.875</v>
      </c>
      <c r="AG13" s="176">
        <f t="shared" si="9"/>
        <v>6666.6666666666661</v>
      </c>
      <c r="AI13" s="176">
        <f t="shared" si="10"/>
        <v>1666.6666666666661</v>
      </c>
    </row>
    <row r="14" spans="1:36" ht="14.65" thickBot="1" x14ac:dyDescent="0.5">
      <c r="A14" s="6">
        <f t="shared" si="11"/>
        <v>8</v>
      </c>
      <c r="B14" s="7" t="s">
        <v>33</v>
      </c>
      <c r="C14" s="162">
        <f>+'Summary Equip'!X7</f>
        <v>0.9</v>
      </c>
      <c r="D14" s="337">
        <f>+D13/C12</f>
        <v>300</v>
      </c>
      <c r="E14" s="11"/>
      <c r="F14" s="11"/>
      <c r="G14" s="11"/>
      <c r="H14" s="11"/>
      <c r="I14" s="14">
        <f t="shared" si="12"/>
        <v>8</v>
      </c>
      <c r="J14" s="63">
        <f t="shared" si="13"/>
        <v>941317.42501710483</v>
      </c>
      <c r="K14" s="63">
        <f t="shared" si="1"/>
        <v>4157.8267710570717</v>
      </c>
      <c r="L14" s="63">
        <f t="shared" si="14"/>
        <v>-19959.434535584627</v>
      </c>
      <c r="M14" s="65">
        <f t="shared" si="0"/>
        <v>925515.81725257728</v>
      </c>
      <c r="O14" s="14">
        <f t="shared" si="15"/>
        <v>8</v>
      </c>
      <c r="P14" s="54">
        <f t="shared" si="16"/>
        <v>4161</v>
      </c>
      <c r="Q14" s="63">
        <f t="shared" si="17"/>
        <v>45125.440098887702</v>
      </c>
      <c r="R14" s="77">
        <f t="shared" si="2"/>
        <v>-19959.434535584627</v>
      </c>
      <c r="S14" s="63">
        <f t="shared" si="18"/>
        <v>-8333.3333333333339</v>
      </c>
      <c r="T14" s="63"/>
      <c r="U14" s="63">
        <f t="shared" si="19"/>
        <v>-2256.2720049443851</v>
      </c>
      <c r="V14" s="77">
        <f t="shared" si="3"/>
        <v>-1808.3333333333333</v>
      </c>
      <c r="W14" s="83">
        <f t="shared" si="4"/>
        <v>12768.066891692024</v>
      </c>
      <c r="X14" s="85">
        <f t="shared" si="20"/>
        <v>101182.03513353619</v>
      </c>
      <c r="Z14" s="92">
        <f t="shared" si="21"/>
        <v>868000</v>
      </c>
      <c r="AA14" s="5">
        <f t="shared" si="5"/>
        <v>0</v>
      </c>
      <c r="AB14" s="92">
        <f t="shared" si="6"/>
        <v>868000</v>
      </c>
      <c r="AE14" s="12">
        <f t="shared" si="7"/>
        <v>8</v>
      </c>
      <c r="AF14" s="337">
        <f t="shared" si="8"/>
        <v>4161</v>
      </c>
      <c r="AG14" s="176">
        <f t="shared" si="9"/>
        <v>6666.6666666666661</v>
      </c>
      <c r="AI14" s="176">
        <f t="shared" si="10"/>
        <v>1666.6666666666661</v>
      </c>
    </row>
    <row r="15" spans="1:36" ht="14.65" thickBot="1" x14ac:dyDescent="0.5">
      <c r="C15" s="11"/>
      <c r="D15" s="11"/>
      <c r="E15" s="11"/>
      <c r="F15" s="11"/>
      <c r="G15" s="11"/>
      <c r="H15" s="11"/>
      <c r="I15" s="14">
        <f t="shared" si="12"/>
        <v>9</v>
      </c>
      <c r="J15" s="63">
        <f t="shared" si="13"/>
        <v>925515.81725257728</v>
      </c>
      <c r="K15" s="63">
        <f t="shared" si="1"/>
        <v>4088.030604489878</v>
      </c>
      <c r="L15" s="63">
        <f t="shared" si="14"/>
        <v>-19959.434535584627</v>
      </c>
      <c r="M15" s="65">
        <f t="shared" si="0"/>
        <v>909644.41332148248</v>
      </c>
      <c r="O15" s="14">
        <f t="shared" si="15"/>
        <v>9</v>
      </c>
      <c r="P15" s="54">
        <f t="shared" si="16"/>
        <v>4681.125</v>
      </c>
      <c r="Q15" s="63">
        <f t="shared" si="17"/>
        <v>45125.440098887702</v>
      </c>
      <c r="R15" s="77">
        <f t="shared" si="2"/>
        <v>-19959.434535584627</v>
      </c>
      <c r="S15" s="63">
        <f t="shared" si="18"/>
        <v>-8333.3333333333339</v>
      </c>
      <c r="T15" s="63"/>
      <c r="U15" s="63">
        <f t="shared" si="19"/>
        <v>-2256.2720049443851</v>
      </c>
      <c r="V15" s="77">
        <f>-(AB15*$C$9/12)</f>
        <v>-1773.9583333333333</v>
      </c>
      <c r="W15" s="83">
        <f t="shared" si="4"/>
        <v>12802.441891692024</v>
      </c>
      <c r="X15" s="85">
        <f t="shared" si="20"/>
        <v>113984.47702522822</v>
      </c>
      <c r="Z15" s="92">
        <f t="shared" si="21"/>
        <v>851500</v>
      </c>
      <c r="AA15" s="5">
        <f t="shared" si="5"/>
        <v>0</v>
      </c>
      <c r="AB15" s="92">
        <f t="shared" si="6"/>
        <v>851500</v>
      </c>
      <c r="AE15" s="12">
        <f t="shared" si="7"/>
        <v>9</v>
      </c>
      <c r="AF15" s="337">
        <f t="shared" si="8"/>
        <v>4681.125</v>
      </c>
      <c r="AG15" s="176">
        <f t="shared" si="9"/>
        <v>6666.6666666666661</v>
      </c>
      <c r="AI15" s="176">
        <f t="shared" si="10"/>
        <v>1666.6666666666661</v>
      </c>
    </row>
    <row r="16" spans="1:36" ht="16.149999999999999" thickBot="1" x14ac:dyDescent="0.5">
      <c r="A16" s="661" t="s">
        <v>43</v>
      </c>
      <c r="B16" s="662"/>
      <c r="C16" s="662"/>
      <c r="D16" s="662"/>
      <c r="E16" s="663"/>
      <c r="F16" s="1"/>
      <c r="G16" s="1"/>
      <c r="H16" s="117"/>
      <c r="I16" s="14">
        <f t="shared" si="12"/>
        <v>10</v>
      </c>
      <c r="J16" s="63">
        <f t="shared" si="13"/>
        <v>909644.41332148248</v>
      </c>
      <c r="K16" s="63">
        <f t="shared" si="1"/>
        <v>4017.926146200723</v>
      </c>
      <c r="L16" s="63">
        <f t="shared" si="14"/>
        <v>-19959.434535584627</v>
      </c>
      <c r="M16" s="65">
        <f t="shared" si="0"/>
        <v>893702.90493209858</v>
      </c>
      <c r="O16" s="14">
        <f t="shared" si="15"/>
        <v>10</v>
      </c>
      <c r="P16" s="54">
        <f t="shared" si="16"/>
        <v>5201.25</v>
      </c>
      <c r="Q16" s="63">
        <f t="shared" si="17"/>
        <v>45125.440098887702</v>
      </c>
      <c r="R16" s="77">
        <f t="shared" si="2"/>
        <v>-19959.434535584627</v>
      </c>
      <c r="S16" s="63">
        <f t="shared" si="18"/>
        <v>-8333.3333333333339</v>
      </c>
      <c r="T16" s="63"/>
      <c r="U16" s="63">
        <f t="shared" si="19"/>
        <v>-2256.2720049443851</v>
      </c>
      <c r="V16" s="77">
        <f t="shared" ref="V16:V66" si="22">-(AB16*$C$9/12)</f>
        <v>-1739.5833333333333</v>
      </c>
      <c r="W16" s="83">
        <f t="shared" si="4"/>
        <v>12836.816891692024</v>
      </c>
      <c r="X16" s="85">
        <f t="shared" si="20"/>
        <v>126821.29391692024</v>
      </c>
      <c r="Z16" s="92">
        <f t="shared" si="21"/>
        <v>835000</v>
      </c>
      <c r="AA16" s="5">
        <f t="shared" si="5"/>
        <v>0</v>
      </c>
      <c r="AB16" s="92">
        <f t="shared" si="6"/>
        <v>835000</v>
      </c>
      <c r="AE16" s="12">
        <f t="shared" si="7"/>
        <v>10</v>
      </c>
      <c r="AF16" s="337">
        <f t="shared" si="8"/>
        <v>5201.25</v>
      </c>
      <c r="AG16" s="176">
        <f t="shared" si="9"/>
        <v>6666.6666666666661</v>
      </c>
      <c r="AI16" s="176">
        <f t="shared" si="10"/>
        <v>1666.6666666666661</v>
      </c>
    </row>
    <row r="17" spans="1:35" ht="14.65" thickBot="1" x14ac:dyDescent="0.5">
      <c r="A17" s="97" t="s">
        <v>44</v>
      </c>
      <c r="B17" s="98" t="s">
        <v>48</v>
      </c>
      <c r="C17" s="98" t="s">
        <v>45</v>
      </c>
      <c r="D17" s="99" t="s">
        <v>46</v>
      </c>
      <c r="E17" s="55" t="s">
        <v>47</v>
      </c>
      <c r="F17" s="1"/>
      <c r="G17" s="1"/>
      <c r="H17" s="117"/>
      <c r="I17" s="14">
        <f t="shared" si="12"/>
        <v>11</v>
      </c>
      <c r="J17" s="63">
        <f t="shared" si="13"/>
        <v>893702.90493209858</v>
      </c>
      <c r="K17" s="63">
        <f t="shared" si="1"/>
        <v>3947.5120344559978</v>
      </c>
      <c r="L17" s="63">
        <f t="shared" si="14"/>
        <v>-19959.434535584627</v>
      </c>
      <c r="M17" s="65">
        <f t="shared" si="0"/>
        <v>877690.98243096995</v>
      </c>
      <c r="O17" s="14">
        <f t="shared" si="15"/>
        <v>11</v>
      </c>
      <c r="P17" s="54">
        <f t="shared" si="16"/>
        <v>5721.375</v>
      </c>
      <c r="Q17" s="63">
        <f t="shared" si="17"/>
        <v>45125.440098887702</v>
      </c>
      <c r="R17" s="77">
        <f t="shared" si="2"/>
        <v>-19959.434535584627</v>
      </c>
      <c r="S17" s="63">
        <f t="shared" si="18"/>
        <v>-8333.3333333333339</v>
      </c>
      <c r="T17" s="63"/>
      <c r="U17" s="63">
        <f t="shared" si="19"/>
        <v>-2256.2720049443851</v>
      </c>
      <c r="V17" s="77">
        <f t="shared" si="22"/>
        <v>-1705.2083333333333</v>
      </c>
      <c r="W17" s="83">
        <f t="shared" si="4"/>
        <v>12871.191891692024</v>
      </c>
      <c r="X17" s="85">
        <f t="shared" si="20"/>
        <v>139692.48580861225</v>
      </c>
      <c r="Z17" s="92">
        <f t="shared" si="21"/>
        <v>818500</v>
      </c>
      <c r="AA17" s="5">
        <f t="shared" si="5"/>
        <v>0</v>
      </c>
      <c r="AB17" s="92">
        <f t="shared" si="6"/>
        <v>818500</v>
      </c>
      <c r="AE17" s="12">
        <f t="shared" si="7"/>
        <v>11</v>
      </c>
      <c r="AF17" s="337">
        <f t="shared" si="8"/>
        <v>5721.375</v>
      </c>
      <c r="AG17" s="176">
        <f t="shared" si="9"/>
        <v>6666.6666666666661</v>
      </c>
      <c r="AI17" s="176">
        <f t="shared" si="10"/>
        <v>1666.6666666666661</v>
      </c>
    </row>
    <row r="18" spans="1:35" x14ac:dyDescent="0.45">
      <c r="A18" s="94">
        <v>1</v>
      </c>
      <c r="B18" s="95">
        <v>12</v>
      </c>
      <c r="C18" s="96">
        <f>D$27-(D$27+D$28)*B18/60</f>
        <v>802000</v>
      </c>
      <c r="D18" s="100">
        <v>0.1</v>
      </c>
      <c r="E18" s="103">
        <f t="shared" ref="E18:E23" si="23">C18/(100%-D18)</f>
        <v>891111.11111111112</v>
      </c>
      <c r="F18" s="11"/>
      <c r="G18" s="11"/>
      <c r="H18" s="11"/>
      <c r="I18" s="14">
        <f t="shared" si="12"/>
        <v>12</v>
      </c>
      <c r="J18" s="63">
        <f t="shared" si="13"/>
        <v>877690.98243096995</v>
      </c>
      <c r="K18" s="63">
        <f t="shared" si="1"/>
        <v>3876.7869015072756</v>
      </c>
      <c r="L18" s="63">
        <f t="shared" si="14"/>
        <v>-19959.434535584627</v>
      </c>
      <c r="M18" s="65">
        <f t="shared" si="0"/>
        <v>861608.3347968926</v>
      </c>
      <c r="O18" s="14">
        <f t="shared" si="15"/>
        <v>12</v>
      </c>
      <c r="P18" s="54">
        <f t="shared" si="16"/>
        <v>6241.5</v>
      </c>
      <c r="Q18" s="63">
        <f t="shared" si="17"/>
        <v>45125.440098887702</v>
      </c>
      <c r="R18" s="77">
        <f t="shared" si="2"/>
        <v>-19959.434535584627</v>
      </c>
      <c r="S18" s="63">
        <f t="shared" si="18"/>
        <v>-8333.3333333333339</v>
      </c>
      <c r="T18" s="63"/>
      <c r="U18" s="63">
        <f t="shared" si="19"/>
        <v>-2256.2720049443851</v>
      </c>
      <c r="V18" s="77">
        <f t="shared" si="22"/>
        <v>-1670.8333333333333</v>
      </c>
      <c r="W18" s="83">
        <f t="shared" si="4"/>
        <v>12905.566891692024</v>
      </c>
      <c r="X18" s="85">
        <f t="shared" si="20"/>
        <v>152598.05270030428</v>
      </c>
      <c r="Z18" s="92">
        <f t="shared" si="21"/>
        <v>802000</v>
      </c>
      <c r="AA18" s="5">
        <f t="shared" si="5"/>
        <v>0</v>
      </c>
      <c r="AB18" s="92">
        <f t="shared" si="6"/>
        <v>802000</v>
      </c>
      <c r="AE18" s="12">
        <f t="shared" si="7"/>
        <v>12</v>
      </c>
      <c r="AF18" s="337">
        <f t="shared" si="8"/>
        <v>6241.5</v>
      </c>
      <c r="AG18" s="176">
        <f t="shared" si="9"/>
        <v>6666.6666666666661</v>
      </c>
      <c r="AI18" s="176">
        <f t="shared" si="10"/>
        <v>1666.6666666666661</v>
      </c>
    </row>
    <row r="19" spans="1:35" x14ac:dyDescent="0.45">
      <c r="A19" s="4">
        <f>A18+1</f>
        <v>2</v>
      </c>
      <c r="B19" s="5">
        <f>B18+12</f>
        <v>24</v>
      </c>
      <c r="C19" s="92">
        <f>D$27-(D$27+D$28)*B19/60</f>
        <v>604000</v>
      </c>
      <c r="D19" s="101">
        <f>D18</f>
        <v>0.1</v>
      </c>
      <c r="E19" s="104">
        <f t="shared" si="23"/>
        <v>671111.11111111112</v>
      </c>
      <c r="F19" s="11"/>
      <c r="G19" s="11"/>
      <c r="H19" s="11"/>
      <c r="I19" s="14">
        <f t="shared" si="12"/>
        <v>13</v>
      </c>
      <c r="J19" s="63">
        <f t="shared" si="13"/>
        <v>861608.3347968926</v>
      </c>
      <c r="K19" s="63">
        <f t="shared" si="1"/>
        <v>3805.749373564744</v>
      </c>
      <c r="L19" s="63">
        <f t="shared" si="14"/>
        <v>-19959.434535584627</v>
      </c>
      <c r="M19" s="65">
        <f t="shared" si="0"/>
        <v>845454.64963487268</v>
      </c>
      <c r="O19" s="14">
        <f t="shared" si="15"/>
        <v>13</v>
      </c>
      <c r="P19" s="54">
        <f t="shared" si="16"/>
        <v>6761.625</v>
      </c>
      <c r="Q19" s="63">
        <f t="shared" si="17"/>
        <v>45125.440098887702</v>
      </c>
      <c r="R19" s="77">
        <f t="shared" si="2"/>
        <v>-19959.434535584627</v>
      </c>
      <c r="S19" s="63">
        <f t="shared" si="18"/>
        <v>-8333.3333333333339</v>
      </c>
      <c r="T19" s="63"/>
      <c r="U19" s="63">
        <f t="shared" si="19"/>
        <v>-2256.2720049443851</v>
      </c>
      <c r="V19" s="77">
        <f t="shared" si="22"/>
        <v>-1636.4583333333333</v>
      </c>
      <c r="W19" s="83">
        <f t="shared" si="4"/>
        <v>12939.941891692024</v>
      </c>
      <c r="X19" s="85">
        <f t="shared" si="20"/>
        <v>165537.99459199631</v>
      </c>
      <c r="Z19" s="92">
        <f t="shared" si="21"/>
        <v>785500</v>
      </c>
      <c r="AA19" s="5">
        <f t="shared" si="5"/>
        <v>0</v>
      </c>
      <c r="AB19" s="92">
        <f t="shared" si="6"/>
        <v>785500</v>
      </c>
      <c r="AE19" s="12">
        <f t="shared" si="7"/>
        <v>13</v>
      </c>
      <c r="AF19" s="337">
        <f t="shared" si="8"/>
        <v>6761.625</v>
      </c>
      <c r="AG19" s="176">
        <f t="shared" si="9"/>
        <v>6666.6666666666661</v>
      </c>
      <c r="AI19" s="176">
        <f t="shared" si="10"/>
        <v>1666.6666666666661</v>
      </c>
    </row>
    <row r="20" spans="1:35" x14ac:dyDescent="0.45">
      <c r="A20" s="4">
        <f>A19+1</f>
        <v>3</v>
      </c>
      <c r="B20" s="5">
        <f>B19+12</f>
        <v>36</v>
      </c>
      <c r="C20" s="92">
        <f>D$27-(D$27+D$28)*B20/60</f>
        <v>406000</v>
      </c>
      <c r="D20" s="101">
        <f>D19</f>
        <v>0.1</v>
      </c>
      <c r="E20" s="104">
        <f t="shared" si="23"/>
        <v>451111.11111111112</v>
      </c>
      <c r="F20" s="11"/>
      <c r="G20" s="11"/>
      <c r="H20" s="11"/>
      <c r="I20" s="14">
        <f t="shared" si="12"/>
        <v>14</v>
      </c>
      <c r="J20" s="63">
        <f t="shared" si="13"/>
        <v>845454.64963487268</v>
      </c>
      <c r="K20" s="63">
        <f t="shared" si="1"/>
        <v>3734.3980707705209</v>
      </c>
      <c r="L20" s="63">
        <f t="shared" si="14"/>
        <v>-19959.434535584627</v>
      </c>
      <c r="M20" s="65">
        <f t="shared" si="0"/>
        <v>829229.61317005858</v>
      </c>
      <c r="O20" s="14">
        <f t="shared" si="15"/>
        <v>14</v>
      </c>
      <c r="P20" s="54">
        <f t="shared" si="16"/>
        <v>7281.75</v>
      </c>
      <c r="Q20" s="63">
        <f t="shared" si="17"/>
        <v>45125.440098887702</v>
      </c>
      <c r="R20" s="77">
        <f t="shared" si="2"/>
        <v>-19959.434535584627</v>
      </c>
      <c r="S20" s="63">
        <f t="shared" si="18"/>
        <v>-8333.3333333333339</v>
      </c>
      <c r="T20" s="63"/>
      <c r="U20" s="63">
        <f t="shared" si="19"/>
        <v>-2256.2720049443851</v>
      </c>
      <c r="V20" s="77">
        <f t="shared" si="22"/>
        <v>-1602.0833333333333</v>
      </c>
      <c r="W20" s="83">
        <f t="shared" si="4"/>
        <v>12974.316891692024</v>
      </c>
      <c r="X20" s="85">
        <f t="shared" si="20"/>
        <v>178512.31148368833</v>
      </c>
      <c r="Z20" s="92">
        <f t="shared" si="21"/>
        <v>769000</v>
      </c>
      <c r="AA20" s="5">
        <f t="shared" si="5"/>
        <v>0</v>
      </c>
      <c r="AB20" s="92">
        <f t="shared" si="6"/>
        <v>769000</v>
      </c>
      <c r="AE20" s="12">
        <f t="shared" si="7"/>
        <v>14</v>
      </c>
      <c r="AF20" s="337">
        <f t="shared" si="8"/>
        <v>7281.75</v>
      </c>
      <c r="AG20" s="176">
        <f t="shared" si="9"/>
        <v>6666.6666666666661</v>
      </c>
      <c r="AI20" s="176">
        <f t="shared" si="10"/>
        <v>1666.6666666666661</v>
      </c>
    </row>
    <row r="21" spans="1:35" x14ac:dyDescent="0.45">
      <c r="A21" s="4">
        <f>A20+1</f>
        <v>4</v>
      </c>
      <c r="B21" s="5">
        <f>B20+12</f>
        <v>48</v>
      </c>
      <c r="C21" s="92">
        <f>D$27-(D$27+D$28)*B21/60</f>
        <v>208000</v>
      </c>
      <c r="D21" s="101">
        <f>D20</f>
        <v>0.1</v>
      </c>
      <c r="E21" s="104">
        <f t="shared" si="23"/>
        <v>231111.11111111109</v>
      </c>
      <c r="F21" s="11"/>
      <c r="G21" s="11"/>
      <c r="H21" s="11"/>
      <c r="I21" s="14">
        <f t="shared" si="12"/>
        <v>15</v>
      </c>
      <c r="J21" s="63">
        <f t="shared" si="13"/>
        <v>829229.61317005858</v>
      </c>
      <c r="K21" s="63">
        <f t="shared" si="1"/>
        <v>3662.7316071718524</v>
      </c>
      <c r="L21" s="63">
        <f t="shared" si="14"/>
        <v>-19959.434535584627</v>
      </c>
      <c r="M21" s="65">
        <f t="shared" si="0"/>
        <v>812932.91024164576</v>
      </c>
      <c r="O21" s="14">
        <f t="shared" si="15"/>
        <v>15</v>
      </c>
      <c r="P21" s="54">
        <f t="shared" si="16"/>
        <v>7801.875</v>
      </c>
      <c r="Q21" s="63">
        <f t="shared" si="17"/>
        <v>45125.440098887702</v>
      </c>
      <c r="R21" s="77">
        <f t="shared" si="2"/>
        <v>-19959.434535584627</v>
      </c>
      <c r="S21" s="63">
        <f t="shared" si="18"/>
        <v>-8333.3333333333339</v>
      </c>
      <c r="T21" s="63"/>
      <c r="U21" s="63">
        <f t="shared" si="19"/>
        <v>-2256.2720049443851</v>
      </c>
      <c r="V21" s="77">
        <f t="shared" si="22"/>
        <v>-1567.7083333333333</v>
      </c>
      <c r="W21" s="83">
        <f t="shared" si="4"/>
        <v>13008.691891692024</v>
      </c>
      <c r="X21" s="85">
        <f t="shared" si="20"/>
        <v>191521.00337538036</v>
      </c>
      <c r="Z21" s="92">
        <f t="shared" si="21"/>
        <v>752500</v>
      </c>
      <c r="AA21" s="5">
        <f t="shared" si="5"/>
        <v>0</v>
      </c>
      <c r="AB21" s="92">
        <f t="shared" si="6"/>
        <v>752500</v>
      </c>
      <c r="AE21" s="12">
        <f t="shared" si="7"/>
        <v>15</v>
      </c>
      <c r="AF21" s="337">
        <f t="shared" si="8"/>
        <v>7801.875</v>
      </c>
      <c r="AG21" s="176">
        <f t="shared" si="9"/>
        <v>6666.6666666666661</v>
      </c>
      <c r="AI21" s="176">
        <f t="shared" si="10"/>
        <v>1666.6666666666661</v>
      </c>
    </row>
    <row r="22" spans="1:35" x14ac:dyDescent="0.45">
      <c r="A22" s="4">
        <f>A21+1</f>
        <v>5</v>
      </c>
      <c r="B22" s="5">
        <f>B21+12</f>
        <v>60</v>
      </c>
      <c r="C22" s="92">
        <f>D$27-(D$27+D$28)*B22/60</f>
        <v>10000</v>
      </c>
      <c r="D22" s="101">
        <f>D21</f>
        <v>0.1</v>
      </c>
      <c r="E22" s="104">
        <f t="shared" si="23"/>
        <v>11111.111111111111</v>
      </c>
      <c r="F22" s="11"/>
      <c r="G22" s="11"/>
      <c r="H22" s="11"/>
      <c r="I22" s="14">
        <f t="shared" si="12"/>
        <v>16</v>
      </c>
      <c r="J22" s="63">
        <f t="shared" si="13"/>
        <v>812932.91024164576</v>
      </c>
      <c r="K22" s="63">
        <f t="shared" si="1"/>
        <v>3590.748590694187</v>
      </c>
      <c r="L22" s="63">
        <f t="shared" si="14"/>
        <v>-19959.434535584627</v>
      </c>
      <c r="M22" s="65">
        <f t="shared" si="0"/>
        <v>796564.22429675527</v>
      </c>
      <c r="O22" s="14">
        <f t="shared" si="15"/>
        <v>16</v>
      </c>
      <c r="P22" s="54">
        <f t="shared" si="16"/>
        <v>8322</v>
      </c>
      <c r="Q22" s="63">
        <f t="shared" si="17"/>
        <v>45125.440098887702</v>
      </c>
      <c r="R22" s="77">
        <f t="shared" si="2"/>
        <v>-19959.434535584627</v>
      </c>
      <c r="S22" s="63">
        <f t="shared" si="18"/>
        <v>-8333.3333333333339</v>
      </c>
      <c r="T22" s="63"/>
      <c r="U22" s="63">
        <f t="shared" si="19"/>
        <v>-2256.2720049443851</v>
      </c>
      <c r="V22" s="77">
        <f t="shared" si="22"/>
        <v>-1533.3333333333333</v>
      </c>
      <c r="W22" s="83">
        <f t="shared" si="4"/>
        <v>13043.066891692024</v>
      </c>
      <c r="X22" s="85">
        <f t="shared" si="20"/>
        <v>204564.07026707238</v>
      </c>
      <c r="Z22" s="92">
        <f t="shared" si="21"/>
        <v>736000</v>
      </c>
      <c r="AA22" s="5">
        <f t="shared" si="5"/>
        <v>0</v>
      </c>
      <c r="AB22" s="92">
        <f t="shared" si="6"/>
        <v>736000</v>
      </c>
      <c r="AE22" s="12">
        <f t="shared" si="7"/>
        <v>16</v>
      </c>
      <c r="AF22" s="337">
        <f t="shared" si="8"/>
        <v>8322</v>
      </c>
      <c r="AG22" s="176">
        <f t="shared" si="9"/>
        <v>6666.6666666666661</v>
      </c>
      <c r="AI22" s="176">
        <f t="shared" si="10"/>
        <v>1666.6666666666661</v>
      </c>
    </row>
    <row r="23" spans="1:35" ht="14.65" thickBot="1" x14ac:dyDescent="0.5">
      <c r="A23" s="6">
        <f>A22+1</f>
        <v>6</v>
      </c>
      <c r="B23" s="7">
        <f>B22+12</f>
        <v>72</v>
      </c>
      <c r="C23" s="93">
        <v>1</v>
      </c>
      <c r="D23" s="102">
        <f>D22</f>
        <v>0.1</v>
      </c>
      <c r="E23" s="105">
        <f t="shared" si="23"/>
        <v>1.1111111111111112</v>
      </c>
      <c r="H23" s="11"/>
      <c r="I23" s="14">
        <f t="shared" si="12"/>
        <v>17</v>
      </c>
      <c r="J23" s="63">
        <f t="shared" si="13"/>
        <v>796564.22429675527</v>
      </c>
      <c r="K23" s="63">
        <f t="shared" si="1"/>
        <v>3518.4476231141443</v>
      </c>
      <c r="L23" s="63">
        <f t="shared" si="14"/>
        <v>-19959.434535584627</v>
      </c>
      <c r="M23" s="65">
        <f t="shared" si="0"/>
        <v>780123.23738428473</v>
      </c>
      <c r="O23" s="14">
        <f t="shared" si="15"/>
        <v>17</v>
      </c>
      <c r="P23" s="54">
        <f t="shared" si="16"/>
        <v>8842.125</v>
      </c>
      <c r="Q23" s="63">
        <f t="shared" si="17"/>
        <v>45125.440098887702</v>
      </c>
      <c r="R23" s="77">
        <f t="shared" si="2"/>
        <v>-19959.434535584627</v>
      </c>
      <c r="S23" s="63">
        <f t="shared" si="18"/>
        <v>-8333.3333333333339</v>
      </c>
      <c r="T23" s="63"/>
      <c r="U23" s="63">
        <f t="shared" si="19"/>
        <v>-2256.2720049443851</v>
      </c>
      <c r="V23" s="77">
        <f t="shared" si="22"/>
        <v>-1498.9583333333333</v>
      </c>
      <c r="W23" s="83">
        <f t="shared" si="4"/>
        <v>13077.441891692024</v>
      </c>
      <c r="X23" s="85">
        <f t="shared" si="20"/>
        <v>217641.51215876441</v>
      </c>
      <c r="Z23" s="92">
        <f t="shared" si="21"/>
        <v>719500</v>
      </c>
      <c r="AA23" s="5">
        <f t="shared" si="5"/>
        <v>0</v>
      </c>
      <c r="AB23" s="92">
        <f t="shared" si="6"/>
        <v>719500</v>
      </c>
      <c r="AE23" s="12">
        <f t="shared" si="7"/>
        <v>17</v>
      </c>
      <c r="AF23" s="337">
        <f t="shared" si="8"/>
        <v>8842.125</v>
      </c>
      <c r="AG23" s="176">
        <f t="shared" si="9"/>
        <v>6666.6666666666661</v>
      </c>
      <c r="AI23" s="176">
        <f t="shared" si="10"/>
        <v>1666.6666666666661</v>
      </c>
    </row>
    <row r="24" spans="1:35" ht="14.65" thickBot="1" x14ac:dyDescent="0.5">
      <c r="H24" s="11"/>
      <c r="I24" s="14">
        <f>I23+1</f>
        <v>18</v>
      </c>
      <c r="J24" s="63">
        <f t="shared" si="13"/>
        <v>780123.23738428473</v>
      </c>
      <c r="K24" s="63">
        <f t="shared" si="1"/>
        <v>3445.8273000323456</v>
      </c>
      <c r="L24" s="63">
        <f t="shared" si="14"/>
        <v>-19959.434535584627</v>
      </c>
      <c r="M24" s="65">
        <f t="shared" si="0"/>
        <v>763609.63014873245</v>
      </c>
      <c r="O24" s="14">
        <f>O23+1</f>
        <v>18</v>
      </c>
      <c r="P24" s="54">
        <f t="shared" si="16"/>
        <v>9362.25</v>
      </c>
      <c r="Q24" s="63">
        <f t="shared" si="17"/>
        <v>45125.440098887702</v>
      </c>
      <c r="R24" s="77">
        <f t="shared" si="2"/>
        <v>-19959.434535584627</v>
      </c>
      <c r="S24" s="63">
        <f t="shared" si="18"/>
        <v>-8333.3333333333339</v>
      </c>
      <c r="T24" s="63"/>
      <c r="U24" s="63">
        <f t="shared" si="19"/>
        <v>-2256.2720049443851</v>
      </c>
      <c r="V24" s="77">
        <f t="shared" si="22"/>
        <v>-1464.5833333333333</v>
      </c>
      <c r="W24" s="83">
        <f t="shared" si="4"/>
        <v>13111.816891692024</v>
      </c>
      <c r="X24" s="85">
        <f t="shared" si="20"/>
        <v>230753.32905045644</v>
      </c>
      <c r="Z24" s="92">
        <f t="shared" si="21"/>
        <v>703000</v>
      </c>
      <c r="AA24" s="5">
        <f t="shared" si="5"/>
        <v>0</v>
      </c>
      <c r="AB24" s="92">
        <f t="shared" si="6"/>
        <v>703000</v>
      </c>
      <c r="AE24" s="12">
        <f t="shared" si="7"/>
        <v>18</v>
      </c>
      <c r="AF24" s="337">
        <f t="shared" si="8"/>
        <v>9362.25</v>
      </c>
      <c r="AG24" s="176">
        <f t="shared" si="9"/>
        <v>6666.6666666666661</v>
      </c>
      <c r="AI24" s="176">
        <f t="shared" si="10"/>
        <v>1666.6666666666661</v>
      </c>
    </row>
    <row r="25" spans="1:35" ht="32.25" customHeight="1" thickBot="1" x14ac:dyDescent="0.5">
      <c r="A25" s="664" t="s">
        <v>21</v>
      </c>
      <c r="B25" s="665"/>
      <c r="C25" s="665"/>
      <c r="D25" s="665"/>
      <c r="E25" s="665"/>
      <c r="F25" s="665"/>
      <c r="G25" s="666"/>
      <c r="H25" s="11"/>
      <c r="I25" s="14">
        <f t="shared" si="12"/>
        <v>19</v>
      </c>
      <c r="J25" s="63">
        <f t="shared" si="13"/>
        <v>763609.63014873245</v>
      </c>
      <c r="K25" s="63">
        <f t="shared" si="1"/>
        <v>3372.8862108461417</v>
      </c>
      <c r="L25" s="63">
        <f t="shared" si="14"/>
        <v>-19959.434535584627</v>
      </c>
      <c r="M25" s="65">
        <f t="shared" si="0"/>
        <v>747023.08182399394</v>
      </c>
      <c r="O25" s="14">
        <f t="shared" si="15"/>
        <v>19</v>
      </c>
      <c r="P25" s="54">
        <f t="shared" si="16"/>
        <v>9882.375</v>
      </c>
      <c r="Q25" s="63">
        <f t="shared" si="17"/>
        <v>45125.440098887702</v>
      </c>
      <c r="R25" s="77">
        <f t="shared" si="2"/>
        <v>-19959.434535584627</v>
      </c>
      <c r="S25" s="63">
        <f t="shared" si="18"/>
        <v>-8333.3333333333339</v>
      </c>
      <c r="T25" s="63"/>
      <c r="U25" s="63">
        <f t="shared" si="19"/>
        <v>-2256.2720049443851</v>
      </c>
      <c r="V25" s="77">
        <f t="shared" si="22"/>
        <v>-1430.2083333333333</v>
      </c>
      <c r="W25" s="83">
        <f t="shared" si="4"/>
        <v>13146.191891692024</v>
      </c>
      <c r="X25" s="85">
        <f t="shared" si="20"/>
        <v>243899.52094214846</v>
      </c>
      <c r="Z25" s="92">
        <f t="shared" si="21"/>
        <v>686500</v>
      </c>
      <c r="AA25" s="5">
        <f t="shared" si="5"/>
        <v>0</v>
      </c>
      <c r="AB25" s="92">
        <f t="shared" si="6"/>
        <v>686500</v>
      </c>
      <c r="AE25" s="12">
        <f t="shared" si="7"/>
        <v>19</v>
      </c>
      <c r="AF25" s="337">
        <f t="shared" si="8"/>
        <v>9882.375</v>
      </c>
      <c r="AG25" s="176">
        <f t="shared" si="9"/>
        <v>6666.6666666666661</v>
      </c>
      <c r="AI25" s="176">
        <f t="shared" si="10"/>
        <v>1666.6666666666661</v>
      </c>
    </row>
    <row r="26" spans="1:35" ht="28.9" thickBot="1" x14ac:dyDescent="0.5">
      <c r="A26" s="26" t="s">
        <v>0</v>
      </c>
      <c r="B26" s="27" t="s">
        <v>1</v>
      </c>
      <c r="C26" s="43" t="s">
        <v>22</v>
      </c>
      <c r="D26" s="43" t="s">
        <v>10</v>
      </c>
      <c r="E26" s="43" t="s">
        <v>23</v>
      </c>
      <c r="F26" s="43" t="s">
        <v>24</v>
      </c>
      <c r="G26" s="44" t="s">
        <v>25</v>
      </c>
      <c r="H26" s="11"/>
      <c r="I26" s="14">
        <f t="shared" si="12"/>
        <v>20</v>
      </c>
      <c r="J26" s="63">
        <f t="shared" si="13"/>
        <v>747023.08182399394</v>
      </c>
      <c r="K26" s="63">
        <f t="shared" si="1"/>
        <v>3299.6229387222065</v>
      </c>
      <c r="L26" s="63">
        <f t="shared" si="14"/>
        <v>-19959.434535584627</v>
      </c>
      <c r="M26" s="65">
        <f t="shared" si="0"/>
        <v>730363.27022713155</v>
      </c>
      <c r="O26" s="14">
        <f t="shared" si="15"/>
        <v>20</v>
      </c>
      <c r="P26" s="54">
        <f t="shared" si="16"/>
        <v>10402.5</v>
      </c>
      <c r="Q26" s="63">
        <f t="shared" si="17"/>
        <v>45125.440098887702</v>
      </c>
      <c r="R26" s="77">
        <f t="shared" si="2"/>
        <v>-19959.434535584627</v>
      </c>
      <c r="S26" s="63">
        <f t="shared" si="18"/>
        <v>-8333.3333333333339</v>
      </c>
      <c r="T26" s="63"/>
      <c r="U26" s="63">
        <f t="shared" si="19"/>
        <v>-2256.2720049443851</v>
      </c>
      <c r="V26" s="77">
        <f t="shared" si="22"/>
        <v>-1395.8333333333333</v>
      </c>
      <c r="W26" s="83">
        <f t="shared" si="4"/>
        <v>13180.566891692024</v>
      </c>
      <c r="X26" s="85">
        <f t="shared" si="20"/>
        <v>257080.08783384049</v>
      </c>
      <c r="Z26" s="92">
        <f t="shared" si="21"/>
        <v>670000</v>
      </c>
      <c r="AA26" s="5">
        <f t="shared" si="5"/>
        <v>0</v>
      </c>
      <c r="AB26" s="92">
        <f t="shared" si="6"/>
        <v>670000</v>
      </c>
      <c r="AE26" s="12">
        <f t="shared" si="7"/>
        <v>20</v>
      </c>
      <c r="AF26" s="337">
        <f t="shared" si="8"/>
        <v>10402.5</v>
      </c>
      <c r="AG26" s="176">
        <f t="shared" si="9"/>
        <v>6666.6666666666661</v>
      </c>
      <c r="AI26" s="176">
        <f t="shared" si="10"/>
        <v>1666.6666666666661</v>
      </c>
    </row>
    <row r="27" spans="1:35" x14ac:dyDescent="0.45">
      <c r="A27" s="8">
        <v>1</v>
      </c>
      <c r="B27" s="9" t="s">
        <v>16</v>
      </c>
      <c r="C27" s="48">
        <v>1</v>
      </c>
      <c r="D27" s="153">
        <f>+F7</f>
        <v>1000000</v>
      </c>
      <c r="E27" s="342">
        <f>+'Summary Equip'!AE7</f>
        <v>0.8</v>
      </c>
      <c r="F27" s="62">
        <f>E27*D27</f>
        <v>800000</v>
      </c>
      <c r="G27" s="60">
        <f>D27-F27</f>
        <v>200000</v>
      </c>
      <c r="H27" s="11"/>
      <c r="I27" s="14">
        <f t="shared" si="12"/>
        <v>21</v>
      </c>
      <c r="J27" s="63">
        <f t="shared" si="13"/>
        <v>730363.27022713155</v>
      </c>
      <c r="K27" s="63">
        <f t="shared" si="1"/>
        <v>3226.0360605690239</v>
      </c>
      <c r="L27" s="63">
        <f t="shared" si="14"/>
        <v>-19959.434535584627</v>
      </c>
      <c r="M27" s="65">
        <f t="shared" si="0"/>
        <v>713629.8717521159</v>
      </c>
      <c r="O27" s="14">
        <f t="shared" si="15"/>
        <v>21</v>
      </c>
      <c r="P27" s="54">
        <f t="shared" si="16"/>
        <v>10922.625</v>
      </c>
      <c r="Q27" s="63">
        <f t="shared" si="17"/>
        <v>45125.440098887702</v>
      </c>
      <c r="R27" s="77">
        <f t="shared" si="2"/>
        <v>-19959.434535584627</v>
      </c>
      <c r="S27" s="63">
        <f t="shared" si="18"/>
        <v>-8333.3333333333339</v>
      </c>
      <c r="T27" s="63"/>
      <c r="U27" s="63">
        <f t="shared" si="19"/>
        <v>-2256.2720049443851</v>
      </c>
      <c r="V27" s="77">
        <f t="shared" si="22"/>
        <v>-1361.4583333333333</v>
      </c>
      <c r="W27" s="83">
        <f t="shared" si="4"/>
        <v>13214.941891692024</v>
      </c>
      <c r="X27" s="85">
        <f t="shared" si="20"/>
        <v>270295.02972553251</v>
      </c>
      <c r="Z27" s="92">
        <f t="shared" si="21"/>
        <v>653500</v>
      </c>
      <c r="AA27" s="5">
        <f t="shared" si="5"/>
        <v>0</v>
      </c>
      <c r="AB27" s="92">
        <f t="shared" si="6"/>
        <v>653500</v>
      </c>
      <c r="AE27" s="12">
        <f t="shared" si="7"/>
        <v>21</v>
      </c>
      <c r="AF27" s="337">
        <f t="shared" si="8"/>
        <v>10922.625</v>
      </c>
      <c r="AG27" s="176">
        <f t="shared" si="9"/>
        <v>6666.6666666666661</v>
      </c>
      <c r="AI27" s="176">
        <f t="shared" si="10"/>
        <v>1666.6666666666661</v>
      </c>
    </row>
    <row r="28" spans="1:35" x14ac:dyDescent="0.45">
      <c r="A28" s="4">
        <f>A27+1</f>
        <v>2</v>
      </c>
      <c r="B28" s="5" t="s">
        <v>12</v>
      </c>
      <c r="C28" s="19">
        <f>C11</f>
        <v>0.01</v>
      </c>
      <c r="D28" s="300">
        <f>-C28*D27</f>
        <v>-10000</v>
      </c>
      <c r="E28" s="23">
        <f>+E27</f>
        <v>0.8</v>
      </c>
      <c r="F28" s="63">
        <f t="shared" ref="F28:F33" si="24">E28*D28</f>
        <v>-8000</v>
      </c>
      <c r="G28" s="65">
        <f>D28-F28</f>
        <v>-2000</v>
      </c>
      <c r="H28" s="11"/>
      <c r="I28" s="14">
        <f t="shared" si="12"/>
        <v>22</v>
      </c>
      <c r="J28" s="63">
        <f t="shared" si="13"/>
        <v>713629.8717521159</v>
      </c>
      <c r="K28" s="63">
        <f t="shared" si="1"/>
        <v>3152.1241470092364</v>
      </c>
      <c r="L28" s="63">
        <f t="shared" si="14"/>
        <v>-19959.434535584627</v>
      </c>
      <c r="M28" s="65">
        <f t="shared" si="0"/>
        <v>696822.56136354047</v>
      </c>
      <c r="O28" s="14">
        <f t="shared" si="15"/>
        <v>22</v>
      </c>
      <c r="P28" s="54">
        <f t="shared" si="16"/>
        <v>11442.75</v>
      </c>
      <c r="Q28" s="63">
        <f t="shared" si="17"/>
        <v>45125.440098887702</v>
      </c>
      <c r="R28" s="77">
        <f t="shared" si="2"/>
        <v>-19959.434535584627</v>
      </c>
      <c r="S28" s="63">
        <f t="shared" si="18"/>
        <v>-8333.3333333333339</v>
      </c>
      <c r="T28" s="63"/>
      <c r="U28" s="63">
        <f t="shared" si="19"/>
        <v>-2256.2720049443851</v>
      </c>
      <c r="V28" s="77">
        <f t="shared" si="22"/>
        <v>-1327.0833333333333</v>
      </c>
      <c r="W28" s="83">
        <f t="shared" si="4"/>
        <v>13249.316891692024</v>
      </c>
      <c r="X28" s="85">
        <f t="shared" si="20"/>
        <v>283544.34661722451</v>
      </c>
      <c r="Z28" s="92">
        <f t="shared" si="21"/>
        <v>637000</v>
      </c>
      <c r="AA28" s="5">
        <f t="shared" si="5"/>
        <v>0</v>
      </c>
      <c r="AB28" s="92">
        <f t="shared" si="6"/>
        <v>637000</v>
      </c>
      <c r="AE28" s="12">
        <f t="shared" si="7"/>
        <v>22</v>
      </c>
      <c r="AF28" s="337">
        <f t="shared" si="8"/>
        <v>11442.75</v>
      </c>
      <c r="AG28" s="176">
        <f t="shared" si="9"/>
        <v>6666.6666666666661</v>
      </c>
      <c r="AI28" s="176">
        <f t="shared" si="10"/>
        <v>1666.6666666666661</v>
      </c>
    </row>
    <row r="29" spans="1:35" x14ac:dyDescent="0.45">
      <c r="A29" s="4">
        <f t="shared" ref="A29:A34" si="25">A28+1</f>
        <v>3</v>
      </c>
      <c r="B29" s="5" t="s">
        <v>17</v>
      </c>
      <c r="C29" s="24">
        <f>C8</f>
        <v>5.2999999999999999E-2</v>
      </c>
      <c r="D29" s="63">
        <f>K67</f>
        <v>140842.58563659876</v>
      </c>
      <c r="E29" s="23">
        <v>1</v>
      </c>
      <c r="F29" s="63">
        <f t="shared" si="24"/>
        <v>140842.58563659876</v>
      </c>
      <c r="G29" s="65">
        <f>D29-F29</f>
        <v>0</v>
      </c>
      <c r="H29" s="11"/>
      <c r="I29" s="14">
        <f t="shared" si="12"/>
        <v>23</v>
      </c>
      <c r="J29" s="63">
        <f t="shared" si="13"/>
        <v>696822.56136354047</v>
      </c>
      <c r="K29" s="63">
        <f t="shared" si="1"/>
        <v>3077.8857623518884</v>
      </c>
      <c r="L29" s="63">
        <f t="shared" si="14"/>
        <v>-19959.434535584627</v>
      </c>
      <c r="M29" s="65">
        <f t="shared" si="0"/>
        <v>679941.01259030774</v>
      </c>
      <c r="O29" s="14">
        <f t="shared" si="15"/>
        <v>23</v>
      </c>
      <c r="P29" s="54">
        <f t="shared" si="16"/>
        <v>11962.875</v>
      </c>
      <c r="Q29" s="63">
        <f t="shared" si="17"/>
        <v>45125.440098887702</v>
      </c>
      <c r="R29" s="77">
        <f t="shared" si="2"/>
        <v>-19959.434535584627</v>
      </c>
      <c r="S29" s="63">
        <f t="shared" si="18"/>
        <v>-8333.3333333333339</v>
      </c>
      <c r="T29" s="63"/>
      <c r="U29" s="63">
        <f t="shared" si="19"/>
        <v>-2256.2720049443851</v>
      </c>
      <c r="V29" s="77">
        <f t="shared" si="22"/>
        <v>-1292.7083333333333</v>
      </c>
      <c r="W29" s="83">
        <f t="shared" si="4"/>
        <v>13283.691891692024</v>
      </c>
      <c r="X29" s="85">
        <f t="shared" si="20"/>
        <v>296828.03850891651</v>
      </c>
      <c r="Z29" s="92">
        <f t="shared" si="21"/>
        <v>620500</v>
      </c>
      <c r="AA29" s="5">
        <f t="shared" si="5"/>
        <v>0</v>
      </c>
      <c r="AB29" s="92">
        <f t="shared" si="6"/>
        <v>620500</v>
      </c>
      <c r="AE29" s="12">
        <f t="shared" si="7"/>
        <v>23</v>
      </c>
      <c r="AF29" s="337">
        <f t="shared" si="8"/>
        <v>11962.875</v>
      </c>
      <c r="AG29" s="176">
        <f t="shared" si="9"/>
        <v>6666.6666666666661</v>
      </c>
      <c r="AI29" s="176">
        <f t="shared" si="10"/>
        <v>1666.6666666666661</v>
      </c>
    </row>
    <row r="30" spans="1:35" x14ac:dyDescent="0.45">
      <c r="A30" s="4">
        <f t="shared" si="25"/>
        <v>4</v>
      </c>
      <c r="B30" s="5" t="s">
        <v>6</v>
      </c>
      <c r="C30" s="23">
        <f>C9</f>
        <v>2.5000000000000001E-2</v>
      </c>
      <c r="D30" s="63">
        <f>-V67</f>
        <v>59575.000000000058</v>
      </c>
      <c r="E30" s="23">
        <v>1</v>
      </c>
      <c r="F30" s="63">
        <f t="shared" si="24"/>
        <v>59575.000000000058</v>
      </c>
      <c r="G30" s="65">
        <f>D30-F30</f>
        <v>0</v>
      </c>
      <c r="H30" s="11"/>
      <c r="I30" s="14">
        <f t="shared" si="12"/>
        <v>24</v>
      </c>
      <c r="J30" s="63">
        <f t="shared" si="13"/>
        <v>679941.01259030774</v>
      </c>
      <c r="K30" s="63">
        <f t="shared" si="1"/>
        <v>3003.3194645645317</v>
      </c>
      <c r="L30" s="63">
        <f t="shared" si="14"/>
        <v>-19959.434535584627</v>
      </c>
      <c r="M30" s="65">
        <f t="shared" si="0"/>
        <v>662984.89751928765</v>
      </c>
      <c r="O30" s="14">
        <f t="shared" si="15"/>
        <v>24</v>
      </c>
      <c r="P30" s="54">
        <f t="shared" si="16"/>
        <v>12483</v>
      </c>
      <c r="Q30" s="63">
        <f t="shared" si="17"/>
        <v>45125.440098887702</v>
      </c>
      <c r="R30" s="77">
        <f t="shared" si="2"/>
        <v>-19959.434535584627</v>
      </c>
      <c r="S30" s="63">
        <f t="shared" si="18"/>
        <v>-8333.3333333333339</v>
      </c>
      <c r="T30" s="63"/>
      <c r="U30" s="63">
        <f t="shared" si="19"/>
        <v>-2256.2720049443851</v>
      </c>
      <c r="V30" s="77">
        <f t="shared" si="22"/>
        <v>-1258.3333333333333</v>
      </c>
      <c r="W30" s="83">
        <f t="shared" si="4"/>
        <v>13318.066891692024</v>
      </c>
      <c r="X30" s="85">
        <f t="shared" si="20"/>
        <v>310146.1054006085</v>
      </c>
      <c r="Z30" s="92">
        <f t="shared" si="21"/>
        <v>604000</v>
      </c>
      <c r="AA30" s="5">
        <f t="shared" si="5"/>
        <v>0</v>
      </c>
      <c r="AB30" s="92">
        <f t="shared" si="6"/>
        <v>604000</v>
      </c>
      <c r="AE30" s="12">
        <f t="shared" si="7"/>
        <v>24</v>
      </c>
      <c r="AF30" s="337">
        <f t="shared" si="8"/>
        <v>12483</v>
      </c>
      <c r="AG30" s="176">
        <f t="shared" si="9"/>
        <v>6666.6666666666661</v>
      </c>
      <c r="AI30" s="176">
        <f t="shared" si="10"/>
        <v>1666.6666666666661</v>
      </c>
    </row>
    <row r="31" spans="1:35" x14ac:dyDescent="0.45">
      <c r="A31" s="4">
        <f t="shared" si="25"/>
        <v>5</v>
      </c>
      <c r="B31" s="5" t="s">
        <v>27</v>
      </c>
      <c r="C31" s="334">
        <f>+'Summary Equip'!AH7</f>
        <v>0.5</v>
      </c>
      <c r="D31" s="63">
        <f>D27*C31</f>
        <v>500000</v>
      </c>
      <c r="E31" s="334">
        <f>+ASSUMPTIONS!B43</f>
        <v>0.1</v>
      </c>
      <c r="F31" s="63">
        <f t="shared" si="24"/>
        <v>50000</v>
      </c>
      <c r="G31" s="65">
        <f>D31</f>
        <v>500000</v>
      </c>
      <c r="H31" s="11"/>
      <c r="I31" s="14">
        <f t="shared" si="12"/>
        <v>25</v>
      </c>
      <c r="J31" s="63">
        <f t="shared" si="13"/>
        <v>662984.89751928765</v>
      </c>
      <c r="K31" s="63">
        <f t="shared" si="1"/>
        <v>2928.423805245221</v>
      </c>
      <c r="L31" s="63">
        <f t="shared" si="14"/>
        <v>-19959.434535584627</v>
      </c>
      <c r="M31" s="65">
        <f t="shared" si="0"/>
        <v>645953.88678894821</v>
      </c>
      <c r="O31" s="14">
        <f t="shared" si="15"/>
        <v>25</v>
      </c>
      <c r="P31" s="54">
        <f t="shared" si="16"/>
        <v>13003.125</v>
      </c>
      <c r="Q31" s="63">
        <f t="shared" si="17"/>
        <v>45125.440098887702</v>
      </c>
      <c r="R31" s="77">
        <f t="shared" si="2"/>
        <v>-19959.434535584627</v>
      </c>
      <c r="S31" s="63">
        <f t="shared" si="18"/>
        <v>-8333.3333333333339</v>
      </c>
      <c r="T31" s="63"/>
      <c r="U31" s="63">
        <f t="shared" si="19"/>
        <v>-2256.2720049443851</v>
      </c>
      <c r="V31" s="77">
        <f t="shared" si="22"/>
        <v>-1223.9583333333333</v>
      </c>
      <c r="W31" s="83">
        <f t="shared" si="4"/>
        <v>13352.441891692024</v>
      </c>
      <c r="X31" s="85">
        <f t="shared" si="20"/>
        <v>323498.5472923005</v>
      </c>
      <c r="Z31" s="92">
        <f t="shared" si="21"/>
        <v>587500</v>
      </c>
      <c r="AA31" s="5">
        <f t="shared" si="5"/>
        <v>0</v>
      </c>
      <c r="AB31" s="92">
        <f t="shared" si="6"/>
        <v>587500</v>
      </c>
      <c r="AE31" s="12">
        <f t="shared" si="7"/>
        <v>25</v>
      </c>
      <c r="AF31" s="337">
        <f t="shared" si="8"/>
        <v>13003.125</v>
      </c>
      <c r="AG31" s="176">
        <f t="shared" si="9"/>
        <v>6666.6666666666661</v>
      </c>
      <c r="AI31" s="176">
        <f t="shared" si="10"/>
        <v>1666.6666666666661</v>
      </c>
    </row>
    <row r="32" spans="1:35" x14ac:dyDescent="0.45">
      <c r="A32" s="4">
        <f t="shared" si="25"/>
        <v>6</v>
      </c>
      <c r="B32" s="5" t="s">
        <v>26</v>
      </c>
      <c r="C32" s="335">
        <f>+'Summary Equip'!AI7</f>
        <v>0.15</v>
      </c>
      <c r="D32" s="63">
        <f>D27*C32</f>
        <v>150000</v>
      </c>
      <c r="E32" s="334">
        <f>+ASSUMPTIONS!B44</f>
        <v>0.05</v>
      </c>
      <c r="F32" s="63">
        <f t="shared" si="24"/>
        <v>7500</v>
      </c>
      <c r="G32" s="65">
        <f>D32</f>
        <v>150000</v>
      </c>
      <c r="H32" s="11"/>
      <c r="I32" s="14">
        <f t="shared" si="12"/>
        <v>26</v>
      </c>
      <c r="J32" s="63">
        <f t="shared" si="13"/>
        <v>645953.88678894821</v>
      </c>
      <c r="K32" s="63">
        <f t="shared" si="1"/>
        <v>2853.1973295943762</v>
      </c>
      <c r="L32" s="63">
        <f t="shared" si="14"/>
        <v>-19959.434535584627</v>
      </c>
      <c r="M32" s="65">
        <f t="shared" si="0"/>
        <v>628847.64958295797</v>
      </c>
      <c r="O32" s="14">
        <f t="shared" si="15"/>
        <v>26</v>
      </c>
      <c r="P32" s="54">
        <f t="shared" si="16"/>
        <v>13523.25</v>
      </c>
      <c r="Q32" s="63">
        <f t="shared" si="17"/>
        <v>45125.440098887702</v>
      </c>
      <c r="R32" s="77">
        <f t="shared" si="2"/>
        <v>-19959.434535584627</v>
      </c>
      <c r="S32" s="63">
        <f t="shared" si="18"/>
        <v>-8333.3333333333339</v>
      </c>
      <c r="T32" s="63"/>
      <c r="U32" s="63">
        <f t="shared" si="19"/>
        <v>-2256.2720049443851</v>
      </c>
      <c r="V32" s="77">
        <f t="shared" si="22"/>
        <v>-1189.5833333333333</v>
      </c>
      <c r="W32" s="83">
        <f t="shared" si="4"/>
        <v>13386.816891692024</v>
      </c>
      <c r="X32" s="85">
        <f t="shared" si="20"/>
        <v>336885.3641839925</v>
      </c>
      <c r="Z32" s="92">
        <f t="shared" si="21"/>
        <v>571000</v>
      </c>
      <c r="AA32" s="5">
        <f t="shared" si="5"/>
        <v>0</v>
      </c>
      <c r="AB32" s="92">
        <f t="shared" si="6"/>
        <v>571000</v>
      </c>
      <c r="AE32" s="12">
        <f t="shared" si="7"/>
        <v>26</v>
      </c>
      <c r="AF32" s="337">
        <f t="shared" si="8"/>
        <v>13523.25</v>
      </c>
      <c r="AG32" s="176">
        <f t="shared" si="9"/>
        <v>6666.6666666666661</v>
      </c>
      <c r="AI32" s="176">
        <f t="shared" si="10"/>
        <v>1666.6666666666661</v>
      </c>
    </row>
    <row r="33" spans="1:35" ht="14.65" thickBot="1" x14ac:dyDescent="0.5">
      <c r="A33" s="6">
        <f t="shared" si="25"/>
        <v>7</v>
      </c>
      <c r="B33" s="7" t="s">
        <v>32</v>
      </c>
      <c r="C33" s="336">
        <f>+'Summary Equip'!AJ7</f>
        <v>0.03</v>
      </c>
      <c r="D33" s="64">
        <f>D27*C33</f>
        <v>30000</v>
      </c>
      <c r="E33" s="334">
        <f>+ASSUMPTIONS!B45</f>
        <v>0</v>
      </c>
      <c r="F33" s="64">
        <f t="shared" si="24"/>
        <v>0</v>
      </c>
      <c r="G33" s="66">
        <f>D33</f>
        <v>30000</v>
      </c>
      <c r="H33" s="11"/>
      <c r="I33" s="14">
        <f t="shared" si="12"/>
        <v>27</v>
      </c>
      <c r="J33" s="63">
        <f t="shared" si="13"/>
        <v>628847.64958295797</v>
      </c>
      <c r="K33" s="63">
        <f t="shared" si="1"/>
        <v>2777.6385763865237</v>
      </c>
      <c r="L33" s="63">
        <f t="shared" si="14"/>
        <v>-19959.434535584627</v>
      </c>
      <c r="M33" s="65">
        <f t="shared" si="0"/>
        <v>611665.85362375982</v>
      </c>
      <c r="O33" s="14">
        <f t="shared" si="15"/>
        <v>27</v>
      </c>
      <c r="P33" s="54">
        <f t="shared" si="16"/>
        <v>14043.375</v>
      </c>
      <c r="Q33" s="63">
        <f t="shared" si="17"/>
        <v>45125.440098887702</v>
      </c>
      <c r="R33" s="77">
        <f t="shared" si="2"/>
        <v>-19959.434535584627</v>
      </c>
      <c r="S33" s="63">
        <f t="shared" si="18"/>
        <v>-8333.3333333333339</v>
      </c>
      <c r="T33" s="63"/>
      <c r="U33" s="63">
        <f t="shared" si="19"/>
        <v>-2256.2720049443851</v>
      </c>
      <c r="V33" s="77">
        <f t="shared" si="22"/>
        <v>-1155.2083333333333</v>
      </c>
      <c r="W33" s="83">
        <f t="shared" si="4"/>
        <v>13421.191891692024</v>
      </c>
      <c r="X33" s="85">
        <f t="shared" si="20"/>
        <v>350306.55607568449</v>
      </c>
      <c r="Z33" s="92">
        <f t="shared" si="21"/>
        <v>554500</v>
      </c>
      <c r="AA33" s="5">
        <f t="shared" si="5"/>
        <v>0</v>
      </c>
      <c r="AB33" s="92">
        <f t="shared" si="6"/>
        <v>554500</v>
      </c>
      <c r="AE33" s="12">
        <f t="shared" si="7"/>
        <v>27</v>
      </c>
      <c r="AF33" s="337">
        <f t="shared" si="8"/>
        <v>14043.375</v>
      </c>
      <c r="AG33" s="176">
        <f t="shared" si="9"/>
        <v>6666.6666666666661</v>
      </c>
      <c r="AI33" s="176">
        <f t="shared" si="10"/>
        <v>1666.6666666666661</v>
      </c>
    </row>
    <row r="34" spans="1:35" ht="14.65" thickBot="1" x14ac:dyDescent="0.5">
      <c r="A34" s="33">
        <f t="shared" si="25"/>
        <v>8</v>
      </c>
      <c r="B34" s="30" t="s">
        <v>8</v>
      </c>
      <c r="C34" s="45"/>
      <c r="D34" s="46"/>
      <c r="E34" s="47"/>
      <c r="F34" s="67">
        <f>SUM(F27:F33)</f>
        <v>1049917.5856365988</v>
      </c>
      <c r="G34" s="68">
        <f>SUM(G27:G33)</f>
        <v>878000</v>
      </c>
      <c r="H34" s="11"/>
      <c r="I34" s="14">
        <f t="shared" si="12"/>
        <v>28</v>
      </c>
      <c r="J34" s="63">
        <f t="shared" si="13"/>
        <v>611665.85362375982</v>
      </c>
      <c r="K34" s="63">
        <f t="shared" si="1"/>
        <v>2701.7460779419143</v>
      </c>
      <c r="L34" s="63">
        <f t="shared" si="14"/>
        <v>-19959.434535584627</v>
      </c>
      <c r="M34" s="65">
        <f t="shared" si="0"/>
        <v>594408.16516611713</v>
      </c>
      <c r="O34" s="14">
        <f t="shared" si="15"/>
        <v>28</v>
      </c>
      <c r="P34" s="54">
        <f t="shared" si="16"/>
        <v>14563.5</v>
      </c>
      <c r="Q34" s="63">
        <f t="shared" si="17"/>
        <v>45125.440098887702</v>
      </c>
      <c r="R34" s="77">
        <f t="shared" si="2"/>
        <v>-19959.434535584627</v>
      </c>
      <c r="S34" s="63">
        <f t="shared" si="18"/>
        <v>-8333.3333333333339</v>
      </c>
      <c r="T34" s="63"/>
      <c r="U34" s="63">
        <f t="shared" si="19"/>
        <v>-2256.2720049443851</v>
      </c>
      <c r="V34" s="77">
        <f t="shared" si="22"/>
        <v>-1120.8333333333333</v>
      </c>
      <c r="W34" s="83">
        <f t="shared" si="4"/>
        <v>13455.566891692024</v>
      </c>
      <c r="X34" s="85">
        <f t="shared" si="20"/>
        <v>363762.12296737649</v>
      </c>
      <c r="Z34" s="92">
        <f t="shared" si="21"/>
        <v>538000</v>
      </c>
      <c r="AA34" s="5">
        <f t="shared" si="5"/>
        <v>0</v>
      </c>
      <c r="AB34" s="92">
        <f t="shared" si="6"/>
        <v>538000</v>
      </c>
      <c r="AE34" s="12">
        <f t="shared" si="7"/>
        <v>28</v>
      </c>
      <c r="AF34" s="337">
        <f t="shared" si="8"/>
        <v>14563.5</v>
      </c>
      <c r="AG34" s="176">
        <f t="shared" si="9"/>
        <v>6666.6666666666661</v>
      </c>
      <c r="AI34" s="176">
        <f t="shared" si="10"/>
        <v>1666.6666666666661</v>
      </c>
    </row>
    <row r="35" spans="1:35" ht="14.65" thickBot="1" x14ac:dyDescent="0.5">
      <c r="A35" s="31">
        <f>A34+1</f>
        <v>9</v>
      </c>
      <c r="B35" s="32" t="s">
        <v>7</v>
      </c>
      <c r="C35" s="42">
        <f>+C10</f>
        <v>0.05</v>
      </c>
      <c r="D35" s="22"/>
      <c r="E35" s="34"/>
      <c r="F35" s="69">
        <f>F36-F34</f>
        <v>55258.820296663092</v>
      </c>
      <c r="G35" s="70">
        <f>G36-G34</f>
        <v>46210.526315789553</v>
      </c>
      <c r="H35" s="11"/>
      <c r="I35" s="14">
        <f t="shared" si="12"/>
        <v>29</v>
      </c>
      <c r="J35" s="63">
        <f t="shared" si="13"/>
        <v>594408.16516611713</v>
      </c>
      <c r="K35" s="63">
        <f t="shared" si="1"/>
        <v>2625.5183600980154</v>
      </c>
      <c r="L35" s="63">
        <f t="shared" si="14"/>
        <v>-19959.434535584627</v>
      </c>
      <c r="M35" s="65">
        <f t="shared" si="0"/>
        <v>577074.2489906305</v>
      </c>
      <c r="O35" s="14">
        <f t="shared" si="15"/>
        <v>29</v>
      </c>
      <c r="P35" s="54">
        <f t="shared" si="16"/>
        <v>15083.625</v>
      </c>
      <c r="Q35" s="63">
        <f t="shared" si="17"/>
        <v>45125.440098887702</v>
      </c>
      <c r="R35" s="77">
        <f t="shared" si="2"/>
        <v>-19959.434535584627</v>
      </c>
      <c r="S35" s="63">
        <f t="shared" si="18"/>
        <v>-8333.3333333333339</v>
      </c>
      <c r="T35" s="63"/>
      <c r="U35" s="63">
        <f t="shared" si="19"/>
        <v>-2256.2720049443851</v>
      </c>
      <c r="V35" s="77">
        <f t="shared" si="22"/>
        <v>-1086.4583333333333</v>
      </c>
      <c r="W35" s="83">
        <f t="shared" si="4"/>
        <v>13489.941891692024</v>
      </c>
      <c r="X35" s="85">
        <f t="shared" si="20"/>
        <v>377252.06485906849</v>
      </c>
      <c r="Z35" s="92">
        <f t="shared" si="21"/>
        <v>521500</v>
      </c>
      <c r="AA35" s="5">
        <f t="shared" si="5"/>
        <v>0</v>
      </c>
      <c r="AB35" s="92">
        <f t="shared" si="6"/>
        <v>521500</v>
      </c>
      <c r="AE35" s="12">
        <f t="shared" si="7"/>
        <v>29</v>
      </c>
      <c r="AF35" s="337">
        <f t="shared" si="8"/>
        <v>15083.625</v>
      </c>
      <c r="AG35" s="176">
        <f t="shared" si="9"/>
        <v>6666.6666666666661</v>
      </c>
      <c r="AI35" s="176">
        <f t="shared" si="10"/>
        <v>1666.6666666666661</v>
      </c>
    </row>
    <row r="36" spans="1:35" ht="14.65" thickBot="1" x14ac:dyDescent="0.5">
      <c r="A36" s="37">
        <f>A35+1</f>
        <v>10</v>
      </c>
      <c r="B36" s="38" t="s">
        <v>28</v>
      </c>
      <c r="C36" s="39"/>
      <c r="D36" s="40"/>
      <c r="E36" s="41"/>
      <c r="F36" s="71">
        <f>F34/(100%-C35)</f>
        <v>1105176.4059332618</v>
      </c>
      <c r="G36" s="72">
        <f>G34/(100%-C35)</f>
        <v>924210.52631578955</v>
      </c>
      <c r="H36" s="11"/>
      <c r="I36" s="14">
        <f t="shared" si="12"/>
        <v>30</v>
      </c>
      <c r="J36" s="63">
        <f t="shared" si="13"/>
        <v>577074.2489906305</v>
      </c>
      <c r="K36" s="63">
        <f t="shared" si="1"/>
        <v>2548.9539421808731</v>
      </c>
      <c r="L36" s="63">
        <f t="shared" si="14"/>
        <v>-19959.434535584627</v>
      </c>
      <c r="M36" s="65">
        <f t="shared" si="0"/>
        <v>559663.7683972267</v>
      </c>
      <c r="O36" s="14">
        <f t="shared" si="15"/>
        <v>30</v>
      </c>
      <c r="P36" s="54">
        <f t="shared" si="16"/>
        <v>15603.75</v>
      </c>
      <c r="Q36" s="63">
        <f t="shared" si="17"/>
        <v>45125.440098887702</v>
      </c>
      <c r="R36" s="77">
        <f t="shared" si="2"/>
        <v>-19959.434535584627</v>
      </c>
      <c r="S36" s="63">
        <f t="shared" si="18"/>
        <v>-8333.3333333333339</v>
      </c>
      <c r="T36" s="63">
        <f>-T68*0.5</f>
        <v>-75000</v>
      </c>
      <c r="U36" s="63">
        <f t="shared" si="19"/>
        <v>-2256.2720049443851</v>
      </c>
      <c r="V36" s="77">
        <f t="shared" si="22"/>
        <v>-1052.0833333333333</v>
      </c>
      <c r="W36" s="83">
        <f t="shared" si="4"/>
        <v>-61475.683108307981</v>
      </c>
      <c r="X36" s="85">
        <f t="shared" si="20"/>
        <v>315776.38175076048</v>
      </c>
      <c r="Z36" s="92">
        <f t="shared" si="21"/>
        <v>505000</v>
      </c>
      <c r="AA36" s="5">
        <f t="shared" si="5"/>
        <v>0</v>
      </c>
      <c r="AB36" s="92">
        <f t="shared" si="6"/>
        <v>505000</v>
      </c>
      <c r="AE36" s="12">
        <f t="shared" si="7"/>
        <v>30</v>
      </c>
      <c r="AF36" s="337">
        <f t="shared" si="8"/>
        <v>15603.75</v>
      </c>
      <c r="AG36" s="176">
        <f t="shared" si="9"/>
        <v>6666.6666666666661</v>
      </c>
      <c r="AI36" s="176">
        <f t="shared" si="10"/>
        <v>1666.6666666666661</v>
      </c>
    </row>
    <row r="37" spans="1:35" x14ac:dyDescent="0.45">
      <c r="C37" s="11"/>
      <c r="D37" s="11"/>
      <c r="E37" s="11"/>
      <c r="F37" s="11"/>
      <c r="G37" s="11"/>
      <c r="H37" s="11"/>
      <c r="I37" s="14">
        <f t="shared" si="12"/>
        <v>31</v>
      </c>
      <c r="J37" s="63">
        <f t="shared" si="13"/>
        <v>559663.7683972267</v>
      </c>
      <c r="K37" s="63">
        <f t="shared" si="1"/>
        <v>2472.0513369763553</v>
      </c>
      <c r="L37" s="63">
        <f t="shared" si="14"/>
        <v>-19959.434535584627</v>
      </c>
      <c r="M37" s="65">
        <f t="shared" si="0"/>
        <v>542176.3851986184</v>
      </c>
      <c r="O37" s="14">
        <f t="shared" si="15"/>
        <v>31</v>
      </c>
      <c r="P37" s="54">
        <f t="shared" si="16"/>
        <v>16123.875</v>
      </c>
      <c r="Q37" s="63">
        <f t="shared" si="17"/>
        <v>45125.440098887702</v>
      </c>
      <c r="R37" s="77">
        <f t="shared" si="2"/>
        <v>-19959.434535584627</v>
      </c>
      <c r="S37" s="63">
        <f t="shared" si="18"/>
        <v>-8333.3333333333339</v>
      </c>
      <c r="T37" s="63"/>
      <c r="U37" s="63">
        <f t="shared" si="19"/>
        <v>-2256.2720049443851</v>
      </c>
      <c r="V37" s="77">
        <f t="shared" si="22"/>
        <v>-1017.7083333333334</v>
      </c>
      <c r="W37" s="83">
        <f t="shared" si="4"/>
        <v>13558.691891692024</v>
      </c>
      <c r="X37" s="85">
        <f t="shared" si="20"/>
        <v>329335.07364245248</v>
      </c>
      <c r="Z37" s="92">
        <f t="shared" si="21"/>
        <v>488500</v>
      </c>
      <c r="AA37" s="5">
        <f t="shared" si="5"/>
        <v>0</v>
      </c>
      <c r="AB37" s="92">
        <f t="shared" si="6"/>
        <v>488500</v>
      </c>
      <c r="AE37" s="12">
        <f t="shared" si="7"/>
        <v>31</v>
      </c>
      <c r="AF37" s="337">
        <f t="shared" si="8"/>
        <v>16123.875</v>
      </c>
      <c r="AG37" s="176">
        <f t="shared" si="9"/>
        <v>6666.6666666666661</v>
      </c>
      <c r="AI37" s="176">
        <f t="shared" si="10"/>
        <v>1666.6666666666661</v>
      </c>
    </row>
    <row r="38" spans="1:35" x14ac:dyDescent="0.45">
      <c r="C38" s="11"/>
      <c r="D38" s="11"/>
      <c r="E38" s="11"/>
      <c r="F38" s="11"/>
      <c r="G38" s="11"/>
      <c r="H38" s="11"/>
      <c r="I38" s="14">
        <f t="shared" si="12"/>
        <v>32</v>
      </c>
      <c r="J38" s="63">
        <f t="shared" si="13"/>
        <v>542176.3851986184</v>
      </c>
      <c r="K38" s="63">
        <f t="shared" si="1"/>
        <v>2394.8090507012598</v>
      </c>
      <c r="L38" s="63">
        <f t="shared" si="14"/>
        <v>-19959.434535584627</v>
      </c>
      <c r="M38" s="65">
        <f t="shared" si="0"/>
        <v>524611.75971373497</v>
      </c>
      <c r="O38" s="14">
        <f t="shared" si="15"/>
        <v>32</v>
      </c>
      <c r="P38" s="54">
        <f t="shared" si="16"/>
        <v>16644</v>
      </c>
      <c r="Q38" s="63">
        <f t="shared" si="17"/>
        <v>45125.440098887702</v>
      </c>
      <c r="R38" s="77">
        <f t="shared" si="2"/>
        <v>-19959.434535584627</v>
      </c>
      <c r="S38" s="63">
        <f t="shared" si="18"/>
        <v>-8333.3333333333339</v>
      </c>
      <c r="T38" s="63"/>
      <c r="U38" s="63">
        <f t="shared" si="19"/>
        <v>-2256.2720049443851</v>
      </c>
      <c r="V38" s="77">
        <f t="shared" si="22"/>
        <v>-983.33333333333337</v>
      </c>
      <c r="W38" s="83">
        <f t="shared" si="4"/>
        <v>13593.066891692024</v>
      </c>
      <c r="X38" s="85">
        <f t="shared" si="20"/>
        <v>342928.14053414448</v>
      </c>
      <c r="Z38" s="92">
        <f t="shared" si="21"/>
        <v>472000</v>
      </c>
      <c r="AA38" s="5">
        <f t="shared" si="5"/>
        <v>0</v>
      </c>
      <c r="AB38" s="92">
        <f t="shared" si="6"/>
        <v>472000</v>
      </c>
      <c r="AE38" s="12">
        <f t="shared" si="7"/>
        <v>32</v>
      </c>
      <c r="AF38" s="337">
        <f t="shared" si="8"/>
        <v>16644</v>
      </c>
      <c r="AG38" s="176">
        <f t="shared" si="9"/>
        <v>6666.6666666666661</v>
      </c>
      <c r="AI38" s="176">
        <f t="shared" si="10"/>
        <v>1666.6666666666661</v>
      </c>
    </row>
    <row r="39" spans="1:35" x14ac:dyDescent="0.45">
      <c r="C39" s="11"/>
      <c r="D39" s="11"/>
      <c r="E39" s="11"/>
      <c r="F39" s="11"/>
      <c r="G39" s="11"/>
      <c r="H39" s="11"/>
      <c r="I39" s="14">
        <f t="shared" si="12"/>
        <v>33</v>
      </c>
      <c r="J39" s="63">
        <f t="shared" si="13"/>
        <v>524611.75971373497</v>
      </c>
      <c r="K39" s="63">
        <f t="shared" si="1"/>
        <v>2317.2255829742994</v>
      </c>
      <c r="L39" s="63">
        <f t="shared" si="14"/>
        <v>-19959.434535584627</v>
      </c>
      <c r="M39" s="65">
        <f t="shared" si="0"/>
        <v>506969.55076112458</v>
      </c>
      <c r="O39" s="14">
        <f t="shared" si="15"/>
        <v>33</v>
      </c>
      <c r="P39" s="54">
        <f t="shared" si="16"/>
        <v>17164.125</v>
      </c>
      <c r="Q39" s="63">
        <f t="shared" si="17"/>
        <v>45125.440098887702</v>
      </c>
      <c r="R39" s="77">
        <f t="shared" si="2"/>
        <v>-19959.434535584627</v>
      </c>
      <c r="S39" s="63">
        <f t="shared" si="18"/>
        <v>-8333.3333333333339</v>
      </c>
      <c r="T39" s="63"/>
      <c r="U39" s="63">
        <f t="shared" si="19"/>
        <v>-2256.2720049443851</v>
      </c>
      <c r="V39" s="77">
        <f t="shared" si="22"/>
        <v>-948.95833333333337</v>
      </c>
      <c r="W39" s="83">
        <f t="shared" si="4"/>
        <v>13627.441891692024</v>
      </c>
      <c r="X39" s="85">
        <f t="shared" si="20"/>
        <v>356555.58242583647</v>
      </c>
      <c r="Z39" s="92">
        <f t="shared" si="21"/>
        <v>455500</v>
      </c>
      <c r="AA39" s="5">
        <f t="shared" si="5"/>
        <v>0</v>
      </c>
      <c r="AB39" s="92">
        <f t="shared" si="6"/>
        <v>455500</v>
      </c>
      <c r="AE39" s="12">
        <f t="shared" si="7"/>
        <v>33</v>
      </c>
      <c r="AF39" s="337">
        <f t="shared" si="8"/>
        <v>17164.125</v>
      </c>
      <c r="AG39" s="176">
        <f t="shared" si="9"/>
        <v>6666.6666666666661</v>
      </c>
      <c r="AI39" s="176">
        <f t="shared" si="10"/>
        <v>1666.6666666666661</v>
      </c>
    </row>
    <row r="40" spans="1:35" ht="14.65" thickBot="1" x14ac:dyDescent="0.5">
      <c r="C40" s="11"/>
      <c r="D40" s="11"/>
      <c r="E40" s="11"/>
      <c r="F40" s="11"/>
      <c r="G40" s="11"/>
      <c r="H40" s="11"/>
      <c r="I40" s="14">
        <f t="shared" si="12"/>
        <v>34</v>
      </c>
      <c r="J40" s="63">
        <f t="shared" si="13"/>
        <v>506969.55076112458</v>
      </c>
      <c r="K40" s="63">
        <f t="shared" si="1"/>
        <v>2239.2994267869612</v>
      </c>
      <c r="L40" s="63">
        <f t="shared" si="14"/>
        <v>-19959.434535584627</v>
      </c>
      <c r="M40" s="65">
        <f t="shared" si="0"/>
        <v>489249.41565232689</v>
      </c>
      <c r="O40" s="14">
        <f t="shared" si="15"/>
        <v>34</v>
      </c>
      <c r="P40" s="54">
        <f t="shared" si="16"/>
        <v>17684.25</v>
      </c>
      <c r="Q40" s="63">
        <f t="shared" si="17"/>
        <v>45125.440098887702</v>
      </c>
      <c r="R40" s="77">
        <f t="shared" si="2"/>
        <v>-19959.434535584627</v>
      </c>
      <c r="S40" s="63">
        <f t="shared" si="18"/>
        <v>-8333.3333333333339</v>
      </c>
      <c r="T40" s="63"/>
      <c r="U40" s="63">
        <f t="shared" si="19"/>
        <v>-2256.2720049443851</v>
      </c>
      <c r="V40" s="77">
        <f t="shared" si="22"/>
        <v>-914.58333333333337</v>
      </c>
      <c r="W40" s="83">
        <f t="shared" si="4"/>
        <v>13661.816891692024</v>
      </c>
      <c r="X40" s="85">
        <f t="shared" si="20"/>
        <v>370217.39931752847</v>
      </c>
      <c r="Z40" s="92">
        <f t="shared" si="21"/>
        <v>439000</v>
      </c>
      <c r="AA40" s="5">
        <f t="shared" si="5"/>
        <v>0</v>
      </c>
      <c r="AB40" s="92">
        <f t="shared" si="6"/>
        <v>439000</v>
      </c>
      <c r="AE40" s="12">
        <f t="shared" si="7"/>
        <v>34</v>
      </c>
      <c r="AF40" s="337">
        <f t="shared" si="8"/>
        <v>17684.25</v>
      </c>
      <c r="AG40" s="176">
        <f t="shared" si="9"/>
        <v>6666.6666666666661</v>
      </c>
      <c r="AI40" s="176">
        <f t="shared" si="10"/>
        <v>1666.6666666666661</v>
      </c>
    </row>
    <row r="41" spans="1:35" ht="32.25" customHeight="1" thickBot="1" x14ac:dyDescent="0.5">
      <c r="A41" s="667" t="s">
        <v>29</v>
      </c>
      <c r="B41" s="668"/>
      <c r="C41" s="668"/>
      <c r="D41" s="668"/>
      <c r="E41" s="668"/>
      <c r="F41" s="668"/>
      <c r="G41" s="669"/>
      <c r="H41" s="11"/>
      <c r="I41" s="14">
        <f t="shared" si="12"/>
        <v>35</v>
      </c>
      <c r="J41" s="63">
        <f t="shared" si="13"/>
        <v>489249.41565232689</v>
      </c>
      <c r="K41" s="63">
        <f t="shared" si="1"/>
        <v>2161.0290684742286</v>
      </c>
      <c r="L41" s="63">
        <f t="shared" si="14"/>
        <v>-19959.434535584627</v>
      </c>
      <c r="M41" s="65">
        <f t="shared" si="0"/>
        <v>471451.0101852165</v>
      </c>
      <c r="O41" s="14">
        <f t="shared" si="15"/>
        <v>35</v>
      </c>
      <c r="P41" s="54">
        <f t="shared" si="16"/>
        <v>18204.375</v>
      </c>
      <c r="Q41" s="63">
        <f t="shared" si="17"/>
        <v>45125.440098887702</v>
      </c>
      <c r="R41" s="77">
        <f t="shared" si="2"/>
        <v>-19959.434535584627</v>
      </c>
      <c r="S41" s="63">
        <f t="shared" si="18"/>
        <v>-8333.3333333333339</v>
      </c>
      <c r="T41" s="63"/>
      <c r="U41" s="63">
        <f t="shared" si="19"/>
        <v>-2256.2720049443851</v>
      </c>
      <c r="V41" s="77">
        <f t="shared" si="22"/>
        <v>-880.20833333333337</v>
      </c>
      <c r="W41" s="83">
        <f t="shared" si="4"/>
        <v>13696.191891692024</v>
      </c>
      <c r="X41" s="85">
        <f t="shared" si="20"/>
        <v>383913.59120922047</v>
      </c>
      <c r="Z41" s="92">
        <f t="shared" si="21"/>
        <v>422500</v>
      </c>
      <c r="AA41" s="5">
        <f t="shared" si="5"/>
        <v>0</v>
      </c>
      <c r="AB41" s="92">
        <f t="shared" si="6"/>
        <v>422500</v>
      </c>
      <c r="AE41" s="12">
        <f t="shared" si="7"/>
        <v>35</v>
      </c>
      <c r="AF41" s="337">
        <f t="shared" si="8"/>
        <v>18204.375</v>
      </c>
      <c r="AG41" s="176">
        <f t="shared" si="9"/>
        <v>6666.6666666666661</v>
      </c>
      <c r="AI41" s="176">
        <f t="shared" si="10"/>
        <v>1666.6666666666661</v>
      </c>
    </row>
    <row r="42" spans="1:35" ht="19.5" customHeight="1" x14ac:dyDescent="0.45">
      <c r="A42" s="35">
        <v>1</v>
      </c>
      <c r="B42" s="670" t="s">
        <v>30</v>
      </c>
      <c r="C42" s="671"/>
      <c r="D42" s="671"/>
      <c r="E42" s="672"/>
      <c r="F42" s="73">
        <f>F36/C12</f>
        <v>18419.606765554363</v>
      </c>
      <c r="G42" s="74">
        <f>G36/C13/C14</f>
        <v>51.345029239766085</v>
      </c>
      <c r="H42" s="11"/>
      <c r="I42" s="20">
        <f t="shared" si="12"/>
        <v>36</v>
      </c>
      <c r="J42" s="63">
        <f t="shared" si="13"/>
        <v>471451.0101852165</v>
      </c>
      <c r="K42" s="79">
        <f t="shared" si="1"/>
        <v>2082.4129876851844</v>
      </c>
      <c r="L42" s="63">
        <f t="shared" si="14"/>
        <v>-19959.434535584627</v>
      </c>
      <c r="M42" s="80">
        <f t="shared" si="0"/>
        <v>453573.98863731703</v>
      </c>
      <c r="O42" s="20">
        <f t="shared" si="15"/>
        <v>36</v>
      </c>
      <c r="P42" s="54">
        <f t="shared" si="16"/>
        <v>18724.5</v>
      </c>
      <c r="Q42" s="63">
        <f t="shared" si="17"/>
        <v>45125.440098887702</v>
      </c>
      <c r="R42" s="77">
        <f t="shared" si="2"/>
        <v>-19959.434535584627</v>
      </c>
      <c r="S42" s="63">
        <f t="shared" si="18"/>
        <v>-8333.3333333333339</v>
      </c>
      <c r="T42" s="63"/>
      <c r="U42" s="63">
        <f t="shared" si="19"/>
        <v>-2256.2720049443851</v>
      </c>
      <c r="V42" s="77">
        <f t="shared" si="22"/>
        <v>-845.83333333333337</v>
      </c>
      <c r="W42" s="83">
        <f t="shared" si="4"/>
        <v>13730.566891692024</v>
      </c>
      <c r="X42" s="85">
        <f t="shared" si="20"/>
        <v>397644.15810091246</v>
      </c>
      <c r="Z42" s="92">
        <f t="shared" si="21"/>
        <v>406000</v>
      </c>
      <c r="AA42" s="5">
        <f t="shared" si="5"/>
        <v>0</v>
      </c>
      <c r="AB42" s="92">
        <f t="shared" si="6"/>
        <v>406000</v>
      </c>
      <c r="AE42" s="12">
        <f t="shared" si="7"/>
        <v>36</v>
      </c>
      <c r="AF42" s="337">
        <f t="shared" si="8"/>
        <v>18724.5</v>
      </c>
      <c r="AG42" s="176">
        <f t="shared" si="9"/>
        <v>6666.6666666666661</v>
      </c>
      <c r="AI42" s="176">
        <f t="shared" si="10"/>
        <v>1666.6666666666661</v>
      </c>
    </row>
    <row r="43" spans="1:35" ht="19.5" customHeight="1" thickBot="1" x14ac:dyDescent="0.5">
      <c r="A43" s="36">
        <f>A42+1</f>
        <v>2</v>
      </c>
      <c r="B43" s="673" t="s">
        <v>31</v>
      </c>
      <c r="C43" s="674"/>
      <c r="D43" s="674"/>
      <c r="E43" s="675"/>
      <c r="F43" s="75"/>
      <c r="G43" s="76">
        <f>+(F42*C12+D13*G42)/D13</f>
        <v>112.74371845828064</v>
      </c>
      <c r="H43" s="11"/>
      <c r="I43" s="20">
        <f t="shared" si="12"/>
        <v>37</v>
      </c>
      <c r="J43" s="63">
        <f t="shared" si="13"/>
        <v>453573.98863731703</v>
      </c>
      <c r="K43" s="79">
        <f t="shared" si="1"/>
        <v>2003.4496573534736</v>
      </c>
      <c r="L43" s="63">
        <f t="shared" si="14"/>
        <v>-19959.434535584627</v>
      </c>
      <c r="M43" s="80">
        <f t="shared" si="0"/>
        <v>435618.00375908584</v>
      </c>
      <c r="O43" s="20">
        <f t="shared" si="15"/>
        <v>37</v>
      </c>
      <c r="P43" s="54">
        <f t="shared" si="16"/>
        <v>19244.625</v>
      </c>
      <c r="Q43" s="63">
        <f t="shared" si="17"/>
        <v>45125.440098887702</v>
      </c>
      <c r="R43" s="77">
        <f t="shared" si="2"/>
        <v>-19959.434535584627</v>
      </c>
      <c r="S43" s="63">
        <f t="shared" si="18"/>
        <v>-8333.3333333333339</v>
      </c>
      <c r="T43" s="63"/>
      <c r="U43" s="63">
        <f t="shared" si="19"/>
        <v>-2256.2720049443851</v>
      </c>
      <c r="V43" s="77">
        <f t="shared" si="22"/>
        <v>-811.45833333333337</v>
      </c>
      <c r="W43" s="83">
        <f t="shared" si="4"/>
        <v>13764.941891692024</v>
      </c>
      <c r="X43" s="85">
        <f t="shared" si="20"/>
        <v>411409.09999260446</v>
      </c>
      <c r="Z43" s="92">
        <f t="shared" si="21"/>
        <v>389500</v>
      </c>
      <c r="AA43" s="5">
        <f t="shared" si="5"/>
        <v>0</v>
      </c>
      <c r="AB43" s="92">
        <f t="shared" si="6"/>
        <v>389500</v>
      </c>
      <c r="AE43" s="12">
        <f t="shared" si="7"/>
        <v>37</v>
      </c>
      <c r="AF43" s="337">
        <f t="shared" si="8"/>
        <v>19244.625</v>
      </c>
      <c r="AG43" s="176">
        <f t="shared" si="9"/>
        <v>6666.6666666666661</v>
      </c>
      <c r="AI43" s="176">
        <f t="shared" si="10"/>
        <v>1666.6666666666661</v>
      </c>
    </row>
    <row r="44" spans="1:35" x14ac:dyDescent="0.45">
      <c r="I44" s="20">
        <f t="shared" si="12"/>
        <v>38</v>
      </c>
      <c r="J44" s="63">
        <f t="shared" si="13"/>
        <v>435618.00375908584</v>
      </c>
      <c r="K44" s="79">
        <f t="shared" si="1"/>
        <v>1924.1375436676478</v>
      </c>
      <c r="L44" s="63">
        <f t="shared" si="14"/>
        <v>-19959.434535584627</v>
      </c>
      <c r="M44" s="80">
        <f t="shared" si="0"/>
        <v>417582.70676716883</v>
      </c>
      <c r="O44" s="20">
        <f t="shared" si="15"/>
        <v>38</v>
      </c>
      <c r="P44" s="54">
        <f t="shared" si="16"/>
        <v>19764.75</v>
      </c>
      <c r="Q44" s="63">
        <f t="shared" si="17"/>
        <v>45125.440098887702</v>
      </c>
      <c r="R44" s="77">
        <f t="shared" si="2"/>
        <v>-19959.434535584627</v>
      </c>
      <c r="S44" s="63">
        <f t="shared" si="18"/>
        <v>-8333.3333333333339</v>
      </c>
      <c r="T44" s="63"/>
      <c r="U44" s="63">
        <f t="shared" si="19"/>
        <v>-2256.2720049443851</v>
      </c>
      <c r="V44" s="77">
        <f t="shared" si="22"/>
        <v>-777.08333333333337</v>
      </c>
      <c r="W44" s="83">
        <f t="shared" si="4"/>
        <v>13799.316891692024</v>
      </c>
      <c r="X44" s="85">
        <f t="shared" si="20"/>
        <v>425208.41688429646</v>
      </c>
      <c r="Z44" s="92">
        <f t="shared" si="21"/>
        <v>373000</v>
      </c>
      <c r="AA44" s="5">
        <f t="shared" si="5"/>
        <v>0</v>
      </c>
      <c r="AB44" s="92">
        <f t="shared" si="6"/>
        <v>373000</v>
      </c>
      <c r="AE44" s="12">
        <f t="shared" si="7"/>
        <v>38</v>
      </c>
      <c r="AF44" s="337">
        <f t="shared" si="8"/>
        <v>19764.75</v>
      </c>
      <c r="AG44" s="176">
        <f t="shared" si="9"/>
        <v>6666.6666666666661</v>
      </c>
      <c r="AI44" s="176">
        <f t="shared" si="10"/>
        <v>1666.6666666666661</v>
      </c>
    </row>
    <row r="45" spans="1:35" x14ac:dyDescent="0.45">
      <c r="I45" s="20">
        <f t="shared" si="12"/>
        <v>39</v>
      </c>
      <c r="J45" s="63">
        <f t="shared" si="13"/>
        <v>417582.70676716883</v>
      </c>
      <c r="K45" s="79">
        <f t="shared" si="1"/>
        <v>1844.4751060413657</v>
      </c>
      <c r="L45" s="63">
        <f t="shared" si="14"/>
        <v>-19959.434535584627</v>
      </c>
      <c r="M45" s="80">
        <f t="shared" si="0"/>
        <v>399467.74733762554</v>
      </c>
      <c r="O45" s="20">
        <f t="shared" si="15"/>
        <v>39</v>
      </c>
      <c r="P45" s="54">
        <f t="shared" si="16"/>
        <v>20284.875</v>
      </c>
      <c r="Q45" s="63">
        <f t="shared" si="17"/>
        <v>45125.440098887702</v>
      </c>
      <c r="R45" s="77">
        <f t="shared" si="2"/>
        <v>-19959.434535584627</v>
      </c>
      <c r="S45" s="63">
        <f t="shared" si="18"/>
        <v>-8333.3333333333339</v>
      </c>
      <c r="T45" s="63"/>
      <c r="U45" s="63">
        <f t="shared" si="19"/>
        <v>-2256.2720049443851</v>
      </c>
      <c r="V45" s="77">
        <f t="shared" si="22"/>
        <v>-742.70833333333337</v>
      </c>
      <c r="W45" s="83">
        <f t="shared" si="4"/>
        <v>13833.691891692024</v>
      </c>
      <c r="X45" s="85">
        <f t="shared" si="20"/>
        <v>439042.10877598845</v>
      </c>
      <c r="Z45" s="92">
        <f t="shared" si="21"/>
        <v>356500</v>
      </c>
      <c r="AA45" s="5">
        <f t="shared" si="5"/>
        <v>0</v>
      </c>
      <c r="AB45" s="92">
        <f t="shared" si="6"/>
        <v>356500</v>
      </c>
      <c r="AE45" s="12">
        <f t="shared" si="7"/>
        <v>39</v>
      </c>
      <c r="AF45" s="337">
        <f t="shared" si="8"/>
        <v>20284.875</v>
      </c>
      <c r="AG45" s="176">
        <f t="shared" si="9"/>
        <v>6666.6666666666661</v>
      </c>
      <c r="AI45" s="176">
        <f t="shared" si="10"/>
        <v>1666.6666666666661</v>
      </c>
    </row>
    <row r="46" spans="1:35" x14ac:dyDescent="0.45">
      <c r="I46" s="20">
        <f t="shared" si="12"/>
        <v>40</v>
      </c>
      <c r="J46" s="63">
        <f t="shared" si="13"/>
        <v>399467.74733762554</v>
      </c>
      <c r="K46" s="79">
        <f t="shared" si="1"/>
        <v>1764.4607970834716</v>
      </c>
      <c r="L46" s="63">
        <f t="shared" si="14"/>
        <v>-19959.434535584627</v>
      </c>
      <c r="M46" s="80">
        <f t="shared" si="0"/>
        <v>381272.77359912434</v>
      </c>
      <c r="O46" s="20">
        <f t="shared" si="15"/>
        <v>40</v>
      </c>
      <c r="P46" s="54">
        <f t="shared" si="16"/>
        <v>20805</v>
      </c>
      <c r="Q46" s="63">
        <f t="shared" si="17"/>
        <v>45125.440098887702</v>
      </c>
      <c r="R46" s="77">
        <f t="shared" si="2"/>
        <v>-19959.434535584627</v>
      </c>
      <c r="S46" s="63">
        <f t="shared" si="18"/>
        <v>-8333.3333333333339</v>
      </c>
      <c r="T46" s="63"/>
      <c r="U46" s="63">
        <f t="shared" si="19"/>
        <v>-2256.2720049443851</v>
      </c>
      <c r="V46" s="77">
        <f t="shared" si="22"/>
        <v>-708.33333333333337</v>
      </c>
      <c r="W46" s="83">
        <f t="shared" si="4"/>
        <v>13868.066891692024</v>
      </c>
      <c r="X46" s="85">
        <f t="shared" si="20"/>
        <v>452910.17566768045</v>
      </c>
      <c r="Z46" s="92">
        <f t="shared" si="21"/>
        <v>340000</v>
      </c>
      <c r="AA46" s="5">
        <f t="shared" si="5"/>
        <v>0</v>
      </c>
      <c r="AB46" s="92">
        <f t="shared" si="6"/>
        <v>340000</v>
      </c>
      <c r="AE46" s="12">
        <f t="shared" si="7"/>
        <v>40</v>
      </c>
      <c r="AF46" s="337">
        <f t="shared" si="8"/>
        <v>20805</v>
      </c>
      <c r="AG46" s="176">
        <f t="shared" si="9"/>
        <v>6666.6666666666661</v>
      </c>
      <c r="AI46" s="176">
        <f t="shared" si="10"/>
        <v>1666.6666666666661</v>
      </c>
    </row>
    <row r="47" spans="1:35" x14ac:dyDescent="0.45">
      <c r="I47" s="20">
        <f t="shared" si="12"/>
        <v>41</v>
      </c>
      <c r="J47" s="63">
        <f t="shared" si="13"/>
        <v>381272.77359912434</v>
      </c>
      <c r="K47" s="79">
        <f t="shared" si="1"/>
        <v>1684.0930625679377</v>
      </c>
      <c r="L47" s="63">
        <f t="shared" si="14"/>
        <v>-19959.434535584627</v>
      </c>
      <c r="M47" s="80">
        <f t="shared" si="0"/>
        <v>362997.43212610763</v>
      </c>
      <c r="O47" s="20">
        <f t="shared" si="15"/>
        <v>41</v>
      </c>
      <c r="P47" s="54">
        <f t="shared" si="16"/>
        <v>21325.125</v>
      </c>
      <c r="Q47" s="63">
        <f t="shared" si="17"/>
        <v>45125.440098887702</v>
      </c>
      <c r="R47" s="77">
        <f t="shared" si="2"/>
        <v>-19959.434535584627</v>
      </c>
      <c r="S47" s="63">
        <f t="shared" si="18"/>
        <v>-8333.3333333333339</v>
      </c>
      <c r="T47" s="63"/>
      <c r="U47" s="63">
        <f t="shared" si="19"/>
        <v>-2256.2720049443851</v>
      </c>
      <c r="V47" s="77">
        <f t="shared" si="22"/>
        <v>-673.95833333333337</v>
      </c>
      <c r="W47" s="83">
        <f t="shared" si="4"/>
        <v>13902.441891692024</v>
      </c>
      <c r="X47" s="85">
        <f t="shared" si="20"/>
        <v>466812.61755937245</v>
      </c>
      <c r="Z47" s="92">
        <f t="shared" si="21"/>
        <v>323500</v>
      </c>
      <c r="AA47" s="5">
        <f t="shared" si="5"/>
        <v>0</v>
      </c>
      <c r="AB47" s="92">
        <f t="shared" si="6"/>
        <v>323500</v>
      </c>
      <c r="AE47" s="12">
        <f t="shared" si="7"/>
        <v>41</v>
      </c>
      <c r="AF47" s="337">
        <f t="shared" si="8"/>
        <v>21325.125</v>
      </c>
      <c r="AG47" s="176">
        <f t="shared" si="9"/>
        <v>6666.6666666666661</v>
      </c>
      <c r="AI47" s="176">
        <f t="shared" si="10"/>
        <v>1666.6666666666661</v>
      </c>
    </row>
    <row r="48" spans="1:35" x14ac:dyDescent="0.45">
      <c r="I48" s="20">
        <f t="shared" si="12"/>
        <v>42</v>
      </c>
      <c r="J48" s="63">
        <f t="shared" si="13"/>
        <v>362997.43212610763</v>
      </c>
      <c r="K48" s="79">
        <f t="shared" si="1"/>
        <v>1603.370341403674</v>
      </c>
      <c r="L48" s="63">
        <f t="shared" si="14"/>
        <v>-19959.434535584627</v>
      </c>
      <c r="M48" s="80">
        <f t="shared" si="0"/>
        <v>344641.36793192668</v>
      </c>
      <c r="O48" s="20">
        <f t="shared" si="15"/>
        <v>42</v>
      </c>
      <c r="P48" s="54">
        <f t="shared" si="16"/>
        <v>21845.25</v>
      </c>
      <c r="Q48" s="63">
        <f t="shared" si="17"/>
        <v>45125.440098887702</v>
      </c>
      <c r="R48" s="77">
        <f t="shared" si="2"/>
        <v>-19959.434535584627</v>
      </c>
      <c r="S48" s="63">
        <f t="shared" si="18"/>
        <v>-8333.3333333333339</v>
      </c>
      <c r="T48" s="63"/>
      <c r="U48" s="63">
        <f t="shared" si="19"/>
        <v>-2256.2720049443851</v>
      </c>
      <c r="V48" s="77">
        <f t="shared" si="22"/>
        <v>-639.58333333333337</v>
      </c>
      <c r="W48" s="83">
        <f t="shared" si="4"/>
        <v>13936.816891692024</v>
      </c>
      <c r="X48" s="85">
        <f t="shared" si="20"/>
        <v>480749.43445106444</v>
      </c>
      <c r="Z48" s="92">
        <f t="shared" si="21"/>
        <v>307000</v>
      </c>
      <c r="AA48" s="5">
        <f t="shared" si="5"/>
        <v>0</v>
      </c>
      <c r="AB48" s="92">
        <f t="shared" si="6"/>
        <v>307000</v>
      </c>
      <c r="AE48" s="12">
        <f t="shared" si="7"/>
        <v>42</v>
      </c>
      <c r="AF48" s="337">
        <f t="shared" si="8"/>
        <v>21845.25</v>
      </c>
      <c r="AG48" s="176">
        <f t="shared" si="9"/>
        <v>6666.6666666666661</v>
      </c>
      <c r="AI48" s="176">
        <f t="shared" si="10"/>
        <v>1666.6666666666661</v>
      </c>
    </row>
    <row r="49" spans="9:35" x14ac:dyDescent="0.45">
      <c r="I49" s="20">
        <f t="shared" si="12"/>
        <v>43</v>
      </c>
      <c r="J49" s="63">
        <f t="shared" si="13"/>
        <v>344641.36793192668</v>
      </c>
      <c r="K49" s="79">
        <f t="shared" si="1"/>
        <v>1522.2910656042052</v>
      </c>
      <c r="L49" s="63">
        <f t="shared" si="14"/>
        <v>-19959.434535584627</v>
      </c>
      <c r="M49" s="80">
        <f t="shared" si="0"/>
        <v>326204.22446194623</v>
      </c>
      <c r="O49" s="20">
        <f t="shared" si="15"/>
        <v>43</v>
      </c>
      <c r="P49" s="54">
        <f t="shared" si="16"/>
        <v>22365.375</v>
      </c>
      <c r="Q49" s="63">
        <f t="shared" si="17"/>
        <v>45125.440098887702</v>
      </c>
      <c r="R49" s="77">
        <f t="shared" si="2"/>
        <v>-19959.434535584627</v>
      </c>
      <c r="S49" s="63">
        <f t="shared" si="18"/>
        <v>-8333.3333333333339</v>
      </c>
      <c r="T49" s="63"/>
      <c r="U49" s="63">
        <f t="shared" si="19"/>
        <v>-2256.2720049443851</v>
      </c>
      <c r="V49" s="77">
        <f t="shared" si="22"/>
        <v>-605.20833333333337</v>
      </c>
      <c r="W49" s="83">
        <f t="shared" si="4"/>
        <v>13971.191891692024</v>
      </c>
      <c r="X49" s="85">
        <f t="shared" si="20"/>
        <v>494720.62634275644</v>
      </c>
      <c r="Z49" s="92">
        <f t="shared" si="21"/>
        <v>290500</v>
      </c>
      <c r="AA49" s="5">
        <f t="shared" si="5"/>
        <v>0</v>
      </c>
      <c r="AB49" s="92">
        <f t="shared" si="6"/>
        <v>290500</v>
      </c>
      <c r="AE49" s="12">
        <f t="shared" si="7"/>
        <v>43</v>
      </c>
      <c r="AF49" s="337">
        <f t="shared" si="8"/>
        <v>22365.375</v>
      </c>
      <c r="AG49" s="176">
        <f t="shared" si="9"/>
        <v>6666.6666666666661</v>
      </c>
      <c r="AI49" s="176">
        <f t="shared" si="10"/>
        <v>1666.6666666666661</v>
      </c>
    </row>
    <row r="50" spans="9:35" x14ac:dyDescent="0.45">
      <c r="I50" s="20">
        <f t="shared" si="12"/>
        <v>44</v>
      </c>
      <c r="J50" s="63">
        <f t="shared" si="13"/>
        <v>326204.22446194623</v>
      </c>
      <c r="K50" s="79">
        <f t="shared" si="1"/>
        <v>1440.8536602572133</v>
      </c>
      <c r="L50" s="63">
        <f t="shared" si="14"/>
        <v>-19959.434535584627</v>
      </c>
      <c r="M50" s="80">
        <f t="shared" si="0"/>
        <v>307685.64358661883</v>
      </c>
      <c r="O50" s="20">
        <f t="shared" si="15"/>
        <v>44</v>
      </c>
      <c r="P50" s="54">
        <f t="shared" si="16"/>
        <v>22885.5</v>
      </c>
      <c r="Q50" s="63">
        <f t="shared" si="17"/>
        <v>45125.440098887702</v>
      </c>
      <c r="R50" s="77">
        <f t="shared" si="2"/>
        <v>-19959.434535584627</v>
      </c>
      <c r="S50" s="63">
        <f t="shared" si="18"/>
        <v>-8333.3333333333339</v>
      </c>
      <c r="T50" s="63"/>
      <c r="U50" s="63">
        <f t="shared" si="19"/>
        <v>-2256.2720049443851</v>
      </c>
      <c r="V50" s="77">
        <f t="shared" si="22"/>
        <v>-570.83333333333337</v>
      </c>
      <c r="W50" s="83">
        <f t="shared" si="4"/>
        <v>14005.566891692024</v>
      </c>
      <c r="X50" s="85">
        <f t="shared" si="20"/>
        <v>508726.19323444844</v>
      </c>
      <c r="Z50" s="92">
        <f t="shared" si="21"/>
        <v>274000</v>
      </c>
      <c r="AA50" s="5">
        <f t="shared" si="5"/>
        <v>0</v>
      </c>
      <c r="AB50" s="92">
        <f t="shared" si="6"/>
        <v>274000</v>
      </c>
      <c r="AE50" s="12">
        <f t="shared" si="7"/>
        <v>44</v>
      </c>
      <c r="AF50" s="337">
        <f t="shared" si="8"/>
        <v>22885.5</v>
      </c>
      <c r="AG50" s="176">
        <f t="shared" si="9"/>
        <v>6666.6666666666661</v>
      </c>
      <c r="AI50" s="176">
        <f t="shared" si="10"/>
        <v>1666.6666666666661</v>
      </c>
    </row>
    <row r="51" spans="9:35" x14ac:dyDescent="0.45">
      <c r="I51" s="20">
        <f t="shared" si="12"/>
        <v>45</v>
      </c>
      <c r="J51" s="63">
        <f t="shared" si="13"/>
        <v>307685.64358661883</v>
      </c>
      <c r="K51" s="79">
        <f t="shared" si="1"/>
        <v>1359.0565434939463</v>
      </c>
      <c r="L51" s="63">
        <f t="shared" si="14"/>
        <v>-19959.434535584627</v>
      </c>
      <c r="M51" s="80">
        <f t="shared" si="0"/>
        <v>289085.26559452811</v>
      </c>
      <c r="O51" s="20">
        <f t="shared" si="15"/>
        <v>45</v>
      </c>
      <c r="P51" s="54">
        <f t="shared" si="16"/>
        <v>23405.625</v>
      </c>
      <c r="Q51" s="63">
        <f t="shared" si="17"/>
        <v>45125.440098887702</v>
      </c>
      <c r="R51" s="77">
        <f t="shared" si="2"/>
        <v>-19959.434535584627</v>
      </c>
      <c r="S51" s="63">
        <f t="shared" si="18"/>
        <v>-8333.3333333333339</v>
      </c>
      <c r="T51" s="63"/>
      <c r="U51" s="63">
        <f t="shared" si="19"/>
        <v>-2256.2720049443851</v>
      </c>
      <c r="V51" s="77">
        <f t="shared" si="22"/>
        <v>-536.45833333333337</v>
      </c>
      <c r="W51" s="83">
        <f t="shared" si="4"/>
        <v>14039.941891692024</v>
      </c>
      <c r="X51" s="85">
        <f t="shared" si="20"/>
        <v>522766.13512614043</v>
      </c>
      <c r="Z51" s="92">
        <f t="shared" si="21"/>
        <v>257500</v>
      </c>
      <c r="AA51" s="5">
        <f t="shared" si="5"/>
        <v>0</v>
      </c>
      <c r="AB51" s="92">
        <f t="shared" si="6"/>
        <v>257500</v>
      </c>
      <c r="AE51" s="12">
        <f t="shared" si="7"/>
        <v>45</v>
      </c>
      <c r="AF51" s="337">
        <f t="shared" si="8"/>
        <v>23405.625</v>
      </c>
      <c r="AG51" s="176">
        <f t="shared" si="9"/>
        <v>6666.6666666666661</v>
      </c>
      <c r="AI51" s="176">
        <f t="shared" si="10"/>
        <v>1666.6666666666661</v>
      </c>
    </row>
    <row r="52" spans="9:35" x14ac:dyDescent="0.45">
      <c r="I52" s="20">
        <f t="shared" si="12"/>
        <v>46</v>
      </c>
      <c r="J52" s="63">
        <f t="shared" si="13"/>
        <v>289085.26559452811</v>
      </c>
      <c r="K52" s="79">
        <f t="shared" si="1"/>
        <v>1276.8981264584918</v>
      </c>
      <c r="L52" s="63">
        <f t="shared" si="14"/>
        <v>-19959.434535584627</v>
      </c>
      <c r="M52" s="80">
        <f t="shared" si="0"/>
        <v>270402.72918540199</v>
      </c>
      <c r="O52" s="20">
        <f t="shared" si="15"/>
        <v>46</v>
      </c>
      <c r="P52" s="54">
        <f t="shared" si="16"/>
        <v>23925.75</v>
      </c>
      <c r="Q52" s="63">
        <f t="shared" si="17"/>
        <v>45125.440098887702</v>
      </c>
      <c r="R52" s="77">
        <f t="shared" si="2"/>
        <v>-19959.434535584627</v>
      </c>
      <c r="S52" s="63">
        <f t="shared" si="18"/>
        <v>-8333.3333333333339</v>
      </c>
      <c r="T52" s="63"/>
      <c r="U52" s="63">
        <f t="shared" si="19"/>
        <v>-2256.2720049443851</v>
      </c>
      <c r="V52" s="77">
        <f t="shared" si="22"/>
        <v>-502.08333333333331</v>
      </c>
      <c r="W52" s="83">
        <f t="shared" si="4"/>
        <v>14074.316891692024</v>
      </c>
      <c r="X52" s="85">
        <f t="shared" si="20"/>
        <v>536840.45201783243</v>
      </c>
      <c r="Z52" s="92">
        <f t="shared" si="21"/>
        <v>241000</v>
      </c>
      <c r="AA52" s="5">
        <f t="shared" si="5"/>
        <v>0</v>
      </c>
      <c r="AB52" s="92">
        <f t="shared" si="6"/>
        <v>241000</v>
      </c>
      <c r="AE52" s="12">
        <f t="shared" si="7"/>
        <v>46</v>
      </c>
      <c r="AF52" s="337">
        <f t="shared" si="8"/>
        <v>23925.75</v>
      </c>
      <c r="AG52" s="176">
        <f t="shared" si="9"/>
        <v>6666.6666666666661</v>
      </c>
      <c r="AI52" s="176">
        <f t="shared" si="10"/>
        <v>1666.6666666666661</v>
      </c>
    </row>
    <row r="53" spans="9:35" x14ac:dyDescent="0.45">
      <c r="I53" s="20">
        <f t="shared" si="12"/>
        <v>47</v>
      </c>
      <c r="J53" s="63">
        <f t="shared" si="13"/>
        <v>270402.72918540199</v>
      </c>
      <c r="K53" s="79">
        <f t="shared" si="1"/>
        <v>1194.3768132769137</v>
      </c>
      <c r="L53" s="63">
        <f t="shared" si="14"/>
        <v>-19959.434535584627</v>
      </c>
      <c r="M53" s="80">
        <f t="shared" si="0"/>
        <v>251637.67146309427</v>
      </c>
      <c r="O53" s="20">
        <f t="shared" si="15"/>
        <v>47</v>
      </c>
      <c r="P53" s="54">
        <f t="shared" si="16"/>
        <v>24445.875</v>
      </c>
      <c r="Q53" s="63">
        <f t="shared" si="17"/>
        <v>45125.440098887702</v>
      </c>
      <c r="R53" s="77">
        <f t="shared" si="2"/>
        <v>-19959.434535584627</v>
      </c>
      <c r="S53" s="63">
        <f t="shared" si="18"/>
        <v>-8333.3333333333339</v>
      </c>
      <c r="T53" s="63"/>
      <c r="U53" s="63">
        <f t="shared" si="19"/>
        <v>-2256.2720049443851</v>
      </c>
      <c r="V53" s="77">
        <f t="shared" si="22"/>
        <v>-467.70833333333331</v>
      </c>
      <c r="W53" s="83">
        <f t="shared" si="4"/>
        <v>14108.691891692024</v>
      </c>
      <c r="X53" s="85">
        <f t="shared" si="20"/>
        <v>550949.14390952443</v>
      </c>
      <c r="Z53" s="92">
        <f t="shared" si="21"/>
        <v>224500</v>
      </c>
      <c r="AA53" s="5">
        <f t="shared" si="5"/>
        <v>0</v>
      </c>
      <c r="AB53" s="92">
        <f t="shared" si="6"/>
        <v>224500</v>
      </c>
      <c r="AE53" s="12">
        <f t="shared" si="7"/>
        <v>47</v>
      </c>
      <c r="AF53" s="337">
        <f t="shared" si="8"/>
        <v>24445.875</v>
      </c>
      <c r="AG53" s="176">
        <f t="shared" si="9"/>
        <v>6666.6666666666661</v>
      </c>
      <c r="AI53" s="176">
        <f t="shared" si="10"/>
        <v>1666.6666666666661</v>
      </c>
    </row>
    <row r="54" spans="9:35" x14ac:dyDescent="0.45">
      <c r="I54" s="20">
        <f t="shared" si="12"/>
        <v>48</v>
      </c>
      <c r="J54" s="63">
        <f t="shared" si="13"/>
        <v>251637.67146309427</v>
      </c>
      <c r="K54" s="79">
        <f t="shared" si="1"/>
        <v>1111.491001026254</v>
      </c>
      <c r="L54" s="63">
        <f t="shared" si="14"/>
        <v>-19959.434535584627</v>
      </c>
      <c r="M54" s="80">
        <f t="shared" si="0"/>
        <v>232789.72792853593</v>
      </c>
      <c r="O54" s="20">
        <f t="shared" si="15"/>
        <v>48</v>
      </c>
      <c r="P54" s="54">
        <f t="shared" si="16"/>
        <v>24966</v>
      </c>
      <c r="Q54" s="63">
        <f t="shared" si="17"/>
        <v>45125.440098887702</v>
      </c>
      <c r="R54" s="77">
        <f t="shared" si="2"/>
        <v>-19959.434535584627</v>
      </c>
      <c r="S54" s="63">
        <f t="shared" si="18"/>
        <v>-8333.3333333333339</v>
      </c>
      <c r="T54" s="63">
        <f>-T68*0.5</f>
        <v>-75000</v>
      </c>
      <c r="U54" s="63">
        <f t="shared" si="19"/>
        <v>-2256.2720049443851</v>
      </c>
      <c r="V54" s="77">
        <f t="shared" si="22"/>
        <v>-433.33333333333331</v>
      </c>
      <c r="W54" s="83">
        <f t="shared" si="4"/>
        <v>-60856.933108307981</v>
      </c>
      <c r="X54" s="85">
        <f t="shared" si="20"/>
        <v>490092.21080121642</v>
      </c>
      <c r="Z54" s="92">
        <f t="shared" si="21"/>
        <v>208000</v>
      </c>
      <c r="AA54" s="5">
        <f t="shared" si="5"/>
        <v>0</v>
      </c>
      <c r="AB54" s="92">
        <f t="shared" si="6"/>
        <v>208000</v>
      </c>
      <c r="AE54" s="12">
        <f t="shared" si="7"/>
        <v>48</v>
      </c>
      <c r="AF54" s="337">
        <f t="shared" si="8"/>
        <v>24966</v>
      </c>
      <c r="AG54" s="176">
        <f t="shared" si="9"/>
        <v>6666.6666666666661</v>
      </c>
      <c r="AI54" s="176">
        <f t="shared" si="10"/>
        <v>1666.6666666666661</v>
      </c>
    </row>
    <row r="55" spans="9:35" x14ac:dyDescent="0.45">
      <c r="I55" s="20">
        <f t="shared" si="12"/>
        <v>49</v>
      </c>
      <c r="J55" s="63">
        <f t="shared" si="13"/>
        <v>232789.72792853593</v>
      </c>
      <c r="K55" s="79">
        <f>J55*$C$8*30.44/365.25</f>
        <v>1028.2390797033966</v>
      </c>
      <c r="L55" s="63">
        <f t="shared" si="14"/>
        <v>-19959.434535584627</v>
      </c>
      <c r="M55" s="80">
        <f t="shared" si="0"/>
        <v>213858.53247265471</v>
      </c>
      <c r="O55" s="20">
        <f t="shared" si="15"/>
        <v>49</v>
      </c>
      <c r="P55" s="54">
        <f t="shared" si="16"/>
        <v>25486.125</v>
      </c>
      <c r="Q55" s="63">
        <f t="shared" si="17"/>
        <v>45125.440098887702</v>
      </c>
      <c r="R55" s="77">
        <f t="shared" si="2"/>
        <v>-19959.434535584627</v>
      </c>
      <c r="S55" s="63">
        <f t="shared" si="18"/>
        <v>-8333.3333333333339</v>
      </c>
      <c r="T55" s="63">
        <f>-T69*0.5</f>
        <v>0</v>
      </c>
      <c r="U55" s="63">
        <f t="shared" si="19"/>
        <v>-2256.2720049443851</v>
      </c>
      <c r="V55" s="77">
        <f t="shared" si="22"/>
        <v>-398.95833333333331</v>
      </c>
      <c r="W55" s="83">
        <f t="shared" si="4"/>
        <v>14177.441891692024</v>
      </c>
      <c r="X55" s="85">
        <f t="shared" si="20"/>
        <v>504269.65269290842</v>
      </c>
      <c r="Z55" s="92">
        <f t="shared" si="21"/>
        <v>191500</v>
      </c>
      <c r="AA55" s="5">
        <f t="shared" si="5"/>
        <v>0</v>
      </c>
      <c r="AB55" s="92">
        <f t="shared" si="6"/>
        <v>191500</v>
      </c>
      <c r="AE55" s="12">
        <f t="shared" si="7"/>
        <v>49</v>
      </c>
      <c r="AF55" s="337">
        <f t="shared" si="8"/>
        <v>25486.125</v>
      </c>
      <c r="AG55" s="176">
        <f t="shared" si="9"/>
        <v>6666.6666666666661</v>
      </c>
      <c r="AI55" s="176">
        <f t="shared" si="10"/>
        <v>1666.6666666666661</v>
      </c>
    </row>
    <row r="56" spans="9:35" x14ac:dyDescent="0.45">
      <c r="I56" s="20">
        <f t="shared" si="12"/>
        <v>50</v>
      </c>
      <c r="J56" s="63">
        <f t="shared" si="13"/>
        <v>213858.53247265471</v>
      </c>
      <c r="K56" s="79">
        <f>J56*$C$8*30.44/365.25</f>
        <v>944.61943219379418</v>
      </c>
      <c r="L56" s="63">
        <f t="shared" si="14"/>
        <v>-19959.434535584627</v>
      </c>
      <c r="M56" s="80">
        <f t="shared" si="0"/>
        <v>194843.71736926388</v>
      </c>
      <c r="O56" s="20">
        <f t="shared" si="15"/>
        <v>50</v>
      </c>
      <c r="P56" s="54">
        <f t="shared" si="16"/>
        <v>26006.25</v>
      </c>
      <c r="Q56" s="63">
        <f t="shared" si="17"/>
        <v>45125.440098887702</v>
      </c>
      <c r="R56" s="77">
        <f t="shared" si="2"/>
        <v>-19959.434535584627</v>
      </c>
      <c r="S56" s="63">
        <f t="shared" si="18"/>
        <v>-8333.3333333333339</v>
      </c>
      <c r="T56" s="63">
        <f>-T70*0.5</f>
        <v>0</v>
      </c>
      <c r="U56" s="63">
        <f t="shared" si="19"/>
        <v>-2256.2720049443851</v>
      </c>
      <c r="V56" s="77">
        <f t="shared" si="22"/>
        <v>-364.58333333333331</v>
      </c>
      <c r="W56" s="83">
        <f t="shared" si="4"/>
        <v>14211.816891692024</v>
      </c>
      <c r="X56" s="85">
        <f t="shared" si="20"/>
        <v>518481.46958460042</v>
      </c>
      <c r="Z56" s="92">
        <f t="shared" si="21"/>
        <v>175000</v>
      </c>
      <c r="AA56" s="5">
        <f t="shared" si="5"/>
        <v>0</v>
      </c>
      <c r="AB56" s="92">
        <f t="shared" si="6"/>
        <v>175000</v>
      </c>
      <c r="AE56" s="12">
        <f t="shared" si="7"/>
        <v>50</v>
      </c>
      <c r="AF56" s="337">
        <f t="shared" si="8"/>
        <v>26006.25</v>
      </c>
      <c r="AG56" s="176">
        <f t="shared" si="9"/>
        <v>6666.6666666666661</v>
      </c>
      <c r="AI56" s="176">
        <f t="shared" si="10"/>
        <v>1666.6666666666661</v>
      </c>
    </row>
    <row r="57" spans="9:35" x14ac:dyDescent="0.45">
      <c r="I57" s="20">
        <f t="shared" si="12"/>
        <v>51</v>
      </c>
      <c r="J57" s="63">
        <f t="shared" si="13"/>
        <v>194843.71736926388</v>
      </c>
      <c r="K57" s="79">
        <f t="shared" ref="K57:K66" si="26">J57*$C$8*30.44/365.25</f>
        <v>860.63043424005696</v>
      </c>
      <c r="L57" s="63">
        <f t="shared" si="14"/>
        <v>-19959.434535584627</v>
      </c>
      <c r="M57" s="80">
        <f t="shared" si="0"/>
        <v>175744.91326791933</v>
      </c>
      <c r="O57" s="20">
        <f t="shared" si="15"/>
        <v>51</v>
      </c>
      <c r="P57" s="54">
        <f t="shared" si="16"/>
        <v>26526.375</v>
      </c>
      <c r="Q57" s="63">
        <f t="shared" si="17"/>
        <v>45125.440098887702</v>
      </c>
      <c r="R57" s="77">
        <f t="shared" si="2"/>
        <v>-19959.434535584627</v>
      </c>
      <c r="S57" s="63">
        <f t="shared" si="18"/>
        <v>-8333.3333333333339</v>
      </c>
      <c r="T57" s="63">
        <f>-T71*0.5</f>
        <v>0</v>
      </c>
      <c r="U57" s="63">
        <f t="shared" si="19"/>
        <v>-2256.2720049443851</v>
      </c>
      <c r="V57" s="77">
        <f t="shared" si="22"/>
        <v>-330.20833333333331</v>
      </c>
      <c r="W57" s="83">
        <f t="shared" si="4"/>
        <v>14246.191891692024</v>
      </c>
      <c r="X57" s="85">
        <f t="shared" si="20"/>
        <v>532727.66147629241</v>
      </c>
      <c r="Z57" s="92">
        <f t="shared" si="21"/>
        <v>158500</v>
      </c>
      <c r="AA57" s="5">
        <f t="shared" si="5"/>
        <v>0</v>
      </c>
      <c r="AB57" s="92">
        <f t="shared" si="6"/>
        <v>158500</v>
      </c>
      <c r="AE57" s="12">
        <f t="shared" si="7"/>
        <v>51</v>
      </c>
      <c r="AF57" s="337">
        <f t="shared" si="8"/>
        <v>26526.375</v>
      </c>
      <c r="AG57" s="176">
        <f t="shared" si="9"/>
        <v>6666.6666666666661</v>
      </c>
      <c r="AI57" s="176">
        <f t="shared" si="10"/>
        <v>1666.6666666666661</v>
      </c>
    </row>
    <row r="58" spans="9:35" x14ac:dyDescent="0.45">
      <c r="I58" s="20">
        <f t="shared" si="12"/>
        <v>52</v>
      </c>
      <c r="J58" s="63">
        <f t="shared" si="13"/>
        <v>175744.91326791933</v>
      </c>
      <c r="K58" s="79">
        <f t="shared" si="26"/>
        <v>776.27045441040286</v>
      </c>
      <c r="L58" s="63">
        <f t="shared" si="14"/>
        <v>-19959.434535584627</v>
      </c>
      <c r="M58" s="80">
        <f t="shared" si="0"/>
        <v>156561.74918674512</v>
      </c>
      <c r="O58" s="20">
        <f t="shared" si="15"/>
        <v>52</v>
      </c>
      <c r="P58" s="54">
        <f t="shared" si="16"/>
        <v>27046.5</v>
      </c>
      <c r="Q58" s="63">
        <f t="shared" si="17"/>
        <v>45125.440098887702</v>
      </c>
      <c r="R58" s="77">
        <f t="shared" si="2"/>
        <v>-19959.434535584627</v>
      </c>
      <c r="S58" s="63">
        <f t="shared" si="18"/>
        <v>-8333.3333333333339</v>
      </c>
      <c r="T58" s="63"/>
      <c r="U58" s="63">
        <f t="shared" si="19"/>
        <v>-2256.2720049443851</v>
      </c>
      <c r="V58" s="77">
        <f t="shared" si="22"/>
        <v>-295.83333333333331</v>
      </c>
      <c r="W58" s="83">
        <f t="shared" si="4"/>
        <v>14280.566891692024</v>
      </c>
      <c r="X58" s="85">
        <f t="shared" si="20"/>
        <v>547008.22836798441</v>
      </c>
      <c r="Z58" s="92">
        <f t="shared" si="21"/>
        <v>142000</v>
      </c>
      <c r="AA58" s="5">
        <f t="shared" si="5"/>
        <v>0</v>
      </c>
      <c r="AB58" s="92">
        <f t="shared" si="6"/>
        <v>142000</v>
      </c>
      <c r="AE58" s="12">
        <f t="shared" si="7"/>
        <v>52</v>
      </c>
      <c r="AF58" s="337">
        <f t="shared" si="8"/>
        <v>27046.5</v>
      </c>
      <c r="AG58" s="176">
        <f t="shared" si="9"/>
        <v>6666.6666666666661</v>
      </c>
      <c r="AI58" s="176">
        <f t="shared" si="10"/>
        <v>1666.6666666666661</v>
      </c>
    </row>
    <row r="59" spans="9:35" x14ac:dyDescent="0.45">
      <c r="I59" s="20">
        <f t="shared" si="12"/>
        <v>53</v>
      </c>
      <c r="J59" s="63">
        <f t="shared" si="13"/>
        <v>156561.74918674512</v>
      </c>
      <c r="K59" s="79">
        <f t="shared" si="26"/>
        <v>691.53785406696682</v>
      </c>
      <c r="L59" s="63">
        <f t="shared" si="14"/>
        <v>-19959.434535584627</v>
      </c>
      <c r="M59" s="80">
        <f t="shared" si="0"/>
        <v>137293.85250522746</v>
      </c>
      <c r="O59" s="20">
        <f t="shared" si="15"/>
        <v>53</v>
      </c>
      <c r="P59" s="54">
        <f t="shared" si="16"/>
        <v>27566.625</v>
      </c>
      <c r="Q59" s="63">
        <f t="shared" si="17"/>
        <v>45125.440098887702</v>
      </c>
      <c r="R59" s="77">
        <f t="shared" si="2"/>
        <v>-19959.434535584627</v>
      </c>
      <c r="S59" s="63">
        <f t="shared" si="18"/>
        <v>-8333.3333333333339</v>
      </c>
      <c r="T59" s="63"/>
      <c r="U59" s="63">
        <f t="shared" si="19"/>
        <v>-2256.2720049443851</v>
      </c>
      <c r="V59" s="77">
        <f t="shared" si="22"/>
        <v>-261.45833333333331</v>
      </c>
      <c r="W59" s="83">
        <f t="shared" si="4"/>
        <v>14314.941891692024</v>
      </c>
      <c r="X59" s="85">
        <f t="shared" si="20"/>
        <v>561323.17025967641</v>
      </c>
      <c r="Z59" s="92">
        <f t="shared" si="21"/>
        <v>125500</v>
      </c>
      <c r="AA59" s="5">
        <f t="shared" si="5"/>
        <v>0</v>
      </c>
      <c r="AB59" s="92">
        <f t="shared" si="6"/>
        <v>125500</v>
      </c>
      <c r="AE59" s="12">
        <f t="shared" si="7"/>
        <v>53</v>
      </c>
      <c r="AF59" s="337">
        <f t="shared" si="8"/>
        <v>27566.625</v>
      </c>
      <c r="AG59" s="176">
        <f t="shared" si="9"/>
        <v>6666.6666666666661</v>
      </c>
      <c r="AI59" s="176">
        <f t="shared" si="10"/>
        <v>1666.6666666666661</v>
      </c>
    </row>
    <row r="60" spans="9:35" x14ac:dyDescent="0.45">
      <c r="I60" s="20">
        <f t="shared" si="12"/>
        <v>54</v>
      </c>
      <c r="J60" s="63">
        <f t="shared" si="13"/>
        <v>137293.85250522746</v>
      </c>
      <c r="K60" s="79">
        <f t="shared" si="26"/>
        <v>606.43098733397278</v>
      </c>
      <c r="L60" s="63">
        <f t="shared" si="14"/>
        <v>-19959.434535584627</v>
      </c>
      <c r="M60" s="80">
        <f t="shared" si="0"/>
        <v>117940.8489569768</v>
      </c>
      <c r="O60" s="20">
        <f t="shared" si="15"/>
        <v>54</v>
      </c>
      <c r="P60" s="54">
        <f t="shared" si="16"/>
        <v>28086.75</v>
      </c>
      <c r="Q60" s="63">
        <f t="shared" si="17"/>
        <v>45125.440098887702</v>
      </c>
      <c r="R60" s="77">
        <f t="shared" si="2"/>
        <v>-19959.434535584627</v>
      </c>
      <c r="S60" s="63">
        <f t="shared" si="18"/>
        <v>-8333.3333333333339</v>
      </c>
      <c r="T60" s="63"/>
      <c r="U60" s="63">
        <f t="shared" si="19"/>
        <v>-2256.2720049443851</v>
      </c>
      <c r="V60" s="77">
        <f t="shared" si="22"/>
        <v>-227.08333333333334</v>
      </c>
      <c r="W60" s="83">
        <f t="shared" si="4"/>
        <v>14349.316891692024</v>
      </c>
      <c r="X60" s="85">
        <f t="shared" si="20"/>
        <v>575672.4871513684</v>
      </c>
      <c r="Z60" s="92">
        <f t="shared" si="21"/>
        <v>109000</v>
      </c>
      <c r="AA60" s="5">
        <f t="shared" si="5"/>
        <v>0</v>
      </c>
      <c r="AB60" s="92">
        <f t="shared" si="6"/>
        <v>109000</v>
      </c>
      <c r="AE60" s="12">
        <f t="shared" si="7"/>
        <v>54</v>
      </c>
      <c r="AF60" s="337">
        <f t="shared" si="8"/>
        <v>28086.75</v>
      </c>
      <c r="AG60" s="176">
        <f t="shared" si="9"/>
        <v>6666.6666666666661</v>
      </c>
      <c r="AI60" s="176">
        <f t="shared" si="10"/>
        <v>1666.6666666666661</v>
      </c>
    </row>
    <row r="61" spans="9:35" x14ac:dyDescent="0.45">
      <c r="I61" s="20">
        <f t="shared" si="12"/>
        <v>55</v>
      </c>
      <c r="J61" s="63">
        <f t="shared" si="13"/>
        <v>117940.8489569768</v>
      </c>
      <c r="K61" s="79">
        <f t="shared" si="26"/>
        <v>520.94820106576265</v>
      </c>
      <c r="L61" s="63">
        <f t="shared" si="14"/>
        <v>-19959.434535584627</v>
      </c>
      <c r="M61" s="80">
        <f t="shared" si="0"/>
        <v>98502.362622457935</v>
      </c>
      <c r="O61" s="20">
        <f t="shared" si="15"/>
        <v>55</v>
      </c>
      <c r="P61" s="54">
        <f t="shared" si="16"/>
        <v>28606.875</v>
      </c>
      <c r="Q61" s="63">
        <f t="shared" si="17"/>
        <v>45125.440098887702</v>
      </c>
      <c r="R61" s="77">
        <f t="shared" si="2"/>
        <v>-19959.434535584627</v>
      </c>
      <c r="S61" s="63">
        <f t="shared" si="18"/>
        <v>-8333.3333333333339</v>
      </c>
      <c r="T61" s="63" t="e">
        <f>-#REF!*0.5</f>
        <v>#REF!</v>
      </c>
      <c r="U61" s="63">
        <f t="shared" si="19"/>
        <v>-2256.2720049443851</v>
      </c>
      <c r="V61" s="77">
        <f t="shared" si="22"/>
        <v>-192.70833333333334</v>
      </c>
      <c r="W61" s="83" t="e">
        <f t="shared" si="4"/>
        <v>#REF!</v>
      </c>
      <c r="X61" s="85" t="e">
        <f t="shared" si="20"/>
        <v>#REF!</v>
      </c>
      <c r="Z61" s="92">
        <f t="shared" si="21"/>
        <v>92500</v>
      </c>
      <c r="AA61" s="5">
        <f t="shared" si="5"/>
        <v>0</v>
      </c>
      <c r="AB61" s="92">
        <f t="shared" si="6"/>
        <v>92500</v>
      </c>
      <c r="AE61" s="12">
        <f t="shared" si="7"/>
        <v>55</v>
      </c>
      <c r="AF61" s="337">
        <f t="shared" si="8"/>
        <v>28606.875</v>
      </c>
      <c r="AG61" s="176">
        <f t="shared" si="9"/>
        <v>6666.6666666666661</v>
      </c>
      <c r="AI61" s="176">
        <f t="shared" si="10"/>
        <v>1666.6666666666661</v>
      </c>
    </row>
    <row r="62" spans="9:35" x14ac:dyDescent="0.45">
      <c r="I62" s="20">
        <f t="shared" si="12"/>
        <v>56</v>
      </c>
      <c r="J62" s="63">
        <f t="shared" si="13"/>
        <v>98502.362622457935</v>
      </c>
      <c r="K62" s="79">
        <f t="shared" si="26"/>
        <v>435.08783481468538</v>
      </c>
      <c r="L62" s="63">
        <f t="shared" si="14"/>
        <v>-19959.434535584627</v>
      </c>
      <c r="M62" s="80">
        <f t="shared" si="0"/>
        <v>78978.015921687984</v>
      </c>
      <c r="O62" s="20">
        <f t="shared" si="15"/>
        <v>56</v>
      </c>
      <c r="P62" s="54">
        <f t="shared" si="16"/>
        <v>29127</v>
      </c>
      <c r="Q62" s="63">
        <f t="shared" si="17"/>
        <v>45125.440098887702</v>
      </c>
      <c r="R62" s="77">
        <f t="shared" si="2"/>
        <v>-19959.434535584627</v>
      </c>
      <c r="S62" s="63">
        <f t="shared" si="18"/>
        <v>-8333.3333333333339</v>
      </c>
      <c r="T62" s="63" t="e">
        <f>-#REF!*0.5</f>
        <v>#REF!</v>
      </c>
      <c r="U62" s="63">
        <f t="shared" si="19"/>
        <v>-2256.2720049443851</v>
      </c>
      <c r="V62" s="77">
        <f t="shared" si="22"/>
        <v>-158.33333333333334</v>
      </c>
      <c r="W62" s="83" t="e">
        <f t="shared" si="4"/>
        <v>#REF!</v>
      </c>
      <c r="X62" s="85" t="e">
        <f t="shared" si="20"/>
        <v>#REF!</v>
      </c>
      <c r="Z62" s="92">
        <f t="shared" si="21"/>
        <v>76000</v>
      </c>
      <c r="AA62" s="5">
        <f t="shared" si="5"/>
        <v>0</v>
      </c>
      <c r="AB62" s="92">
        <f t="shared" si="6"/>
        <v>76000</v>
      </c>
      <c r="AE62" s="12">
        <f t="shared" si="7"/>
        <v>56</v>
      </c>
      <c r="AF62" s="337">
        <f t="shared" si="8"/>
        <v>29127</v>
      </c>
      <c r="AG62" s="176">
        <f t="shared" si="9"/>
        <v>6666.6666666666661</v>
      </c>
      <c r="AI62" s="176">
        <f t="shared" si="10"/>
        <v>1666.6666666666661</v>
      </c>
    </row>
    <row r="63" spans="9:35" x14ac:dyDescent="0.45">
      <c r="I63" s="20">
        <f t="shared" si="12"/>
        <v>57</v>
      </c>
      <c r="J63" s="63">
        <f t="shared" si="13"/>
        <v>78978.015921687984</v>
      </c>
      <c r="K63" s="79">
        <f t="shared" si="26"/>
        <v>348.84822079884367</v>
      </c>
      <c r="L63" s="63">
        <f t="shared" si="14"/>
        <v>-19959.434535584627</v>
      </c>
      <c r="M63" s="80">
        <f t="shared" si="0"/>
        <v>59367.429606902195</v>
      </c>
      <c r="O63" s="20">
        <f t="shared" si="15"/>
        <v>57</v>
      </c>
      <c r="P63" s="54">
        <f t="shared" si="16"/>
        <v>29647.125</v>
      </c>
      <c r="Q63" s="63">
        <f t="shared" si="17"/>
        <v>45125.440098887702</v>
      </c>
      <c r="R63" s="77">
        <f t="shared" si="2"/>
        <v>-19959.434535584627</v>
      </c>
      <c r="S63" s="63">
        <f>+S61</f>
        <v>-8333.3333333333339</v>
      </c>
      <c r="T63" s="63" t="e">
        <f>-#REF!*0.5</f>
        <v>#REF!</v>
      </c>
      <c r="U63" s="63">
        <f>U61</f>
        <v>-2256.2720049443851</v>
      </c>
      <c r="V63" s="77">
        <f t="shared" si="22"/>
        <v>-123.95833333333333</v>
      </c>
      <c r="W63" s="83" t="e">
        <f t="shared" si="4"/>
        <v>#REF!</v>
      </c>
      <c r="X63" s="85" t="e">
        <f>X61+W63</f>
        <v>#REF!</v>
      </c>
      <c r="Z63" s="92">
        <f t="shared" si="21"/>
        <v>59500</v>
      </c>
      <c r="AA63" s="5">
        <f t="shared" si="5"/>
        <v>0</v>
      </c>
      <c r="AB63" s="92">
        <f t="shared" si="6"/>
        <v>59500</v>
      </c>
      <c r="AE63" s="12">
        <f t="shared" si="7"/>
        <v>57</v>
      </c>
      <c r="AF63" s="337">
        <f t="shared" si="8"/>
        <v>29647.125</v>
      </c>
      <c r="AG63" s="176">
        <f t="shared" si="9"/>
        <v>6666.6666666666661</v>
      </c>
      <c r="AI63" s="176">
        <f t="shared" si="10"/>
        <v>1666.6666666666661</v>
      </c>
    </row>
    <row r="64" spans="9:35" x14ac:dyDescent="0.45">
      <c r="I64" s="20">
        <f t="shared" si="12"/>
        <v>58</v>
      </c>
      <c r="J64" s="63">
        <f t="shared" si="13"/>
        <v>59367.429606902195</v>
      </c>
      <c r="K64" s="79">
        <f t="shared" si="26"/>
        <v>262.22768386969869</v>
      </c>
      <c r="L64" s="63">
        <f t="shared" si="14"/>
        <v>-19959.434535584627</v>
      </c>
      <c r="M64" s="80">
        <f t="shared" si="0"/>
        <v>39670.222755187264</v>
      </c>
      <c r="O64" s="20">
        <f t="shared" si="15"/>
        <v>58</v>
      </c>
      <c r="P64" s="54">
        <f t="shared" si="16"/>
        <v>30167.25</v>
      </c>
      <c r="Q64" s="63">
        <f t="shared" si="17"/>
        <v>45125.440098887702</v>
      </c>
      <c r="R64" s="77">
        <f t="shared" si="2"/>
        <v>-19959.434535584627</v>
      </c>
      <c r="S64" s="63">
        <f>+S61</f>
        <v>-8333.3333333333339</v>
      </c>
      <c r="T64" s="63" t="e">
        <f>-#REF!*0.5</f>
        <v>#REF!</v>
      </c>
      <c r="U64" s="63">
        <f>U61</f>
        <v>-2256.2720049443851</v>
      </c>
      <c r="V64" s="77">
        <f t="shared" si="22"/>
        <v>-89.583333333333329</v>
      </c>
      <c r="W64" s="83" t="e">
        <f t="shared" si="4"/>
        <v>#REF!</v>
      </c>
      <c r="X64" s="85" t="e">
        <f>X61+W64</f>
        <v>#REF!</v>
      </c>
      <c r="Z64" s="92">
        <f t="shared" si="21"/>
        <v>43000</v>
      </c>
      <c r="AA64" s="5">
        <f t="shared" si="5"/>
        <v>0</v>
      </c>
      <c r="AB64" s="92">
        <f t="shared" si="6"/>
        <v>43000</v>
      </c>
      <c r="AE64" s="12">
        <f t="shared" si="7"/>
        <v>58</v>
      </c>
      <c r="AF64" s="337">
        <f t="shared" si="8"/>
        <v>30167.25</v>
      </c>
      <c r="AG64" s="176">
        <f t="shared" si="9"/>
        <v>6666.6666666666661</v>
      </c>
      <c r="AI64" s="176">
        <f t="shared" si="10"/>
        <v>1666.6666666666661</v>
      </c>
    </row>
    <row r="65" spans="9:35" x14ac:dyDescent="0.45">
      <c r="I65" s="20">
        <f t="shared" si="12"/>
        <v>59</v>
      </c>
      <c r="J65" s="63">
        <f t="shared" si="13"/>
        <v>39670.222755187264</v>
      </c>
      <c r="K65" s="79">
        <f t="shared" si="26"/>
        <v>175.22454147953104</v>
      </c>
      <c r="L65" s="63">
        <f t="shared" si="14"/>
        <v>-19959.434535584627</v>
      </c>
      <c r="M65" s="80">
        <f t="shared" si="0"/>
        <v>19886.012761082169</v>
      </c>
      <c r="O65" s="20">
        <f t="shared" si="15"/>
        <v>59</v>
      </c>
      <c r="P65" s="54">
        <f t="shared" si="16"/>
        <v>30687.375</v>
      </c>
      <c r="Q65" s="63">
        <f t="shared" si="17"/>
        <v>45125.440098887702</v>
      </c>
      <c r="R65" s="77">
        <f t="shared" si="2"/>
        <v>-19959.434535584627</v>
      </c>
      <c r="S65" s="63">
        <f>+S62</f>
        <v>-8333.3333333333339</v>
      </c>
      <c r="T65" s="63" t="e">
        <f>-#REF!*0.5</f>
        <v>#REF!</v>
      </c>
      <c r="U65" s="63">
        <f>U62</f>
        <v>-2256.2720049443851</v>
      </c>
      <c r="V65" s="77">
        <f t="shared" si="22"/>
        <v>-55.208333333333336</v>
      </c>
      <c r="W65" s="83" t="e">
        <f t="shared" si="4"/>
        <v>#REF!</v>
      </c>
      <c r="X65" s="85" t="e">
        <f>X62+W65</f>
        <v>#REF!</v>
      </c>
      <c r="Z65" s="92">
        <f t="shared" si="21"/>
        <v>26500</v>
      </c>
      <c r="AA65" s="5">
        <f t="shared" si="5"/>
        <v>0</v>
      </c>
      <c r="AB65" s="92">
        <f t="shared" si="6"/>
        <v>26500</v>
      </c>
      <c r="AE65" s="12">
        <f t="shared" si="7"/>
        <v>59</v>
      </c>
      <c r="AF65" s="337">
        <f t="shared" si="8"/>
        <v>30687.375</v>
      </c>
      <c r="AG65" s="176">
        <f t="shared" si="9"/>
        <v>6666.6666666666661</v>
      </c>
      <c r="AI65" s="176">
        <f t="shared" si="10"/>
        <v>1666.6666666666661</v>
      </c>
    </row>
    <row r="66" spans="9:35" ht="14.65" thickBot="1" x14ac:dyDescent="0.5">
      <c r="I66" s="20">
        <f t="shared" si="12"/>
        <v>60</v>
      </c>
      <c r="J66" s="63">
        <f t="shared" si="13"/>
        <v>19886.012761082169</v>
      </c>
      <c r="K66" s="79">
        <f t="shared" si="26"/>
        <v>87.837103648758614</v>
      </c>
      <c r="L66" s="63">
        <f t="shared" si="14"/>
        <v>-19959.434535584627</v>
      </c>
      <c r="M66" s="80">
        <f t="shared" si="0"/>
        <v>14.415329146300792</v>
      </c>
      <c r="O66" s="20">
        <f t="shared" si="15"/>
        <v>60</v>
      </c>
      <c r="P66" s="54">
        <f t="shared" si="16"/>
        <v>31207.5</v>
      </c>
      <c r="Q66" s="63">
        <f t="shared" si="17"/>
        <v>45125.440098887702</v>
      </c>
      <c r="R66" s="77">
        <f t="shared" si="2"/>
        <v>-19959.434535584627</v>
      </c>
      <c r="S66" s="63">
        <f>+S62</f>
        <v>-8333.3333333333339</v>
      </c>
      <c r="T66" s="63" t="e">
        <f>-#REF!*0.5</f>
        <v>#REF!</v>
      </c>
      <c r="U66" s="63">
        <f>U62</f>
        <v>-2256.2720049443851</v>
      </c>
      <c r="V66" s="77">
        <f t="shared" si="22"/>
        <v>-20.833333333333332</v>
      </c>
      <c r="W66" s="83" t="e">
        <f t="shared" si="4"/>
        <v>#REF!</v>
      </c>
      <c r="X66" s="85" t="e">
        <f>X62+W66</f>
        <v>#REF!</v>
      </c>
      <c r="Z66" s="92">
        <f t="shared" si="21"/>
        <v>10000</v>
      </c>
      <c r="AA66" s="5">
        <f t="shared" si="5"/>
        <v>0</v>
      </c>
      <c r="AB66" s="92">
        <f t="shared" si="6"/>
        <v>10000</v>
      </c>
      <c r="AE66" s="12">
        <f t="shared" si="7"/>
        <v>60</v>
      </c>
      <c r="AF66" s="337">
        <f t="shared" si="8"/>
        <v>31207.5</v>
      </c>
      <c r="AG66" s="176">
        <f t="shared" si="9"/>
        <v>6666.6666666666661</v>
      </c>
      <c r="AI66" s="176">
        <f t="shared" si="10"/>
        <v>1666.6666666666661</v>
      </c>
    </row>
    <row r="67" spans="9:35" ht="14.65" thickBot="1" x14ac:dyDescent="0.5">
      <c r="I67" s="21" t="s">
        <v>20</v>
      </c>
      <c r="J67" s="69">
        <f>C7*C11</f>
        <v>10500</v>
      </c>
      <c r="K67" s="69">
        <f>SUM(K7:K54)</f>
        <v>140842.58563659876</v>
      </c>
      <c r="L67" s="81"/>
      <c r="M67" s="82"/>
      <c r="O67" s="58"/>
      <c r="P67" s="59"/>
      <c r="Q67" s="69">
        <f t="shared" ref="Q67:V67" si="27">SUM(Q7:Q54)</f>
        <v>2166021.1247466109</v>
      </c>
      <c r="R67" s="69">
        <f t="shared" si="27"/>
        <v>-958052.85770806263</v>
      </c>
      <c r="S67" s="87">
        <f t="shared" si="27"/>
        <v>-399999.99999999983</v>
      </c>
      <c r="T67" s="87">
        <f t="shared" si="27"/>
        <v>-150000</v>
      </c>
      <c r="U67" s="69">
        <f t="shared" si="27"/>
        <v>-108301.0562373306</v>
      </c>
      <c r="V67" s="69">
        <f t="shared" si="27"/>
        <v>-59575.000000000058</v>
      </c>
      <c r="W67" s="88"/>
      <c r="X67" s="82"/>
    </row>
    <row r="68" spans="9:35" x14ac:dyDescent="0.45">
      <c r="Q68" s="89">
        <f>+SUM(Q67:V67)</f>
        <v>490092.21080121788</v>
      </c>
      <c r="R68" s="89"/>
      <c r="S68" s="90">
        <f>D31</f>
        <v>500000</v>
      </c>
      <c r="T68" s="60">
        <f>D32</f>
        <v>150000</v>
      </c>
      <c r="U68" s="89"/>
      <c r="V68" s="89"/>
      <c r="W68" s="89"/>
      <c r="X68" s="89"/>
    </row>
    <row r="69" spans="9:35" ht="14.65" thickBot="1" x14ac:dyDescent="0.5">
      <c r="L69" s="129">
        <f>+PMT(C8/12,C12,(C7),,)</f>
        <v>-19959.434535584627</v>
      </c>
      <c r="Q69" s="89"/>
      <c r="R69" s="89"/>
      <c r="S69" s="91">
        <f>S67+S68</f>
        <v>100000.00000000017</v>
      </c>
      <c r="T69" s="66">
        <f>T67+T68</f>
        <v>0</v>
      </c>
      <c r="U69" s="89"/>
      <c r="V69" s="89"/>
      <c r="W69" s="89"/>
      <c r="X69" s="89"/>
    </row>
    <row r="70" spans="9:35" ht="14.65" thickBot="1" x14ac:dyDescent="0.5">
      <c r="I70" s="12"/>
      <c r="J70" s="316"/>
      <c r="K70" s="316"/>
      <c r="L70" s="316"/>
      <c r="M70" s="316"/>
      <c r="O70" s="12"/>
      <c r="P70" s="12"/>
      <c r="Q70" s="316"/>
      <c r="R70" s="316"/>
      <c r="S70" s="317"/>
      <c r="T70" s="318"/>
      <c r="U70" s="316"/>
      <c r="V70" s="316"/>
      <c r="W70" s="316"/>
      <c r="X70" s="316"/>
    </row>
    <row r="71" spans="9:35" ht="14.65" thickBot="1" x14ac:dyDescent="0.5">
      <c r="I71" s="12"/>
      <c r="J71" s="316"/>
      <c r="K71" s="316"/>
      <c r="L71" s="316"/>
      <c r="M71" s="316"/>
      <c r="O71" s="12"/>
      <c r="P71" s="12"/>
      <c r="Q71" s="316"/>
      <c r="R71" s="316"/>
      <c r="S71" s="317"/>
      <c r="T71" s="318"/>
      <c r="U71" s="316"/>
      <c r="V71" s="316"/>
      <c r="W71" s="316"/>
      <c r="X71" s="316"/>
    </row>
    <row r="72" spans="9:35" x14ac:dyDescent="0.45">
      <c r="Q72" s="89"/>
      <c r="R72" s="89"/>
      <c r="S72" s="90">
        <f>D31</f>
        <v>500000</v>
      </c>
      <c r="T72" s="60">
        <f>D32</f>
        <v>150000</v>
      </c>
      <c r="U72" s="89"/>
      <c r="V72" s="89"/>
      <c r="W72" s="89"/>
      <c r="X72" s="89"/>
    </row>
    <row r="73" spans="9:35" ht="14.65" thickBot="1" x14ac:dyDescent="0.5">
      <c r="J73" s="163">
        <f>J54/J7</f>
        <v>0.23965492520294693</v>
      </c>
      <c r="L73" s="129"/>
      <c r="Q73" s="89"/>
      <c r="R73" s="89"/>
      <c r="S73" s="91">
        <f>S55+S72</f>
        <v>491666.66666666669</v>
      </c>
      <c r="T73" s="66">
        <f>T55+T72</f>
        <v>150000</v>
      </c>
      <c r="U73" s="89"/>
      <c r="V73" s="89"/>
      <c r="W73" s="89"/>
      <c r="X73" s="89"/>
    </row>
  </sheetData>
  <mergeCells count="11">
    <mergeCell ref="A16:E16"/>
    <mergeCell ref="A25:G25"/>
    <mergeCell ref="A41:G41"/>
    <mergeCell ref="B42:E42"/>
    <mergeCell ref="B43:E43"/>
    <mergeCell ref="A1:X1"/>
    <mergeCell ref="A3:C3"/>
    <mergeCell ref="D3:X3"/>
    <mergeCell ref="A5:C5"/>
    <mergeCell ref="I5:M5"/>
    <mergeCell ref="O5:X5"/>
  </mergeCells>
  <printOptions horizontalCentered="1"/>
  <pageMargins left="0.70866141732283505" right="0.70866141732283505" top="0.74803149606299202" bottom="0.74803149606299202" header="0.31496062992126" footer="0.31496062992126"/>
  <headerFooter>
    <oddHeader>&amp;R&amp;A</oddHeader>
    <oddFooter>&amp;L&amp;D&amp;C&amp;P&amp;R&amp;A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ASSUMPTIONS</vt:lpstr>
      <vt:lpstr>Sheet1</vt:lpstr>
      <vt:lpstr>Exec Summary</vt:lpstr>
      <vt:lpstr>Summary Equip</vt:lpstr>
      <vt:lpstr>Rate Calcs South Pit </vt:lpstr>
      <vt:lpstr>Rate Calcs East Pit</vt:lpstr>
      <vt:lpstr>NON-CORE</vt:lpstr>
      <vt:lpstr>CAT350</vt:lpstr>
      <vt:lpstr>EXC90</vt:lpstr>
      <vt:lpstr>EXC374</vt:lpstr>
      <vt:lpstr>Ore Truck</vt:lpstr>
      <vt:lpstr>Tonly6X4</vt:lpstr>
      <vt:lpstr>DT80t</vt:lpstr>
      <vt:lpstr>CAT D10</vt:lpstr>
      <vt:lpstr>CAT 14H</vt:lpstr>
      <vt:lpstr>CAT 14t comp</vt:lpstr>
      <vt:lpstr>CAT950WL</vt:lpstr>
      <vt:lpstr>MERC WC</vt:lpstr>
      <vt:lpstr>ATLAS T35</vt:lpstr>
      <vt:lpstr>ATLAS T45</vt:lpstr>
      <vt:lpstr>MERC STRUCK</vt:lpstr>
      <vt:lpstr>'Summary Equip'!Print_Area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Asareh Mansoori</cp:lastModifiedBy>
  <cp:lastPrinted>2017-12-04T12:12:12Z</cp:lastPrinted>
  <dcterms:created xsi:type="dcterms:W3CDTF">2010-06-10T13:44:24Z</dcterms:created>
  <dcterms:modified xsi:type="dcterms:W3CDTF">2023-01-27T13:07:45Z</dcterms:modified>
</cp:coreProperties>
</file>