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umptions" sheetId="1" r:id="rId4"/>
    <sheet state="visible" name="Rent Roll" sheetId="2" r:id="rId5"/>
    <sheet state="visible" name="Commercial Lease Abstract" sheetId="3" r:id="rId6"/>
  </sheets>
  <definedNames/>
  <calcPr/>
</workbook>
</file>

<file path=xl/sharedStrings.xml><?xml version="1.0" encoding="utf-8"?>
<sst xmlns="http://schemas.openxmlformats.org/spreadsheetml/2006/main" count="249" uniqueCount="182">
  <si>
    <t>Property Assumptions</t>
  </si>
  <si>
    <t>Growth Rates</t>
  </si>
  <si>
    <t>Type</t>
  </si>
  <si>
    <t>Mixed-Use</t>
  </si>
  <si>
    <t>General Inflation (Expense Growth)</t>
  </si>
  <si>
    <t>Neighborhood</t>
  </si>
  <si>
    <t>West Village</t>
  </si>
  <si>
    <t>FM Residential Rent Growth</t>
  </si>
  <si>
    <t>Properties</t>
  </si>
  <si>
    <t>One Property</t>
  </si>
  <si>
    <t>RS Residential Rent Growth</t>
  </si>
  <si>
    <t>Lot Size</t>
  </si>
  <si>
    <t>RC Residential Rent Growth</t>
  </si>
  <si>
    <t>Zoning Code</t>
  </si>
  <si>
    <t>R6 in GV Historic District</t>
  </si>
  <si>
    <t>Amenties Growth</t>
  </si>
  <si>
    <t>Size</t>
  </si>
  <si>
    <t>Other Income Growth</t>
  </si>
  <si>
    <t>Stories</t>
  </si>
  <si>
    <t>Residential Units</t>
  </si>
  <si>
    <t>Year</t>
  </si>
  <si>
    <t>Commercial Units</t>
  </si>
  <si>
    <t>Fair Market Residential</t>
  </si>
  <si>
    <t>Bedroom Breakdown</t>
  </si>
  <si>
    <t>Rent Stabilized Residential</t>
  </si>
  <si>
    <t>Studio</t>
  </si>
  <si>
    <t>Rent Controlled Residential</t>
  </si>
  <si>
    <t>1 Bedroom</t>
  </si>
  <si>
    <t>Commercial Income</t>
  </si>
  <si>
    <t>2 Bedroom</t>
  </si>
  <si>
    <t>Laundry Income</t>
  </si>
  <si>
    <t>3 Bedroom</t>
  </si>
  <si>
    <t>Amenities Income</t>
  </si>
  <si>
    <t>Tax Reimbursement</t>
  </si>
  <si>
    <t>Expense Assumptions</t>
  </si>
  <si>
    <t>Potential Gross Income</t>
  </si>
  <si>
    <t>Management Fees</t>
  </si>
  <si>
    <t>(-) Vacancy</t>
  </si>
  <si>
    <t>Vacancy Year 1-3</t>
  </si>
  <si>
    <t>Effective Gross Income</t>
  </si>
  <si>
    <t>Vacancy Year 3-7</t>
  </si>
  <si>
    <t>(-) Real Estate Taxes</t>
  </si>
  <si>
    <t>(-) Gas</t>
  </si>
  <si>
    <t>Real Estate Taxes</t>
  </si>
  <si>
    <t>(-) Water / Sewer</t>
  </si>
  <si>
    <t>Exemptions / Abatements</t>
  </si>
  <si>
    <t>None</t>
  </si>
  <si>
    <t>(-) Payroll</t>
  </si>
  <si>
    <t xml:space="preserve">% of Base Year </t>
  </si>
  <si>
    <t>(-) Repairs &amp; Maintenance &amp; Misc.</t>
  </si>
  <si>
    <t>Tax Rate</t>
  </si>
  <si>
    <t>(-) Insurance</t>
  </si>
  <si>
    <t>2023 / 2024 Final</t>
  </si>
  <si>
    <t>(-) Management Fee</t>
  </si>
  <si>
    <t>2023 / 2024 Final Taxes</t>
  </si>
  <si>
    <t>Operating Expenses</t>
  </si>
  <si>
    <t>Net Operating Income</t>
  </si>
  <si>
    <t>Amentieis Assumptions</t>
  </si>
  <si>
    <t>Cost Per User</t>
  </si>
  <si>
    <t>Unleveraged</t>
  </si>
  <si>
    <t>Number of Users</t>
  </si>
  <si>
    <t>Uses at Closing</t>
  </si>
  <si>
    <t>1 per</t>
  </si>
  <si>
    <t>Unlev Cash Flow</t>
  </si>
  <si>
    <t>2 per</t>
  </si>
  <si>
    <t>Exit</t>
  </si>
  <si>
    <t>3 per</t>
  </si>
  <si>
    <t>Usage Rate</t>
  </si>
  <si>
    <t>IRR - Unleveraged</t>
  </si>
  <si>
    <t>Multiple - Unleveraged</t>
  </si>
  <si>
    <t>Total Uses of Capital</t>
  </si>
  <si>
    <t>Revenue</t>
  </si>
  <si>
    <t>Cap Rate</t>
  </si>
  <si>
    <t>Investment</t>
  </si>
  <si>
    <t>Purchase Price</t>
  </si>
  <si>
    <t>Profit</t>
  </si>
  <si>
    <t>Hard Costs</t>
  </si>
  <si>
    <t>Profit Margin</t>
  </si>
  <si>
    <t>Soft Costs</t>
  </si>
  <si>
    <t>Closing Costs</t>
  </si>
  <si>
    <t>Leveraged</t>
  </si>
  <si>
    <t>Total Cost</t>
  </si>
  <si>
    <t>Exit Cap Rate</t>
  </si>
  <si>
    <t>Debt Financing</t>
  </si>
  <si>
    <t>Financing Assumptions</t>
  </si>
  <si>
    <t>Debt Service</t>
  </si>
  <si>
    <t>Construction Loan Interest Rate</t>
  </si>
  <si>
    <t>Exit Price</t>
  </si>
  <si>
    <t>Construction Loan Term</t>
  </si>
  <si>
    <t>Years</t>
  </si>
  <si>
    <t>Pay off Debt</t>
  </si>
  <si>
    <t>Fixed Interest Rate</t>
  </si>
  <si>
    <t>Levered Cash Flow</t>
  </si>
  <si>
    <t>Original Term</t>
  </si>
  <si>
    <t>DSCR</t>
  </si>
  <si>
    <t>Mortgage Date</t>
  </si>
  <si>
    <t>Maturity Date</t>
  </si>
  <si>
    <t>IRR - Leveraged</t>
  </si>
  <si>
    <t>Loan To Cost</t>
  </si>
  <si>
    <t>Multiple - Leveraged</t>
  </si>
  <si>
    <t>Minimum DSCR</t>
  </si>
  <si>
    <t>Unit</t>
  </si>
  <si>
    <t>Lease From</t>
  </si>
  <si>
    <t>Lease To</t>
  </si>
  <si>
    <t>Bedrooms</t>
  </si>
  <si>
    <t>Monthly</t>
  </si>
  <si>
    <t>Annual</t>
  </si>
  <si>
    <t>Laundry</t>
  </si>
  <si>
    <t>40 / 60% Income Split</t>
  </si>
  <si>
    <t>-</t>
  </si>
  <si>
    <t>Retail 1-2*</t>
  </si>
  <si>
    <t>Retail</t>
  </si>
  <si>
    <t>Retail 3*</t>
  </si>
  <si>
    <t>1A</t>
  </si>
  <si>
    <t>FM</t>
  </si>
  <si>
    <t>2A</t>
  </si>
  <si>
    <t>2B</t>
  </si>
  <si>
    <t>2C</t>
  </si>
  <si>
    <t>2D</t>
  </si>
  <si>
    <t>2E</t>
  </si>
  <si>
    <t>2F</t>
  </si>
  <si>
    <t>RC</t>
  </si>
  <si>
    <t>2G</t>
  </si>
  <si>
    <t>3A</t>
  </si>
  <si>
    <t>3B</t>
  </si>
  <si>
    <t>3C</t>
  </si>
  <si>
    <t>3D</t>
  </si>
  <si>
    <t>3E</t>
  </si>
  <si>
    <t>3F</t>
  </si>
  <si>
    <t>3G</t>
  </si>
  <si>
    <t>RS</t>
  </si>
  <si>
    <t>4A</t>
  </si>
  <si>
    <t>4B</t>
  </si>
  <si>
    <t>4C</t>
  </si>
  <si>
    <t>4D</t>
  </si>
  <si>
    <t>4E</t>
  </si>
  <si>
    <t>4F</t>
  </si>
  <si>
    <t>4G</t>
  </si>
  <si>
    <t>5A</t>
  </si>
  <si>
    <t>5B</t>
  </si>
  <si>
    <t>5C</t>
  </si>
  <si>
    <t>5D</t>
  </si>
  <si>
    <t>5E</t>
  </si>
  <si>
    <t>5F</t>
  </si>
  <si>
    <t>5G</t>
  </si>
  <si>
    <t>6A</t>
  </si>
  <si>
    <t>6B</t>
  </si>
  <si>
    <t>6C</t>
  </si>
  <si>
    <t>6D</t>
  </si>
  <si>
    <t>6E</t>
  </si>
  <si>
    <t>6F</t>
  </si>
  <si>
    <t>6G</t>
  </si>
  <si>
    <t>L'Industrie Pizzeria</t>
  </si>
  <si>
    <t>Premises</t>
  </si>
  <si>
    <t>104 Christopher Street</t>
  </si>
  <si>
    <t>Lease Term</t>
  </si>
  <si>
    <t>15 Years</t>
  </si>
  <si>
    <t>Lease Commencement</t>
  </si>
  <si>
    <t>Lease Expiration Date</t>
  </si>
  <si>
    <t>BY Amount</t>
  </si>
  <si>
    <t>Base Year</t>
  </si>
  <si>
    <t>2022/2023</t>
  </si>
  <si>
    <t>Proportionate Share Above BY</t>
  </si>
  <si>
    <t>Real Estate Tax Reimbursement</t>
  </si>
  <si>
    <t>Water &amp; Sewer</t>
  </si>
  <si>
    <t>Tenant Pays</t>
  </si>
  <si>
    <t>Gas &amp; Electric</t>
  </si>
  <si>
    <t>Holdover</t>
  </si>
  <si>
    <t>1.5x for first 60 days; 2x thereafter</t>
  </si>
  <si>
    <t>Estoppel</t>
  </si>
  <si>
    <t>10 Days</t>
  </si>
  <si>
    <t>Security Deposit</t>
  </si>
  <si>
    <t>Renewal Option</t>
  </si>
  <si>
    <t>(1) 5-Year Option at 103% of the Base Rent for Lease Year 15</t>
  </si>
  <si>
    <t>Early Rent Escalation</t>
  </si>
  <si>
    <t>If tenant achieves gross sales of $2.1MM, rent is increased to $204,000 annually (to the extent that the rent has not already been achieved)</t>
  </si>
  <si>
    <t>Talea Beer</t>
  </si>
  <si>
    <t>100-102 Christopher Street</t>
  </si>
  <si>
    <t>10 Years</t>
  </si>
  <si>
    <t>Lease Agreement</t>
  </si>
  <si>
    <t>Real Estate Tax Reimbursement Base Year Amount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</si>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</sst>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$&quot;#,##0"/>
    <numFmt numFmtId="165" formatCode="0.000"/>
    <numFmt numFmtId="166" formatCode="m/d/yyyy"/>
    <numFmt numFmtId="167" formatCode="mm/dd/yyyy"/>
    <numFmt numFmtId="168" formatCode="mmmm d, yyyy"/>
  </numFmts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sz val="11.0"/>
      <color rgb="FF000000"/>
      <name val="Calibri"/>
    </font>
    <font>
      <color theme="1"/>
      <name val="Arial"/>
      <scheme val="minor"/>
    </font>
    <font>
      <i/>
      <color theme="1"/>
      <name val="Arial"/>
    </font>
    <font>
      <i/>
      <color rgb="FF000000"/>
      <name val="Arial"/>
    </font>
    <font>
      <i/>
      <color rgb="FF000000"/>
      <name val="&quot;Gotham Book&quot;"/>
    </font>
    <font>
      <b/>
      <sz val="11.0"/>
      <color theme="1"/>
      <name val="Arial"/>
    </font>
    <font>
      <i/>
      <color theme="1"/>
      <name val="Arial"/>
      <scheme val="minor"/>
    </font>
    <font>
      <b/>
      <color theme="1"/>
      <name val="Franklin"/>
    </font>
    <font>
      <color theme="1"/>
      <name val="Franklin"/>
    </font>
    <font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B7B7B7"/>
        <bgColor rgb="FFB7B7B7"/>
      </patternFill>
    </fill>
  </fills>
  <borders count="1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A6A6A6"/>
      </top>
      <bottom style="thin">
        <color rgb="FFA6A6A6"/>
      </bottom>
    </border>
    <border>
      <top style="thin">
        <color rgb="FFA6A6A6"/>
      </top>
      <bottom style="thin">
        <color rgb="FFA6A6A6"/>
      </bottom>
    </border>
    <border>
      <right style="thin">
        <color rgb="FF000000"/>
      </right>
      <top style="thin">
        <color rgb="FFA6A6A6"/>
      </top>
      <bottom style="thin">
        <color rgb="FFA6A6A6"/>
      </bottom>
    </border>
    <border>
      <left style="thin">
        <color rgb="FF000000"/>
      </left>
      <bottom style="thin">
        <color rgb="FFA6A6A6"/>
      </bottom>
    </border>
    <border>
      <bottom style="thin">
        <color rgb="FFA6A6A6"/>
      </bottom>
    </border>
    <border>
      <right style="thin">
        <color rgb="FF000000"/>
      </right>
      <bottom style="thin">
        <color rgb="FFA6A6A6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Border="1" applyFont="1"/>
    <xf borderId="3" fillId="2" fontId="1" numFmtId="0" xfId="0" applyBorder="1" applyFont="1"/>
    <xf borderId="1" fillId="0" fontId="2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shrinkToFit="0" vertical="bottom" wrapText="0"/>
    </xf>
    <xf borderId="3" fillId="0" fontId="4" numFmtId="0" xfId="0" applyBorder="1" applyFont="1"/>
    <xf borderId="4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5" fillId="0" fontId="4" numFmtId="0" xfId="0" applyBorder="1" applyFont="1"/>
    <xf borderId="6" fillId="0" fontId="5" numFmtId="0" xfId="0" applyAlignment="1" applyBorder="1" applyFont="1">
      <alignment readingOrder="0" shrinkToFit="0" vertical="bottom" wrapText="0"/>
    </xf>
    <xf borderId="7" fillId="0" fontId="5" numFmtId="0" xfId="0" applyAlignment="1" applyBorder="1" applyFont="1">
      <alignment horizontal="right" shrinkToFit="0" vertical="bottom" wrapText="0"/>
    </xf>
    <xf borderId="7" fillId="3" fontId="6" numFmtId="10" xfId="0" applyAlignment="1" applyBorder="1" applyFill="1" applyFont="1" applyNumberFormat="1">
      <alignment horizontal="right" readingOrder="0" shrinkToFit="0" wrapText="0"/>
    </xf>
    <xf borderId="8" fillId="3" fontId="6" numFmtId="10" xfId="0" applyAlignment="1" applyBorder="1" applyFont="1" applyNumberFormat="1">
      <alignment horizontal="right" readingOrder="0" shrinkToFit="0" wrapText="0"/>
    </xf>
    <xf borderId="9" fillId="0" fontId="5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10" fillId="3" fontId="7" numFmtId="10" xfId="0" applyAlignment="1" applyBorder="1" applyFont="1" applyNumberFormat="1">
      <alignment horizontal="right" readingOrder="0" shrinkToFit="0" wrapText="0"/>
    </xf>
    <xf borderId="11" fillId="3" fontId="7" numFmtId="10" xfId="0" applyAlignment="1" applyBorder="1" applyFont="1" applyNumberFormat="1">
      <alignment horizontal="right" readingOrder="0" shrinkToFit="0" wrapText="0"/>
    </xf>
    <xf borderId="0" fillId="0" fontId="4" numFmtId="3" xfId="0" applyAlignment="1" applyFont="1" applyNumberFormat="1">
      <alignment horizontal="right" readingOrder="0"/>
    </xf>
    <xf borderId="10" fillId="0" fontId="5" numFmtId="0" xfId="0" applyAlignment="1" applyBorder="1" applyFont="1">
      <alignment horizontal="right" shrinkToFit="0" vertical="bottom" wrapText="0"/>
    </xf>
    <xf borderId="10" fillId="3" fontId="6" numFmtId="10" xfId="0" applyAlignment="1" applyBorder="1" applyFont="1" applyNumberFormat="1">
      <alignment horizontal="right" readingOrder="0" shrinkToFit="0" wrapText="0"/>
    </xf>
    <xf borderId="12" fillId="0" fontId="5" numFmtId="0" xfId="0" applyAlignment="1" applyBorder="1" applyFont="1">
      <alignment readingOrder="0" shrinkToFit="0" vertical="bottom" wrapText="0"/>
    </xf>
    <xf borderId="13" fillId="0" fontId="5" numFmtId="0" xfId="0" applyAlignment="1" applyBorder="1" applyFont="1">
      <alignment horizontal="right" shrinkToFit="0" vertical="bottom" wrapText="0"/>
    </xf>
    <xf borderId="13" fillId="3" fontId="7" numFmtId="10" xfId="0" applyAlignment="1" applyBorder="1" applyFont="1" applyNumberFormat="1">
      <alignment horizontal="right" readingOrder="0" shrinkToFit="0" wrapText="0"/>
    </xf>
    <xf borderId="14" fillId="3" fontId="7" numFmtId="10" xfId="0" applyAlignment="1" applyBorder="1" applyFont="1" applyNumberFormat="1">
      <alignment horizontal="right" readingOrder="0" shrinkToFit="0" wrapText="0"/>
    </xf>
    <xf borderId="0" fillId="2" fontId="1" numFmtId="0" xfId="0" applyAlignment="1" applyFont="1">
      <alignment readingOrder="0"/>
    </xf>
    <xf borderId="0" fillId="2" fontId="1" numFmtId="0" xfId="0" applyFont="1"/>
    <xf borderId="12" fillId="0" fontId="4" numFmtId="0" xfId="0" applyAlignment="1" applyBorder="1" applyFont="1">
      <alignment readingOrder="0"/>
    </xf>
    <xf borderId="13" fillId="0" fontId="4" numFmtId="0" xfId="0" applyBorder="1" applyFont="1"/>
    <xf borderId="13" fillId="0" fontId="4" numFmtId="0" xfId="0" applyAlignment="1" applyBorder="1" applyFont="1">
      <alignment horizontal="right" readingOrder="0"/>
    </xf>
    <xf borderId="14" fillId="0" fontId="4" numFmtId="0" xfId="0" applyBorder="1" applyFont="1"/>
    <xf borderId="0" fillId="0" fontId="4" numFmtId="0" xfId="0" applyAlignment="1" applyFont="1">
      <alignment horizontal="right"/>
    </xf>
    <xf borderId="0" fillId="0" fontId="4" numFmtId="164" xfId="0" applyFont="1" applyNumberFormat="1"/>
    <xf borderId="2" fillId="2" fontId="1" numFmtId="0" xfId="0" applyAlignment="1" applyBorder="1" applyFont="1">
      <alignment horizontal="right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2" fillId="0" fontId="1" numFmtId="164" xfId="0" applyBorder="1" applyFont="1" applyNumberFormat="1"/>
    <xf borderId="0" fillId="0" fontId="4" numFmtId="9" xfId="0" applyAlignment="1" applyFont="1" applyNumberFormat="1">
      <alignment readingOrder="0"/>
    </xf>
    <xf borderId="13" fillId="0" fontId="4" numFmtId="9" xfId="0" applyAlignment="1" applyBorder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0" fontId="4" numFmtId="9" xfId="0" applyAlignment="1" applyFont="1" applyNumberFormat="1">
      <alignment horizontal="right" readingOrder="0"/>
    </xf>
    <xf borderId="0" fillId="0" fontId="4" numFmtId="10" xfId="0" applyAlignment="1" applyFont="1" applyNumberFormat="1">
      <alignment horizontal="right" readingOrder="0"/>
    </xf>
    <xf borderId="0" fillId="0" fontId="4" numFmtId="164" xfId="0" applyAlignment="1" applyFont="1" applyNumberFormat="1">
      <alignment horizontal="right" readingOrder="0"/>
    </xf>
    <xf borderId="13" fillId="0" fontId="4" numFmtId="164" xfId="0" applyAlignment="1" applyBorder="1" applyFont="1" applyNumberFormat="1">
      <alignment horizontal="right" readingOrder="0"/>
    </xf>
    <xf borderId="15" fillId="0" fontId="4" numFmtId="0" xfId="0" applyAlignment="1" applyBorder="1" applyFont="1">
      <alignment readingOrder="0"/>
    </xf>
    <xf borderId="16" fillId="0" fontId="4" numFmtId="0" xfId="0" applyBorder="1" applyFont="1"/>
    <xf borderId="16" fillId="0" fontId="4" numFmtId="164" xfId="0" applyBorder="1" applyFont="1" applyNumberFormat="1"/>
    <xf borderId="17" fillId="0" fontId="4" numFmtId="164" xfId="0" applyBorder="1" applyFont="1" applyNumberFormat="1"/>
    <xf borderId="0" fillId="4" fontId="8" numFmtId="0" xfId="0" applyAlignment="1" applyFill="1" applyFont="1">
      <alignment readingOrder="0" shrinkToFit="0" vertical="bottom" wrapText="0"/>
    </xf>
    <xf borderId="0" fillId="4" fontId="8" numFmtId="0" xfId="0" applyAlignment="1" applyFont="1">
      <alignment shrinkToFit="0" vertical="bottom" wrapText="0"/>
    </xf>
    <xf borderId="0" fillId="4" fontId="8" numFmtId="164" xfId="0" applyAlignment="1" applyFont="1" applyNumberFormat="1">
      <alignment shrinkToFit="0" vertical="bottom" wrapText="0"/>
    </xf>
    <xf borderId="0" fillId="0" fontId="4" numFmtId="0" xfId="0" applyFont="1"/>
    <xf borderId="5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4" numFmtId="164" xfId="0" applyBorder="1" applyFont="1" applyNumberFormat="1"/>
    <xf borderId="13" fillId="0" fontId="4" numFmtId="10" xfId="0" applyAlignment="1" applyBorder="1" applyFont="1" applyNumberFormat="1">
      <alignment readingOrder="0"/>
    </xf>
    <xf borderId="0" fillId="5" fontId="8" numFmtId="0" xfId="0" applyAlignment="1" applyFill="1" applyFont="1">
      <alignment readingOrder="0" shrinkToFit="0" vertical="bottom" wrapText="0"/>
    </xf>
    <xf borderId="0" fillId="5" fontId="8" numFmtId="10" xfId="0" applyAlignment="1" applyFont="1" applyNumberFormat="1">
      <alignment horizontal="right" readingOrder="0" shrinkToFit="0" vertical="bottom" wrapText="0"/>
    </xf>
    <xf borderId="0" fillId="5" fontId="8" numFmtId="2" xfId="0" applyAlignment="1" applyFont="1" applyNumberFormat="1">
      <alignment readingOrder="0" shrinkToFit="0" vertical="bottom" wrapText="0"/>
    </xf>
    <xf borderId="0" fillId="5" fontId="8" numFmtId="164" xfId="0" applyAlignment="1" applyFont="1" applyNumberFormat="1">
      <alignment shrinkToFit="0" vertical="bottom" wrapText="0"/>
    </xf>
    <xf borderId="0" fillId="0" fontId="4" numFmtId="10" xfId="0" applyAlignment="1" applyFont="1" applyNumberFormat="1">
      <alignment readingOrder="0"/>
    </xf>
    <xf borderId="5" fillId="0" fontId="4" numFmtId="164" xfId="0" applyBorder="1" applyFont="1" applyNumberFormat="1"/>
    <xf borderId="0" fillId="5" fontId="8" numFmtId="10" xfId="0" applyAlignment="1" applyFont="1" applyNumberFormat="1">
      <alignment shrinkToFit="0" vertical="bottom" wrapText="0"/>
    </xf>
    <xf borderId="5" fillId="0" fontId="4" numFmtId="9" xfId="0" applyAlignment="1" applyBorder="1" applyFont="1" applyNumberForma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0" fontId="9" numFmtId="165" xfId="0" applyFont="1" applyNumberFormat="1"/>
    <xf borderId="0" fillId="0" fontId="4" numFmtId="166" xfId="0" applyAlignment="1" applyFont="1" applyNumberFormat="1">
      <alignment horizontal="right" readingOrder="0"/>
    </xf>
    <xf borderId="14" fillId="0" fontId="4" numFmtId="0" xfId="0" applyAlignment="1" applyBorder="1" applyFont="1">
      <alignment readingOrder="0"/>
    </xf>
    <xf borderId="0" fillId="0" fontId="4" numFmtId="167" xfId="0" applyAlignment="1" applyFont="1" applyNumberFormat="1">
      <alignment readingOrder="0"/>
    </xf>
    <xf borderId="0" fillId="0" fontId="4" numFmtId="166" xfId="0" applyAlignment="1" applyFont="1" applyNumberFormat="1">
      <alignment readingOrder="0"/>
    </xf>
    <xf borderId="1" fillId="6" fontId="10" numFmtId="0" xfId="0" applyAlignment="1" applyBorder="1" applyFill="1" applyFont="1">
      <alignment readingOrder="0" shrinkToFit="0" wrapText="1"/>
    </xf>
    <xf borderId="2" fillId="6" fontId="11" numFmtId="0" xfId="0" applyAlignment="1" applyBorder="1" applyFont="1">
      <alignment horizontal="left" shrinkToFit="0" wrapText="1"/>
    </xf>
    <xf borderId="3" fillId="6" fontId="4" numFmtId="0" xfId="0" applyAlignment="1" applyBorder="1" applyFont="1">
      <alignment shrinkToFit="0" wrapText="1"/>
    </xf>
    <xf borderId="4" fillId="0" fontId="11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5" fillId="0" fontId="11" numFmtId="0" xfId="0" applyAlignment="1" applyBorder="1" applyFont="1">
      <alignment horizontal="left" readingOrder="0" shrinkToFit="0" wrapText="1"/>
    </xf>
    <xf borderId="5" fillId="0" fontId="11" numFmtId="168" xfId="0" applyAlignment="1" applyBorder="1" applyFont="1" applyNumberFormat="1">
      <alignment horizontal="left" readingOrder="0" shrinkToFit="0" wrapText="1"/>
    </xf>
    <xf borderId="5" fillId="0" fontId="11" numFmtId="164" xfId="0" applyAlignment="1" applyBorder="1" applyFont="1" applyNumberFormat="1">
      <alignment horizontal="left" readingOrder="0" shrinkToFit="0" wrapText="1"/>
    </xf>
    <xf borderId="5" fillId="3" fontId="11" numFmtId="10" xfId="0" applyAlignment="1" applyBorder="1" applyFont="1" applyNumberFormat="1">
      <alignment horizontal="left" readingOrder="0" shrinkToFit="0" wrapText="1"/>
    </xf>
    <xf borderId="12" fillId="0" fontId="11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11" numFmtId="0" xfId="0" applyAlignment="1" applyBorder="1" applyFont="1">
      <alignment horizontal="left" readingOrder="0" shrinkToFit="0" wrapText="1"/>
    </xf>
    <xf borderId="0" fillId="0" fontId="1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4" max="4" width="23.25"/>
    <col customWidth="1" min="9" max="9" width="27.13"/>
  </cols>
  <sheetData>
    <row r="2">
      <c r="B2" s="1" t="s">
        <v>0</v>
      </c>
      <c r="C2" s="2"/>
      <c r="D2" s="2"/>
      <c r="E2" s="3"/>
      <c r="I2" s="4" t="s">
        <v>1</v>
      </c>
      <c r="J2" s="5"/>
      <c r="K2" s="5"/>
      <c r="L2" s="5"/>
      <c r="M2" s="5"/>
      <c r="N2" s="5"/>
      <c r="O2" s="5"/>
      <c r="P2" s="5"/>
      <c r="Q2" s="5"/>
      <c r="R2" s="6"/>
    </row>
    <row r="3">
      <c r="B3" s="7" t="s">
        <v>2</v>
      </c>
      <c r="C3" s="8"/>
      <c r="D3" s="9" t="s">
        <v>3</v>
      </c>
      <c r="E3" s="10"/>
      <c r="I3" s="11" t="s">
        <v>4</v>
      </c>
      <c r="J3" s="12"/>
      <c r="K3" s="13">
        <v>0.04</v>
      </c>
      <c r="L3" s="13">
        <v>0.04</v>
      </c>
      <c r="M3" s="13">
        <v>0.04</v>
      </c>
      <c r="N3" s="13">
        <v>0.04</v>
      </c>
      <c r="O3" s="13">
        <v>0.04</v>
      </c>
      <c r="P3" s="13">
        <v>0.04</v>
      </c>
      <c r="Q3" s="13">
        <v>0.04</v>
      </c>
      <c r="R3" s="14">
        <v>0.04</v>
      </c>
    </row>
    <row r="4">
      <c r="B4" s="7" t="s">
        <v>5</v>
      </c>
      <c r="C4" s="8"/>
      <c r="D4" s="9" t="s">
        <v>6</v>
      </c>
      <c r="E4" s="10"/>
      <c r="I4" s="15" t="s">
        <v>7</v>
      </c>
      <c r="J4" s="16"/>
      <c r="K4" s="17">
        <v>0.03</v>
      </c>
      <c r="L4" s="17">
        <v>0.03</v>
      </c>
      <c r="M4" s="17">
        <v>0.03</v>
      </c>
      <c r="N4" s="17">
        <v>0.03</v>
      </c>
      <c r="O4" s="17">
        <v>0.03</v>
      </c>
      <c r="P4" s="17">
        <v>0.03</v>
      </c>
      <c r="Q4" s="17">
        <v>0.03</v>
      </c>
      <c r="R4" s="18">
        <v>0.03</v>
      </c>
    </row>
    <row r="5">
      <c r="B5" s="7" t="s">
        <v>8</v>
      </c>
      <c r="C5" s="8"/>
      <c r="D5" s="9" t="s">
        <v>9</v>
      </c>
      <c r="E5" s="10"/>
      <c r="I5" s="15" t="s">
        <v>10</v>
      </c>
      <c r="J5" s="12"/>
      <c r="K5" s="17">
        <v>0.03</v>
      </c>
      <c r="L5" s="17">
        <v>0.03</v>
      </c>
      <c r="M5" s="17">
        <v>0.0175</v>
      </c>
      <c r="N5" s="17">
        <v>0.015</v>
      </c>
      <c r="O5" s="17">
        <v>0.015</v>
      </c>
      <c r="P5" s="17">
        <v>0.015</v>
      </c>
      <c r="Q5" s="17">
        <v>0.015</v>
      </c>
      <c r="R5" s="18">
        <v>0.015</v>
      </c>
    </row>
    <row r="6">
      <c r="B6" s="7" t="s">
        <v>11</v>
      </c>
      <c r="C6" s="8"/>
      <c r="D6" s="19">
        <v>5270.0</v>
      </c>
      <c r="E6" s="10"/>
      <c r="I6" s="15" t="s">
        <v>12</v>
      </c>
      <c r="J6" s="20"/>
      <c r="K6" s="17"/>
      <c r="L6" s="17">
        <v>0.0</v>
      </c>
      <c r="M6" s="17">
        <v>0.0</v>
      </c>
      <c r="N6" s="17">
        <v>0.0</v>
      </c>
      <c r="O6" s="17">
        <v>0.0</v>
      </c>
      <c r="P6" s="17">
        <v>0.0</v>
      </c>
      <c r="Q6" s="17">
        <v>0.0</v>
      </c>
      <c r="R6" s="18">
        <v>0.0</v>
      </c>
    </row>
    <row r="7">
      <c r="B7" s="7" t="s">
        <v>13</v>
      </c>
      <c r="C7" s="8"/>
      <c r="D7" s="9" t="s">
        <v>14</v>
      </c>
      <c r="E7" s="10"/>
      <c r="I7" s="15" t="s">
        <v>15</v>
      </c>
      <c r="J7" s="20"/>
      <c r="K7" s="21"/>
      <c r="L7" s="21">
        <v>0.01</v>
      </c>
      <c r="M7" s="21">
        <v>0.01</v>
      </c>
      <c r="N7" s="21">
        <v>0.01</v>
      </c>
      <c r="O7" s="21">
        <v>0.01</v>
      </c>
      <c r="P7" s="21">
        <v>0.01</v>
      </c>
      <c r="Q7" s="21">
        <v>0.01</v>
      </c>
      <c r="R7" s="21">
        <v>0.01</v>
      </c>
    </row>
    <row r="8">
      <c r="B8" s="7" t="s">
        <v>16</v>
      </c>
      <c r="C8" s="8"/>
      <c r="D8" s="19">
        <v>21849.0</v>
      </c>
      <c r="E8" s="10"/>
      <c r="I8" s="22" t="s">
        <v>17</v>
      </c>
      <c r="J8" s="23"/>
      <c r="K8" s="24"/>
      <c r="L8" s="24">
        <v>0.03</v>
      </c>
      <c r="M8" s="24">
        <v>0.03</v>
      </c>
      <c r="N8" s="24">
        <v>0.03</v>
      </c>
      <c r="O8" s="24">
        <v>0.03</v>
      </c>
      <c r="P8" s="24">
        <v>0.03</v>
      </c>
      <c r="Q8" s="24">
        <v>0.03</v>
      </c>
      <c r="R8" s="25">
        <v>0.03</v>
      </c>
    </row>
    <row r="9">
      <c r="B9" s="7" t="s">
        <v>18</v>
      </c>
      <c r="C9" s="8"/>
      <c r="D9" s="9">
        <v>6.0</v>
      </c>
      <c r="E9" s="10"/>
    </row>
    <row r="10">
      <c r="B10" s="7" t="s">
        <v>19</v>
      </c>
      <c r="C10" s="8"/>
      <c r="D10" s="9">
        <v>36.0</v>
      </c>
      <c r="E10" s="10"/>
      <c r="I10" s="26" t="s">
        <v>20</v>
      </c>
      <c r="J10" s="27"/>
      <c r="K10" s="26">
        <v>2024.0</v>
      </c>
      <c r="L10" s="27">
        <f t="shared" ref="L10:R10" si="1">K10+1</f>
        <v>2025</v>
      </c>
      <c r="M10" s="27">
        <f t="shared" si="1"/>
        <v>2026</v>
      </c>
      <c r="N10" s="27">
        <f t="shared" si="1"/>
        <v>2027</v>
      </c>
      <c r="O10" s="27">
        <f t="shared" si="1"/>
        <v>2028</v>
      </c>
      <c r="P10" s="27">
        <f t="shared" si="1"/>
        <v>2029</v>
      </c>
      <c r="Q10" s="27">
        <f t="shared" si="1"/>
        <v>2030</v>
      </c>
      <c r="R10" s="27">
        <f t="shared" si="1"/>
        <v>2031</v>
      </c>
    </row>
    <row r="11">
      <c r="B11" s="28" t="s">
        <v>21</v>
      </c>
      <c r="C11" s="29"/>
      <c r="D11" s="30">
        <v>2.0</v>
      </c>
      <c r="E11" s="31"/>
      <c r="I11" s="27"/>
      <c r="J11" s="27"/>
      <c r="K11" s="26">
        <v>1.0</v>
      </c>
      <c r="L11" s="27">
        <f t="shared" ref="L11:R11" si="2">K11+1</f>
        <v>2</v>
      </c>
      <c r="M11" s="27">
        <f t="shared" si="2"/>
        <v>3</v>
      </c>
      <c r="N11" s="27">
        <f t="shared" si="2"/>
        <v>4</v>
      </c>
      <c r="O11" s="27">
        <f t="shared" si="2"/>
        <v>5</v>
      </c>
      <c r="P11" s="27">
        <f t="shared" si="2"/>
        <v>6</v>
      </c>
      <c r="Q11" s="27">
        <f t="shared" si="2"/>
        <v>7</v>
      </c>
      <c r="R11" s="27">
        <f t="shared" si="2"/>
        <v>8</v>
      </c>
    </row>
    <row r="12">
      <c r="D12" s="32"/>
      <c r="I12" s="8" t="s">
        <v>22</v>
      </c>
      <c r="K12" s="33">
        <f> SUMIF('Rent Roll'!$C$2:$C$44, "FM", 'Rent Roll'!$H$2:H$44)*(1+K4)</f>
        <v>1932733.2</v>
      </c>
      <c r="L12" s="33">
        <f t="shared" ref="L12:R12" si="3">K12*(1+L4)</f>
        <v>1990715.196</v>
      </c>
      <c r="M12" s="33">
        <f t="shared" si="3"/>
        <v>2050436.652</v>
      </c>
      <c r="N12" s="33">
        <f t="shared" si="3"/>
        <v>2111949.751</v>
      </c>
      <c r="O12" s="33">
        <f t="shared" si="3"/>
        <v>2175308.244</v>
      </c>
      <c r="P12" s="33">
        <f t="shared" si="3"/>
        <v>2240567.491</v>
      </c>
      <c r="Q12" s="33">
        <f t="shared" si="3"/>
        <v>2307784.516</v>
      </c>
      <c r="R12" s="33">
        <f t="shared" si="3"/>
        <v>2377018.052</v>
      </c>
    </row>
    <row r="13">
      <c r="B13" s="1" t="s">
        <v>23</v>
      </c>
      <c r="C13" s="2"/>
      <c r="D13" s="34"/>
      <c r="E13" s="3"/>
      <c r="I13" s="8" t="s">
        <v>24</v>
      </c>
      <c r="K13" s="33">
        <f> SUMIF('Rent Roll'!$C$2:$C$44, "RS", 'Rent Roll'!$H$2:H$44)*(1+K5)</f>
        <v>16704.54</v>
      </c>
      <c r="L13" s="33">
        <f t="shared" ref="L13:R13" si="4">K13*(1+L5)</f>
        <v>17205.6762</v>
      </c>
      <c r="M13" s="33">
        <f t="shared" si="4"/>
        <v>17506.77553</v>
      </c>
      <c r="N13" s="33">
        <f t="shared" si="4"/>
        <v>17769.37717</v>
      </c>
      <c r="O13" s="33">
        <f t="shared" si="4"/>
        <v>18035.91782</v>
      </c>
      <c r="P13" s="33">
        <f t="shared" si="4"/>
        <v>18306.45659</v>
      </c>
      <c r="Q13" s="33">
        <f t="shared" si="4"/>
        <v>18581.05344</v>
      </c>
      <c r="R13" s="33">
        <f t="shared" si="4"/>
        <v>18859.76924</v>
      </c>
    </row>
    <row r="14">
      <c r="B14" s="7" t="s">
        <v>25</v>
      </c>
      <c r="D14" s="9">
        <v>2.0</v>
      </c>
      <c r="E14" s="10"/>
      <c r="I14" s="8" t="s">
        <v>26</v>
      </c>
      <c r="K14" s="33">
        <f> SUMIF('Rent Roll'!$C$2:$C$44, "RC", 'Rent Roll'!$H$2:H$44)</f>
        <v>8266</v>
      </c>
      <c r="L14" s="33">
        <f t="shared" ref="L14:R14" si="5">K14*(1+L6)</f>
        <v>8266</v>
      </c>
      <c r="M14" s="33">
        <f t="shared" si="5"/>
        <v>8266</v>
      </c>
      <c r="N14" s="33">
        <f t="shared" si="5"/>
        <v>8266</v>
      </c>
      <c r="O14" s="33">
        <f t="shared" si="5"/>
        <v>8266</v>
      </c>
      <c r="P14" s="33">
        <f t="shared" si="5"/>
        <v>8266</v>
      </c>
      <c r="Q14" s="33">
        <f t="shared" si="5"/>
        <v>8266</v>
      </c>
      <c r="R14" s="33">
        <f t="shared" si="5"/>
        <v>8266</v>
      </c>
    </row>
    <row r="15">
      <c r="B15" s="7" t="s">
        <v>27</v>
      </c>
      <c r="D15" s="9">
        <v>19.0</v>
      </c>
      <c r="E15" s="10"/>
      <c r="I15" s="8" t="s">
        <v>28</v>
      </c>
      <c r="K15" s="33">
        <f>SUM('Rent Roll'!H4:H5)</f>
        <v>420000</v>
      </c>
      <c r="L15" s="33">
        <f t="shared" ref="L15:R15" si="6">K15*(1+L8)</f>
        <v>432600</v>
      </c>
      <c r="M15" s="33">
        <f t="shared" si="6"/>
        <v>445578</v>
      </c>
      <c r="N15" s="33">
        <f t="shared" si="6"/>
        <v>458945.34</v>
      </c>
      <c r="O15" s="33">
        <f t="shared" si="6"/>
        <v>472713.7002</v>
      </c>
      <c r="P15" s="33">
        <f t="shared" si="6"/>
        <v>486895.1112</v>
      </c>
      <c r="Q15" s="33">
        <f t="shared" si="6"/>
        <v>501501.9645</v>
      </c>
      <c r="R15" s="33">
        <f t="shared" si="6"/>
        <v>516547.0235</v>
      </c>
    </row>
    <row r="16">
      <c r="B16" s="7" t="s">
        <v>29</v>
      </c>
      <c r="D16" s="9">
        <v>11.0</v>
      </c>
      <c r="E16" s="10"/>
      <c r="I16" s="8" t="s">
        <v>30</v>
      </c>
      <c r="K16" s="33">
        <f>SUM('Rent Roll'!H3)</f>
        <v>4200</v>
      </c>
      <c r="L16" s="33">
        <f t="shared" ref="L16:R16" si="7">K16*(1+L8)</f>
        <v>4326</v>
      </c>
      <c r="M16" s="33">
        <f t="shared" si="7"/>
        <v>4455.78</v>
      </c>
      <c r="N16" s="33">
        <f t="shared" si="7"/>
        <v>4589.4534</v>
      </c>
      <c r="O16" s="33">
        <f t="shared" si="7"/>
        <v>4727.137002</v>
      </c>
      <c r="P16" s="33">
        <f t="shared" si="7"/>
        <v>4868.951112</v>
      </c>
      <c r="Q16" s="33">
        <f t="shared" si="7"/>
        <v>5015.019645</v>
      </c>
      <c r="R16" s="33">
        <f t="shared" si="7"/>
        <v>5165.470235</v>
      </c>
    </row>
    <row r="17">
      <c r="B17" s="28" t="s">
        <v>31</v>
      </c>
      <c r="C17" s="29"/>
      <c r="D17" s="30">
        <v>4.0</v>
      </c>
      <c r="E17" s="31"/>
      <c r="I17" s="8" t="s">
        <v>32</v>
      </c>
      <c r="K17" s="33">
        <f>D33*D32</f>
        <v>8850</v>
      </c>
      <c r="L17" s="33">
        <f t="shared" ref="L17:R17" si="8">K17*(1+L7)</f>
        <v>8938.5</v>
      </c>
      <c r="M17" s="33">
        <f t="shared" si="8"/>
        <v>9027.885</v>
      </c>
      <c r="N17" s="33">
        <f t="shared" si="8"/>
        <v>9118.16385</v>
      </c>
      <c r="O17" s="33">
        <f t="shared" si="8"/>
        <v>9209.345489</v>
      </c>
      <c r="P17" s="33">
        <f t="shared" si="8"/>
        <v>9301.438943</v>
      </c>
      <c r="Q17" s="33">
        <f t="shared" si="8"/>
        <v>9394.453333</v>
      </c>
      <c r="R17" s="33">
        <f t="shared" si="8"/>
        <v>9488.397866</v>
      </c>
    </row>
    <row r="18">
      <c r="I18" s="8" t="s">
        <v>33</v>
      </c>
      <c r="K18" s="33">
        <f t="shared" ref="K18:R18" si="9">(K22-$D$29)*$D$26</f>
        <v>9284.848139</v>
      </c>
      <c r="L18" s="33">
        <f t="shared" si="9"/>
        <v>18941.0902</v>
      </c>
      <c r="M18" s="33">
        <f t="shared" si="9"/>
        <v>28983.58195</v>
      </c>
      <c r="N18" s="33">
        <f t="shared" si="9"/>
        <v>39427.77337</v>
      </c>
      <c r="O18" s="33">
        <f t="shared" si="9"/>
        <v>50289.73244</v>
      </c>
      <c r="P18" s="33">
        <f t="shared" si="9"/>
        <v>61586.16988</v>
      </c>
      <c r="Q18" s="33">
        <f t="shared" si="9"/>
        <v>73334.46481</v>
      </c>
      <c r="R18" s="33">
        <f t="shared" si="9"/>
        <v>85552.69154</v>
      </c>
    </row>
    <row r="19">
      <c r="B19" s="1" t="s">
        <v>34</v>
      </c>
      <c r="C19" s="2"/>
      <c r="D19" s="34"/>
      <c r="E19" s="3"/>
      <c r="I19" s="35" t="s">
        <v>35</v>
      </c>
      <c r="J19" s="36"/>
      <c r="K19" s="37">
        <f t="shared" ref="K19:R19" si="10">SUM(K12:K18)</f>
        <v>2400038.588</v>
      </c>
      <c r="L19" s="37">
        <f t="shared" si="10"/>
        <v>2480992.462</v>
      </c>
      <c r="M19" s="37">
        <f t="shared" si="10"/>
        <v>2564254.674</v>
      </c>
      <c r="N19" s="37">
        <f t="shared" si="10"/>
        <v>2650065.859</v>
      </c>
      <c r="O19" s="37">
        <f t="shared" si="10"/>
        <v>2738550.077</v>
      </c>
      <c r="P19" s="37">
        <f t="shared" si="10"/>
        <v>2829791.619</v>
      </c>
      <c r="Q19" s="37">
        <f t="shared" si="10"/>
        <v>2923877.472</v>
      </c>
      <c r="R19" s="37">
        <f t="shared" si="10"/>
        <v>3020897.404</v>
      </c>
    </row>
    <row r="20">
      <c r="B20" s="7" t="s">
        <v>36</v>
      </c>
      <c r="D20" s="38">
        <v>0.03</v>
      </c>
      <c r="E20" s="10"/>
      <c r="I20" s="8" t="s">
        <v>37</v>
      </c>
      <c r="K20" s="33">
        <f t="shared" ref="K20:M20" si="11">K19*-$D$21</f>
        <v>-72001.15764</v>
      </c>
      <c r="L20" s="33">
        <f t="shared" si="11"/>
        <v>-74429.77387</v>
      </c>
      <c r="M20" s="33">
        <f t="shared" si="11"/>
        <v>-76927.64023</v>
      </c>
      <c r="N20" s="33">
        <f t="shared" ref="N20:R20" si="12">N19*-$D$22</f>
        <v>-106002.6344</v>
      </c>
      <c r="O20" s="33">
        <f t="shared" si="12"/>
        <v>-109542.0031</v>
      </c>
      <c r="P20" s="33">
        <f t="shared" si="12"/>
        <v>-113191.6648</v>
      </c>
      <c r="Q20" s="33">
        <f t="shared" si="12"/>
        <v>-116955.0989</v>
      </c>
      <c r="R20" s="33">
        <f t="shared" si="12"/>
        <v>-120835.8962</v>
      </c>
    </row>
    <row r="21">
      <c r="B21" s="7" t="s">
        <v>38</v>
      </c>
      <c r="D21" s="38">
        <v>0.03</v>
      </c>
      <c r="E21" s="10"/>
      <c r="I21" s="35" t="s">
        <v>39</v>
      </c>
      <c r="J21" s="36"/>
      <c r="K21" s="37">
        <f t="shared" ref="K21:R21" si="13">SUM(K19:K20)</f>
        <v>2328037.43</v>
      </c>
      <c r="L21" s="37">
        <f t="shared" si="13"/>
        <v>2406562.689</v>
      </c>
      <c r="M21" s="37">
        <f t="shared" si="13"/>
        <v>2487327.034</v>
      </c>
      <c r="N21" s="37">
        <f t="shared" si="13"/>
        <v>2544063.225</v>
      </c>
      <c r="O21" s="37">
        <f t="shared" si="13"/>
        <v>2629008.074</v>
      </c>
      <c r="P21" s="37">
        <f t="shared" si="13"/>
        <v>2716599.954</v>
      </c>
      <c r="Q21" s="37">
        <f t="shared" si="13"/>
        <v>2806922.373</v>
      </c>
      <c r="R21" s="37">
        <f t="shared" si="13"/>
        <v>2900061.508</v>
      </c>
    </row>
    <row r="22">
      <c r="B22" s="28" t="s">
        <v>40</v>
      </c>
      <c r="C22" s="29"/>
      <c r="D22" s="39">
        <v>0.04</v>
      </c>
      <c r="E22" s="31"/>
      <c r="I22" s="8" t="s">
        <v>41</v>
      </c>
      <c r="K22" s="40">
        <f>D29*(1+K3)</f>
        <v>618989.8759</v>
      </c>
      <c r="L22" s="33">
        <f t="shared" ref="L22:R22" si="14">K22*(1+$L$3)</f>
        <v>643749.471</v>
      </c>
      <c r="M22" s="33">
        <f t="shared" si="14"/>
        <v>669499.4498</v>
      </c>
      <c r="N22" s="33">
        <f t="shared" si="14"/>
        <v>696279.4278</v>
      </c>
      <c r="O22" s="33">
        <f t="shared" si="14"/>
        <v>724130.6049</v>
      </c>
      <c r="P22" s="33">
        <f t="shared" si="14"/>
        <v>753095.8291</v>
      </c>
      <c r="Q22" s="33">
        <f t="shared" si="14"/>
        <v>783219.6623</v>
      </c>
      <c r="R22" s="33">
        <f t="shared" si="14"/>
        <v>814548.4487</v>
      </c>
    </row>
    <row r="23">
      <c r="I23" s="8" t="s">
        <v>42</v>
      </c>
      <c r="K23" s="40">
        <v>34000.0</v>
      </c>
      <c r="L23" s="33">
        <f t="shared" ref="L23:R23" si="15">K23*(1+$L$3)</f>
        <v>35360</v>
      </c>
      <c r="M23" s="33">
        <f t="shared" si="15"/>
        <v>36774.4</v>
      </c>
      <c r="N23" s="33">
        <f t="shared" si="15"/>
        <v>38245.376</v>
      </c>
      <c r="O23" s="33">
        <f t="shared" si="15"/>
        <v>39775.19104</v>
      </c>
      <c r="P23" s="33">
        <f t="shared" si="15"/>
        <v>41366.19868</v>
      </c>
      <c r="Q23" s="33">
        <f t="shared" si="15"/>
        <v>43020.84663</v>
      </c>
      <c r="R23" s="33">
        <f t="shared" si="15"/>
        <v>44741.68049</v>
      </c>
    </row>
    <row r="24">
      <c r="B24" s="1" t="s">
        <v>43</v>
      </c>
      <c r="C24" s="2"/>
      <c r="D24" s="34"/>
      <c r="E24" s="3"/>
      <c r="I24" s="8" t="s">
        <v>44</v>
      </c>
      <c r="K24" s="40">
        <v>28000.0</v>
      </c>
      <c r="L24" s="33">
        <f t="shared" ref="L24:R24" si="16">K24*(1+$L$3)</f>
        <v>29120</v>
      </c>
      <c r="M24" s="33">
        <f t="shared" si="16"/>
        <v>30284.8</v>
      </c>
      <c r="N24" s="33">
        <f t="shared" si="16"/>
        <v>31496.192</v>
      </c>
      <c r="O24" s="33">
        <f t="shared" si="16"/>
        <v>32756.03968</v>
      </c>
      <c r="P24" s="33">
        <f t="shared" si="16"/>
        <v>34066.28127</v>
      </c>
      <c r="Q24" s="33">
        <f t="shared" si="16"/>
        <v>35428.93252</v>
      </c>
      <c r="R24" s="33">
        <f t="shared" si="16"/>
        <v>36846.08982</v>
      </c>
    </row>
    <row r="25">
      <c r="B25" s="7" t="s">
        <v>45</v>
      </c>
      <c r="D25" s="9" t="s">
        <v>46</v>
      </c>
      <c r="E25" s="10"/>
      <c r="I25" s="8" t="s">
        <v>47</v>
      </c>
      <c r="K25" s="40">
        <v>10000.0</v>
      </c>
      <c r="L25" s="33">
        <f t="shared" ref="L25:R25" si="17">K25*(1+$L$3)</f>
        <v>10400</v>
      </c>
      <c r="M25" s="33">
        <f t="shared" si="17"/>
        <v>10816</v>
      </c>
      <c r="N25" s="33">
        <f t="shared" si="17"/>
        <v>11248.64</v>
      </c>
      <c r="O25" s="33">
        <f t="shared" si="17"/>
        <v>11698.5856</v>
      </c>
      <c r="P25" s="33">
        <f t="shared" si="17"/>
        <v>12166.52902</v>
      </c>
      <c r="Q25" s="33">
        <f t="shared" si="17"/>
        <v>12653.19018</v>
      </c>
      <c r="R25" s="33">
        <f t="shared" si="17"/>
        <v>13159.31779</v>
      </c>
    </row>
    <row r="26">
      <c r="B26" s="7" t="s">
        <v>48</v>
      </c>
      <c r="D26" s="41">
        <v>0.39</v>
      </c>
      <c r="E26" s="10"/>
      <c r="I26" s="8" t="s">
        <v>49</v>
      </c>
      <c r="K26" s="40">
        <v>34750.0</v>
      </c>
      <c r="L26" s="33">
        <f t="shared" ref="L26:R26" si="18">K26*(1+$L$3)</f>
        <v>36140</v>
      </c>
      <c r="M26" s="33">
        <f t="shared" si="18"/>
        <v>37585.6</v>
      </c>
      <c r="N26" s="33">
        <f t="shared" si="18"/>
        <v>39089.024</v>
      </c>
      <c r="O26" s="33">
        <f t="shared" si="18"/>
        <v>40652.58496</v>
      </c>
      <c r="P26" s="33">
        <f t="shared" si="18"/>
        <v>42278.68836</v>
      </c>
      <c r="Q26" s="33">
        <f t="shared" si="18"/>
        <v>43969.83589</v>
      </c>
      <c r="R26" s="33">
        <f t="shared" si="18"/>
        <v>45728.62933</v>
      </c>
    </row>
    <row r="27">
      <c r="B27" s="7" t="s">
        <v>50</v>
      </c>
      <c r="D27" s="42">
        <v>0.12267</v>
      </c>
      <c r="E27" s="10"/>
      <c r="I27" s="8" t="s">
        <v>51</v>
      </c>
      <c r="K27" s="40">
        <v>29500.0</v>
      </c>
      <c r="L27" s="33">
        <f t="shared" ref="L27:R27" si="19">K27*(1+$L$3)</f>
        <v>30680</v>
      </c>
      <c r="M27" s="33">
        <f t="shared" si="19"/>
        <v>31907.2</v>
      </c>
      <c r="N27" s="33">
        <f t="shared" si="19"/>
        <v>33183.488</v>
      </c>
      <c r="O27" s="33">
        <f t="shared" si="19"/>
        <v>34510.82752</v>
      </c>
      <c r="P27" s="33">
        <f t="shared" si="19"/>
        <v>35891.26062</v>
      </c>
      <c r="Q27" s="33">
        <f t="shared" si="19"/>
        <v>37326.91105</v>
      </c>
      <c r="R27" s="33">
        <f t="shared" si="19"/>
        <v>38819.98749</v>
      </c>
    </row>
    <row r="28">
      <c r="B28" s="7" t="s">
        <v>52</v>
      </c>
      <c r="D28" s="43">
        <v>4851900.0</v>
      </c>
      <c r="E28" s="10"/>
      <c r="I28" s="8" t="s">
        <v>53</v>
      </c>
      <c r="K28" s="40">
        <f>K21*D20</f>
        <v>69841.12291</v>
      </c>
      <c r="L28" s="33">
        <f t="shared" ref="L28:R28" si="20">K28*(1+$L$3)</f>
        <v>72634.76783</v>
      </c>
      <c r="M28" s="33">
        <f t="shared" si="20"/>
        <v>75540.15854</v>
      </c>
      <c r="N28" s="33">
        <f t="shared" si="20"/>
        <v>78561.76489</v>
      </c>
      <c r="O28" s="33">
        <f t="shared" si="20"/>
        <v>81704.23548</v>
      </c>
      <c r="P28" s="33">
        <f t="shared" si="20"/>
        <v>84972.4049</v>
      </c>
      <c r="Q28" s="33">
        <f t="shared" si="20"/>
        <v>88371.3011</v>
      </c>
      <c r="R28" s="33">
        <f t="shared" si="20"/>
        <v>91906.15314</v>
      </c>
    </row>
    <row r="29">
      <c r="B29" s="28" t="s">
        <v>54</v>
      </c>
      <c r="C29" s="29"/>
      <c r="D29" s="44">
        <f>D27*D28</f>
        <v>595182.573</v>
      </c>
      <c r="E29" s="31"/>
      <c r="I29" s="35" t="s">
        <v>55</v>
      </c>
      <c r="J29" s="36"/>
      <c r="K29" s="37">
        <f t="shared" ref="K29:R29" si="21">SUM(K22:K28)</f>
        <v>825080.9988</v>
      </c>
      <c r="L29" s="37">
        <f t="shared" si="21"/>
        <v>858084.2388</v>
      </c>
      <c r="M29" s="37">
        <f t="shared" si="21"/>
        <v>892407.6083</v>
      </c>
      <c r="N29" s="37">
        <f t="shared" si="21"/>
        <v>928103.9127</v>
      </c>
      <c r="O29" s="37">
        <f t="shared" si="21"/>
        <v>965228.0692</v>
      </c>
      <c r="P29" s="37">
        <f t="shared" si="21"/>
        <v>1003837.192</v>
      </c>
      <c r="Q29" s="37">
        <f t="shared" si="21"/>
        <v>1043990.68</v>
      </c>
      <c r="R29" s="37">
        <f t="shared" si="21"/>
        <v>1085750.307</v>
      </c>
    </row>
    <row r="30">
      <c r="I30" s="45" t="s">
        <v>56</v>
      </c>
      <c r="J30" s="46"/>
      <c r="K30" s="47">
        <f t="shared" ref="K30:R30" si="22">K21-K29</f>
        <v>1502956.432</v>
      </c>
      <c r="L30" s="47">
        <f t="shared" si="22"/>
        <v>1548478.45</v>
      </c>
      <c r="M30" s="47">
        <f t="shared" si="22"/>
        <v>1594919.426</v>
      </c>
      <c r="N30" s="47">
        <f t="shared" si="22"/>
        <v>1615959.312</v>
      </c>
      <c r="O30" s="47">
        <f t="shared" si="22"/>
        <v>1663780.005</v>
      </c>
      <c r="P30" s="47">
        <f t="shared" si="22"/>
        <v>1712762.762</v>
      </c>
      <c r="Q30" s="47">
        <f t="shared" si="22"/>
        <v>1762931.693</v>
      </c>
      <c r="R30" s="48">
        <f t="shared" si="22"/>
        <v>1814311.201</v>
      </c>
    </row>
    <row r="31">
      <c r="B31" s="1" t="s">
        <v>57</v>
      </c>
      <c r="C31" s="2"/>
      <c r="D31" s="34"/>
      <c r="E31" s="3"/>
    </row>
    <row r="32">
      <c r="B32" s="7" t="s">
        <v>58</v>
      </c>
      <c r="D32" s="8">
        <v>150.0</v>
      </c>
      <c r="E32" s="10"/>
      <c r="I32" s="49" t="s">
        <v>59</v>
      </c>
      <c r="J32" s="50"/>
      <c r="K32" s="50"/>
      <c r="L32" s="51"/>
      <c r="M32" s="51"/>
      <c r="N32" s="51"/>
      <c r="O32" s="51"/>
      <c r="P32" s="51"/>
      <c r="Q32" s="51"/>
    </row>
    <row r="33">
      <c r="B33" s="7" t="s">
        <v>60</v>
      </c>
      <c r="D33" s="52">
        <f>ROUNDDOWN(SUM(D34:D37)*D38)</f>
        <v>59</v>
      </c>
      <c r="E33" s="10"/>
      <c r="I33" s="8" t="s">
        <v>61</v>
      </c>
      <c r="J33" s="33">
        <f>-D46</f>
        <v>-21059894.5</v>
      </c>
      <c r="M33" s="33"/>
      <c r="N33" s="33"/>
      <c r="O33" s="33"/>
      <c r="P33" s="33"/>
      <c r="Q33" s="33"/>
      <c r="R33" s="33"/>
    </row>
    <row r="34">
      <c r="B34" s="7" t="s">
        <v>25</v>
      </c>
      <c r="D34" s="52">
        <f>D14*1</f>
        <v>2</v>
      </c>
      <c r="E34" s="53" t="s">
        <v>62</v>
      </c>
      <c r="I34" s="8" t="s">
        <v>63</v>
      </c>
      <c r="K34" s="33">
        <f t="shared" ref="K34:Q34" si="23">K30</f>
        <v>1502956.432</v>
      </c>
      <c r="L34" s="33">
        <f t="shared" si="23"/>
        <v>1548478.45</v>
      </c>
      <c r="M34" s="33">
        <f t="shared" si="23"/>
        <v>1594919.426</v>
      </c>
      <c r="N34" s="33">
        <f t="shared" si="23"/>
        <v>1615959.312</v>
      </c>
      <c r="O34" s="33">
        <f t="shared" si="23"/>
        <v>1663780.005</v>
      </c>
      <c r="P34" s="33">
        <f t="shared" si="23"/>
        <v>1712762.762</v>
      </c>
      <c r="Q34" s="33">
        <f t="shared" si="23"/>
        <v>1762931.693</v>
      </c>
      <c r="R34" s="33"/>
    </row>
    <row r="35">
      <c r="B35" s="7" t="s">
        <v>27</v>
      </c>
      <c r="D35" s="52">
        <f t="shared" ref="D35:D36" si="24">D15*2</f>
        <v>38</v>
      </c>
      <c r="E35" s="53" t="s">
        <v>64</v>
      </c>
      <c r="I35" s="8" t="s">
        <v>65</v>
      </c>
      <c r="L35" s="33"/>
      <c r="M35" s="33"/>
      <c r="N35" s="33"/>
      <c r="O35" s="33"/>
      <c r="P35" s="33"/>
      <c r="Q35" s="33">
        <f>R30/D47</f>
        <v>30238520.02</v>
      </c>
      <c r="R35" s="33"/>
    </row>
    <row r="36">
      <c r="B36" s="7" t="s">
        <v>29</v>
      </c>
      <c r="D36" s="52">
        <f t="shared" si="24"/>
        <v>22</v>
      </c>
      <c r="E36" s="53" t="s">
        <v>64</v>
      </c>
      <c r="I36" s="54" t="s">
        <v>63</v>
      </c>
      <c r="J36" s="55">
        <f t="shared" ref="J36:Q36" si="25">SUM(J33:J35)</f>
        <v>-21059894.5</v>
      </c>
      <c r="K36" s="55">
        <f t="shared" si="25"/>
        <v>1502956.432</v>
      </c>
      <c r="L36" s="55">
        <f t="shared" si="25"/>
        <v>1548478.45</v>
      </c>
      <c r="M36" s="55">
        <f t="shared" si="25"/>
        <v>1594919.426</v>
      </c>
      <c r="N36" s="55">
        <f t="shared" si="25"/>
        <v>1615959.312</v>
      </c>
      <c r="O36" s="55">
        <f t="shared" si="25"/>
        <v>1663780.005</v>
      </c>
      <c r="P36" s="55">
        <f t="shared" si="25"/>
        <v>1712762.762</v>
      </c>
      <c r="Q36" s="55">
        <f t="shared" si="25"/>
        <v>32001451.71</v>
      </c>
    </row>
    <row r="37">
      <c r="B37" s="7" t="s">
        <v>31</v>
      </c>
      <c r="D37" s="52">
        <f>D17*3</f>
        <v>12</v>
      </c>
      <c r="E37" s="53" t="s">
        <v>66</v>
      </c>
    </row>
    <row r="38">
      <c r="B38" s="28" t="s">
        <v>67</v>
      </c>
      <c r="C38" s="29"/>
      <c r="D38" s="56">
        <v>0.8</v>
      </c>
      <c r="E38" s="31"/>
      <c r="I38" s="57" t="s">
        <v>68</v>
      </c>
      <c r="J38" s="58">
        <f>IRR(J36:Q36)</f>
        <v>0.1196925537</v>
      </c>
    </row>
    <row r="39">
      <c r="I39" s="57" t="s">
        <v>69</v>
      </c>
      <c r="J39" s="59">
        <f>J40/J41</f>
        <v>1.977232511</v>
      </c>
    </row>
    <row r="40">
      <c r="B40" s="1" t="s">
        <v>70</v>
      </c>
      <c r="C40" s="2"/>
      <c r="D40" s="34"/>
      <c r="E40" s="3"/>
      <c r="I40" s="57" t="s">
        <v>71</v>
      </c>
      <c r="J40" s="60">
        <f>SUM(K36:Q36)</f>
        <v>41640308.09</v>
      </c>
    </row>
    <row r="41">
      <c r="B41" s="7" t="s">
        <v>72</v>
      </c>
      <c r="D41" s="61">
        <v>0.08</v>
      </c>
      <c r="E41" s="10"/>
      <c r="I41" s="57" t="s">
        <v>73</v>
      </c>
      <c r="J41" s="60">
        <f>-J36</f>
        <v>21059894.5</v>
      </c>
    </row>
    <row r="42">
      <c r="B42" s="7" t="s">
        <v>74</v>
      </c>
      <c r="D42" s="33">
        <f>K30/D41</f>
        <v>18786955.4</v>
      </c>
      <c r="E42" s="62">
        <f>D42/D8</f>
        <v>859.8542449</v>
      </c>
      <c r="I42" s="57" t="s">
        <v>75</v>
      </c>
      <c r="J42" s="60">
        <f>SUM(J36:Q36)</f>
        <v>20580413.59</v>
      </c>
    </row>
    <row r="43">
      <c r="B43" s="7" t="s">
        <v>76</v>
      </c>
      <c r="D43" s="33">
        <f>$D$6*E43</f>
        <v>1581000</v>
      </c>
      <c r="E43" s="53">
        <v>300.0</v>
      </c>
      <c r="I43" s="57" t="s">
        <v>77</v>
      </c>
      <c r="J43" s="63">
        <f>J42/J41</f>
        <v>0.9772325112</v>
      </c>
    </row>
    <row r="44">
      <c r="B44" s="7" t="s">
        <v>78</v>
      </c>
      <c r="D44" s="33">
        <f>D43*E44</f>
        <v>316200</v>
      </c>
      <c r="E44" s="64">
        <v>0.2</v>
      </c>
    </row>
    <row r="45">
      <c r="B45" s="7" t="s">
        <v>79</v>
      </c>
      <c r="D45" s="33">
        <f>D42*E45</f>
        <v>375739.1079</v>
      </c>
      <c r="E45" s="64">
        <v>0.02</v>
      </c>
      <c r="I45" s="49" t="s">
        <v>80</v>
      </c>
      <c r="J45" s="50"/>
      <c r="K45" s="50"/>
      <c r="L45" s="51"/>
      <c r="M45" s="51"/>
      <c r="N45" s="51"/>
      <c r="O45" s="51"/>
      <c r="P45" s="51"/>
      <c r="Q45" s="51"/>
    </row>
    <row r="46">
      <c r="B46" s="7" t="s">
        <v>81</v>
      </c>
      <c r="D46" s="33">
        <f>SUM(D42:D45)</f>
        <v>21059894.5</v>
      </c>
      <c r="E46" s="10"/>
      <c r="I46" s="8" t="s">
        <v>61</v>
      </c>
      <c r="J46" s="33">
        <f>-D46</f>
        <v>-21059894.5</v>
      </c>
      <c r="K46" s="33"/>
      <c r="L46" s="33"/>
      <c r="M46" s="33"/>
      <c r="N46" s="33"/>
      <c r="O46" s="33"/>
      <c r="P46" s="33"/>
      <c r="Q46" s="33"/>
    </row>
    <row r="47">
      <c r="B47" s="28" t="s">
        <v>82</v>
      </c>
      <c r="C47" s="29"/>
      <c r="D47" s="39">
        <v>0.06</v>
      </c>
      <c r="E47" s="31"/>
      <c r="I47" s="8" t="s">
        <v>83</v>
      </c>
      <c r="J47" s="33">
        <f>J46*-D56</f>
        <v>14741926.15</v>
      </c>
      <c r="K47" s="33"/>
      <c r="L47" s="33"/>
      <c r="M47" s="33"/>
      <c r="N47" s="33"/>
      <c r="O47" s="33"/>
      <c r="P47" s="33"/>
      <c r="Q47" s="33"/>
    </row>
    <row r="48">
      <c r="I48" s="8" t="s">
        <v>63</v>
      </c>
      <c r="J48" s="33"/>
      <c r="K48" s="33">
        <f t="shared" ref="K48:Q48" si="26">K30</f>
        <v>1502956.432</v>
      </c>
      <c r="L48" s="33">
        <f t="shared" si="26"/>
        <v>1548478.45</v>
      </c>
      <c r="M48" s="33">
        <f t="shared" si="26"/>
        <v>1594919.426</v>
      </c>
      <c r="N48" s="33">
        <f t="shared" si="26"/>
        <v>1615959.312</v>
      </c>
      <c r="O48" s="33">
        <f t="shared" si="26"/>
        <v>1663780.005</v>
      </c>
      <c r="P48" s="33">
        <f t="shared" si="26"/>
        <v>1712762.762</v>
      </c>
      <c r="Q48" s="33">
        <f t="shared" si="26"/>
        <v>1762931.693</v>
      </c>
    </row>
    <row r="49">
      <c r="B49" s="1" t="s">
        <v>84</v>
      </c>
      <c r="C49" s="2"/>
      <c r="D49" s="34"/>
      <c r="E49" s="3"/>
      <c r="I49" s="8" t="s">
        <v>85</v>
      </c>
      <c r="J49" s="33"/>
      <c r="K49" s="33">
        <f>J47*-D50</f>
        <v>-1179354.092</v>
      </c>
      <c r="L49" s="33">
        <f>K49</f>
        <v>-1179354.092</v>
      </c>
      <c r="M49" s="33">
        <f>J47*-D52</f>
        <v>-1031934.831</v>
      </c>
      <c r="N49" s="33">
        <f t="shared" ref="N49:Q49" si="27">M49</f>
        <v>-1031934.831</v>
      </c>
      <c r="O49" s="33">
        <f t="shared" si="27"/>
        <v>-1031934.831</v>
      </c>
      <c r="P49" s="33">
        <f t="shared" si="27"/>
        <v>-1031934.831</v>
      </c>
      <c r="Q49" s="33">
        <f t="shared" si="27"/>
        <v>-1031934.831</v>
      </c>
    </row>
    <row r="50">
      <c r="B50" s="7" t="s">
        <v>86</v>
      </c>
      <c r="D50" s="42">
        <v>0.08</v>
      </c>
      <c r="E50" s="10"/>
      <c r="I50" s="8" t="s">
        <v>87</v>
      </c>
      <c r="J50" s="33"/>
      <c r="K50" s="33"/>
      <c r="L50" s="33"/>
      <c r="M50" s="33"/>
      <c r="N50" s="33"/>
      <c r="O50" s="33"/>
      <c r="P50" s="33"/>
      <c r="Q50" s="33">
        <f>R30/D47</f>
        <v>30238520.02</v>
      </c>
    </row>
    <row r="51">
      <c r="B51" s="7" t="s">
        <v>88</v>
      </c>
      <c r="D51" s="19">
        <v>2.0</v>
      </c>
      <c r="E51" s="53" t="s">
        <v>89</v>
      </c>
      <c r="I51" s="8" t="s">
        <v>90</v>
      </c>
      <c r="J51" s="33"/>
      <c r="K51" s="33"/>
      <c r="L51" s="33"/>
      <c r="M51" s="33"/>
      <c r="N51" s="33"/>
      <c r="O51" s="33"/>
      <c r="P51" s="33"/>
      <c r="Q51" s="33">
        <f>-J47</f>
        <v>-14741926.15</v>
      </c>
    </row>
    <row r="52">
      <c r="B52" s="7" t="s">
        <v>91</v>
      </c>
      <c r="D52" s="42">
        <v>0.07</v>
      </c>
      <c r="E52" s="53"/>
      <c r="I52" s="54" t="s">
        <v>92</v>
      </c>
      <c r="J52" s="55">
        <f t="shared" ref="J52:Q52" si="28">SUM(J46:J51)</f>
        <v>-6317968.351</v>
      </c>
      <c r="K52" s="55">
        <f t="shared" si="28"/>
        <v>323602.3395</v>
      </c>
      <c r="L52" s="55">
        <f t="shared" si="28"/>
        <v>369124.3575</v>
      </c>
      <c r="M52" s="55">
        <f t="shared" si="28"/>
        <v>562984.5951</v>
      </c>
      <c r="N52" s="55">
        <f t="shared" si="28"/>
        <v>584024.4815</v>
      </c>
      <c r="O52" s="55">
        <f t="shared" si="28"/>
        <v>631845.174</v>
      </c>
      <c r="P52" s="55">
        <f t="shared" si="28"/>
        <v>680827.9316</v>
      </c>
      <c r="Q52" s="55">
        <f t="shared" si="28"/>
        <v>16227590.73</v>
      </c>
    </row>
    <row r="53">
      <c r="B53" s="7" t="s">
        <v>93</v>
      </c>
      <c r="D53" s="9">
        <v>7.0</v>
      </c>
      <c r="E53" s="53" t="s">
        <v>89</v>
      </c>
      <c r="I53" s="65" t="s">
        <v>94</v>
      </c>
      <c r="J53" s="66"/>
      <c r="K53" s="67">
        <f t="shared" ref="K53:Q53" si="29">K30/-K49</f>
        <v>1.274389466</v>
      </c>
      <c r="L53" s="67">
        <f t="shared" si="29"/>
        <v>1.312988576</v>
      </c>
      <c r="M53" s="67">
        <f t="shared" si="29"/>
        <v>1.54556216</v>
      </c>
      <c r="N53" s="67">
        <f t="shared" si="29"/>
        <v>1.565950934</v>
      </c>
      <c r="O53" s="67">
        <f t="shared" si="29"/>
        <v>1.612291741</v>
      </c>
      <c r="P53" s="67">
        <f t="shared" si="29"/>
        <v>1.659758651</v>
      </c>
      <c r="Q53" s="67">
        <f t="shared" si="29"/>
        <v>1.708375026</v>
      </c>
    </row>
    <row r="54">
      <c r="B54" s="7" t="s">
        <v>95</v>
      </c>
      <c r="D54" s="68">
        <v>43117.0</v>
      </c>
      <c r="E54" s="10"/>
    </row>
    <row r="55">
      <c r="B55" s="7" t="s">
        <v>96</v>
      </c>
      <c r="D55" s="68">
        <v>45716.0</v>
      </c>
      <c r="E55" s="10"/>
      <c r="I55" s="57" t="s">
        <v>97</v>
      </c>
      <c r="J55" s="58">
        <f>IRR(J52:Q52)</f>
        <v>0.1944958055</v>
      </c>
    </row>
    <row r="56">
      <c r="B56" s="7" t="s">
        <v>98</v>
      </c>
      <c r="D56" s="41">
        <v>0.7</v>
      </c>
      <c r="E56" s="53"/>
      <c r="I56" s="57" t="s">
        <v>99</v>
      </c>
      <c r="J56" s="59">
        <f>J57/J58</f>
        <v>3.067441704</v>
      </c>
    </row>
    <row r="57">
      <c r="B57" s="28" t="s">
        <v>100</v>
      </c>
      <c r="C57" s="29"/>
      <c r="D57" s="30">
        <v>1.2</v>
      </c>
      <c r="E57" s="69"/>
      <c r="I57" s="57" t="s">
        <v>71</v>
      </c>
      <c r="J57" s="60">
        <f>SUM(K52:Q52)</f>
        <v>19379999.6</v>
      </c>
    </row>
    <row r="58">
      <c r="I58" s="57" t="s">
        <v>73</v>
      </c>
      <c r="J58" s="60">
        <f>-J52</f>
        <v>6317968.351</v>
      </c>
    </row>
    <row r="59">
      <c r="I59" s="57" t="s">
        <v>75</v>
      </c>
      <c r="J59" s="60">
        <f>SUM(J52:Q52)</f>
        <v>13062031.25</v>
      </c>
    </row>
    <row r="60">
      <c r="I60" s="57" t="s">
        <v>77</v>
      </c>
      <c r="J60" s="63">
        <f>J59/J58</f>
        <v>2.067441704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25"/>
    <col customWidth="1" min="4" max="4" width="14.5"/>
    <col customWidth="1" min="5" max="5" width="11.0"/>
  </cols>
  <sheetData>
    <row r="2">
      <c r="B2" s="8" t="s">
        <v>101</v>
      </c>
      <c r="C2" s="8" t="s">
        <v>2</v>
      </c>
      <c r="D2" s="8" t="s">
        <v>102</v>
      </c>
      <c r="E2" s="8" t="s">
        <v>103</v>
      </c>
      <c r="F2" s="8" t="s">
        <v>104</v>
      </c>
      <c r="G2" s="8" t="s">
        <v>105</v>
      </c>
      <c r="H2" s="8" t="s">
        <v>106</v>
      </c>
    </row>
    <row r="3">
      <c r="B3" s="8" t="s">
        <v>107</v>
      </c>
      <c r="C3" s="8" t="s">
        <v>108</v>
      </c>
      <c r="D3" s="70">
        <v>41920.0</v>
      </c>
      <c r="E3" s="70">
        <v>46783.0</v>
      </c>
      <c r="F3" s="8" t="s">
        <v>109</v>
      </c>
      <c r="G3" s="40">
        <v>350.0</v>
      </c>
      <c r="H3" s="40">
        <v>4200.0</v>
      </c>
      <c r="I3" s="40"/>
      <c r="J3" s="40"/>
    </row>
    <row r="4">
      <c r="B4" s="8" t="s">
        <v>110</v>
      </c>
      <c r="C4" s="8" t="s">
        <v>111</v>
      </c>
      <c r="D4" s="70">
        <v>44938.0</v>
      </c>
      <c r="E4" s="70">
        <v>48975.0</v>
      </c>
      <c r="F4" s="8" t="s">
        <v>109</v>
      </c>
      <c r="G4" s="40">
        <v>21000.0</v>
      </c>
      <c r="H4" s="40">
        <v>252000.0</v>
      </c>
      <c r="I4" s="40"/>
      <c r="J4" s="40"/>
    </row>
    <row r="5">
      <c r="B5" s="8" t="s">
        <v>112</v>
      </c>
      <c r="C5" s="8" t="s">
        <v>111</v>
      </c>
      <c r="D5" s="70">
        <v>44963.0</v>
      </c>
      <c r="E5" s="70">
        <v>50436.0</v>
      </c>
      <c r="F5" s="8" t="s">
        <v>109</v>
      </c>
      <c r="G5" s="40">
        <v>14000.0</v>
      </c>
      <c r="H5" s="40">
        <v>168000.0</v>
      </c>
      <c r="I5" s="40"/>
      <c r="J5" s="40"/>
    </row>
    <row r="6">
      <c r="B6" s="8" t="s">
        <v>113</v>
      </c>
      <c r="C6" s="8" t="s">
        <v>114</v>
      </c>
      <c r="D6" s="70">
        <v>44440.0</v>
      </c>
      <c r="E6" s="70">
        <v>45473.0</v>
      </c>
      <c r="F6" s="8">
        <v>3.0</v>
      </c>
      <c r="G6" s="40">
        <v>7800.0</v>
      </c>
      <c r="H6" s="40">
        <v>93600.0</v>
      </c>
      <c r="I6" s="40"/>
      <c r="J6" s="40"/>
    </row>
    <row r="7">
      <c r="B7" s="8" t="s">
        <v>115</v>
      </c>
      <c r="C7" s="8" t="s">
        <v>114</v>
      </c>
      <c r="D7" s="70">
        <v>45108.0</v>
      </c>
      <c r="E7" s="70">
        <v>45473.0</v>
      </c>
      <c r="F7" s="8">
        <v>2.0</v>
      </c>
      <c r="G7" s="40">
        <v>5700.0</v>
      </c>
      <c r="H7" s="40">
        <v>68400.0</v>
      </c>
      <c r="I7" s="40"/>
      <c r="J7" s="40"/>
    </row>
    <row r="8">
      <c r="B8" s="8" t="s">
        <v>116</v>
      </c>
      <c r="C8" s="8" t="s">
        <v>114</v>
      </c>
      <c r="D8" s="70">
        <v>44927.0</v>
      </c>
      <c r="E8" s="71">
        <v>45291.0</v>
      </c>
      <c r="F8" s="8">
        <v>1.0</v>
      </c>
      <c r="G8" s="40">
        <v>4000.0</v>
      </c>
      <c r="H8" s="40">
        <v>48000.0</v>
      </c>
      <c r="I8" s="40"/>
      <c r="J8" s="40"/>
    </row>
    <row r="9">
      <c r="B9" s="8" t="s">
        <v>117</v>
      </c>
      <c r="C9" s="8" t="s">
        <v>114</v>
      </c>
      <c r="D9" s="70">
        <v>44455.0</v>
      </c>
      <c r="E9" s="70">
        <v>45184.0</v>
      </c>
      <c r="F9" s="8">
        <v>1.0</v>
      </c>
      <c r="G9" s="40">
        <v>4000.0</v>
      </c>
      <c r="H9" s="40">
        <v>48000.0</v>
      </c>
      <c r="I9" s="40"/>
      <c r="J9" s="40"/>
    </row>
    <row r="10">
      <c r="B10" s="8" t="s">
        <v>118</v>
      </c>
      <c r="C10" s="8" t="s">
        <v>114</v>
      </c>
      <c r="D10" s="70">
        <v>44256.0</v>
      </c>
      <c r="E10" s="70">
        <v>45169.0</v>
      </c>
      <c r="F10" s="8">
        <v>2.0</v>
      </c>
      <c r="G10" s="40">
        <v>5000.0</v>
      </c>
      <c r="H10" s="40">
        <v>60000.0</v>
      </c>
      <c r="I10" s="40"/>
      <c r="J10" s="40"/>
    </row>
    <row r="11">
      <c r="B11" s="8" t="s">
        <v>119</v>
      </c>
      <c r="C11" s="8" t="s">
        <v>114</v>
      </c>
      <c r="D11" s="70">
        <v>44717.0</v>
      </c>
      <c r="E11" s="70">
        <v>45473.0</v>
      </c>
      <c r="F11" s="8">
        <v>1.0</v>
      </c>
      <c r="G11" s="40">
        <v>4000.0</v>
      </c>
      <c r="H11" s="40">
        <v>48000.0</v>
      </c>
      <c r="I11" s="40"/>
      <c r="J11" s="40"/>
    </row>
    <row r="12">
      <c r="B12" s="8" t="s">
        <v>120</v>
      </c>
      <c r="C12" s="8" t="s">
        <v>121</v>
      </c>
      <c r="D12" s="70">
        <v>26665.0</v>
      </c>
      <c r="F12" s="8">
        <v>1.0</v>
      </c>
      <c r="G12" s="40">
        <v>689.0</v>
      </c>
      <c r="H12" s="40">
        <v>8266.0</v>
      </c>
      <c r="I12" s="40"/>
      <c r="J12" s="40"/>
    </row>
    <row r="13">
      <c r="B13" s="8" t="s">
        <v>122</v>
      </c>
      <c r="C13" s="8" t="s">
        <v>114</v>
      </c>
      <c r="D13" s="70">
        <v>44446.0</v>
      </c>
      <c r="E13" s="70">
        <v>45175.0</v>
      </c>
      <c r="F13" s="8">
        <v>1.0</v>
      </c>
      <c r="G13" s="40">
        <v>3700.0</v>
      </c>
      <c r="H13" s="40">
        <v>44400.0</v>
      </c>
      <c r="I13" s="40"/>
      <c r="J13" s="40"/>
    </row>
    <row r="14">
      <c r="B14" s="8" t="s">
        <v>123</v>
      </c>
      <c r="C14" s="8" t="s">
        <v>114</v>
      </c>
      <c r="D14" s="70">
        <v>45096.0</v>
      </c>
      <c r="E14" s="70">
        <v>45461.0</v>
      </c>
      <c r="F14" s="8">
        <v>2.0</v>
      </c>
      <c r="G14" s="40">
        <v>5300.0</v>
      </c>
      <c r="H14" s="40">
        <v>63600.0</v>
      </c>
      <c r="I14" s="40"/>
      <c r="J14" s="40"/>
    </row>
    <row r="15">
      <c r="B15" s="8" t="s">
        <v>124</v>
      </c>
      <c r="C15" s="8" t="s">
        <v>114</v>
      </c>
      <c r="D15" s="70">
        <v>44372.0</v>
      </c>
      <c r="E15" s="70">
        <v>45473.0</v>
      </c>
      <c r="F15" s="8">
        <v>1.0</v>
      </c>
      <c r="G15" s="40">
        <v>4000.0</v>
      </c>
      <c r="H15" s="40">
        <v>48000.0</v>
      </c>
      <c r="I15" s="40"/>
      <c r="J15" s="40"/>
    </row>
    <row r="16">
      <c r="B16" s="8" t="s">
        <v>125</v>
      </c>
      <c r="C16" s="8" t="s">
        <v>114</v>
      </c>
      <c r="D16" s="70">
        <v>43586.0</v>
      </c>
      <c r="E16" s="70">
        <v>45412.0</v>
      </c>
      <c r="F16" s="8">
        <v>1.0</v>
      </c>
      <c r="G16" s="40">
        <v>4000.0</v>
      </c>
      <c r="H16" s="40">
        <v>48000.0</v>
      </c>
      <c r="I16" s="40"/>
      <c r="J16" s="40"/>
    </row>
    <row r="17">
      <c r="B17" s="8" t="s">
        <v>126</v>
      </c>
      <c r="C17" s="8" t="s">
        <v>114</v>
      </c>
      <c r="D17" s="70">
        <v>45092.0</v>
      </c>
      <c r="E17" s="70">
        <v>45457.0</v>
      </c>
      <c r="F17" s="8">
        <v>2.0</v>
      </c>
      <c r="G17" s="40">
        <v>5600.0</v>
      </c>
      <c r="H17" s="40">
        <v>67200.0</v>
      </c>
      <c r="I17" s="40"/>
      <c r="J17" s="40"/>
    </row>
    <row r="18">
      <c r="B18" s="8" t="s">
        <v>127</v>
      </c>
      <c r="C18" s="8" t="s">
        <v>114</v>
      </c>
      <c r="D18" s="70">
        <v>44718.0</v>
      </c>
      <c r="E18" s="70">
        <v>45443.0</v>
      </c>
      <c r="F18" s="8">
        <v>1.0</v>
      </c>
      <c r="G18" s="40">
        <v>4000.0</v>
      </c>
      <c r="H18" s="40">
        <v>48000.0</v>
      </c>
      <c r="I18" s="40"/>
      <c r="J18" s="40"/>
    </row>
    <row r="19">
      <c r="B19" s="8" t="s">
        <v>128</v>
      </c>
      <c r="C19" s="8" t="s">
        <v>114</v>
      </c>
      <c r="D19" s="70">
        <v>45067.0</v>
      </c>
      <c r="E19" s="70">
        <v>45432.0</v>
      </c>
      <c r="F19" s="8">
        <v>2.0</v>
      </c>
      <c r="G19" s="40">
        <v>4600.0</v>
      </c>
      <c r="H19" s="40">
        <v>55200.0</v>
      </c>
      <c r="I19" s="40"/>
      <c r="J19" s="40"/>
    </row>
    <row r="20">
      <c r="B20" s="8" t="s">
        <v>129</v>
      </c>
      <c r="C20" s="8" t="s">
        <v>130</v>
      </c>
      <c r="D20" s="70">
        <v>42064.0</v>
      </c>
      <c r="E20" s="70">
        <v>45351.0</v>
      </c>
      <c r="F20" s="8">
        <v>1.0</v>
      </c>
      <c r="G20" s="40">
        <v>1351.0</v>
      </c>
      <c r="H20" s="40">
        <v>16218.0</v>
      </c>
      <c r="I20" s="40"/>
      <c r="J20" s="40"/>
    </row>
    <row r="21">
      <c r="B21" s="8" t="s">
        <v>131</v>
      </c>
      <c r="C21" s="8" t="s">
        <v>114</v>
      </c>
      <c r="D21" s="70">
        <v>44505.0</v>
      </c>
      <c r="E21" s="70">
        <v>45234.0</v>
      </c>
      <c r="F21" s="8">
        <v>2.0</v>
      </c>
      <c r="G21" s="40">
        <v>5400.0</v>
      </c>
      <c r="H21" s="40">
        <v>64800.0</v>
      </c>
      <c r="I21" s="40"/>
      <c r="J21" s="40"/>
    </row>
    <row r="22">
      <c r="B22" s="8" t="s">
        <v>132</v>
      </c>
      <c r="C22" s="8" t="s">
        <v>114</v>
      </c>
      <c r="D22" s="70">
        <v>44423.0</v>
      </c>
      <c r="E22" s="70">
        <v>45152.0</v>
      </c>
      <c r="F22" s="8">
        <v>1.0</v>
      </c>
      <c r="G22" s="40">
        <v>4000.0</v>
      </c>
      <c r="H22" s="40">
        <v>48000.0</v>
      </c>
      <c r="I22" s="40"/>
      <c r="J22" s="40"/>
    </row>
    <row r="23">
      <c r="B23" s="8" t="s">
        <v>133</v>
      </c>
      <c r="C23" s="8" t="s">
        <v>114</v>
      </c>
      <c r="D23" s="70">
        <v>44866.0</v>
      </c>
      <c r="E23" s="71">
        <v>45230.0</v>
      </c>
      <c r="F23" s="8">
        <v>1.0</v>
      </c>
      <c r="G23" s="40">
        <v>4000.0</v>
      </c>
      <c r="H23" s="40">
        <v>48000.0</v>
      </c>
      <c r="I23" s="40"/>
      <c r="J23" s="40"/>
    </row>
    <row r="24">
      <c r="B24" s="8" t="s">
        <v>134</v>
      </c>
      <c r="C24" s="8" t="s">
        <v>114</v>
      </c>
      <c r="D24" s="70">
        <v>45112.0</v>
      </c>
      <c r="E24" s="70">
        <v>45477.0</v>
      </c>
      <c r="F24" s="8">
        <v>3.0</v>
      </c>
      <c r="G24" s="40">
        <v>6400.0</v>
      </c>
      <c r="H24" s="40">
        <v>76800.0</v>
      </c>
      <c r="I24" s="40"/>
      <c r="J24" s="40"/>
    </row>
    <row r="25">
      <c r="B25" s="8" t="s">
        <v>135</v>
      </c>
      <c r="C25" s="8" t="s">
        <v>114</v>
      </c>
      <c r="D25" s="70">
        <v>43983.0</v>
      </c>
      <c r="E25" s="70">
        <v>45443.0</v>
      </c>
      <c r="F25" s="8">
        <v>1.0</v>
      </c>
      <c r="G25" s="40">
        <v>3925.0</v>
      </c>
      <c r="H25" s="40">
        <v>47100.0</v>
      </c>
      <c r="I25" s="40"/>
      <c r="J25" s="40"/>
    </row>
    <row r="26">
      <c r="B26" s="8" t="s">
        <v>136</v>
      </c>
      <c r="C26" s="8" t="s">
        <v>114</v>
      </c>
      <c r="D26" s="70">
        <v>45096.0</v>
      </c>
      <c r="E26" s="70">
        <v>45459.0</v>
      </c>
      <c r="F26" s="8">
        <v>2.0</v>
      </c>
      <c r="G26" s="40">
        <v>4700.0</v>
      </c>
      <c r="H26" s="40">
        <v>56400.0</v>
      </c>
      <c r="I26" s="40"/>
      <c r="J26" s="40"/>
    </row>
    <row r="27">
      <c r="B27" s="8" t="s">
        <v>137</v>
      </c>
      <c r="C27" s="8" t="s">
        <v>114</v>
      </c>
      <c r="D27" s="70">
        <v>44986.0</v>
      </c>
      <c r="E27" s="70">
        <v>45169.0</v>
      </c>
      <c r="F27" s="8">
        <v>1.0</v>
      </c>
      <c r="G27" s="40">
        <v>3450.0</v>
      </c>
      <c r="H27" s="40">
        <v>41400.0</v>
      </c>
      <c r="I27" s="40"/>
      <c r="J27" s="40"/>
    </row>
    <row r="28">
      <c r="B28" s="8" t="s">
        <v>138</v>
      </c>
      <c r="C28" s="8" t="s">
        <v>114</v>
      </c>
      <c r="D28" s="70">
        <v>44941.0</v>
      </c>
      <c r="E28" s="70">
        <v>45396.0</v>
      </c>
      <c r="F28" s="8">
        <v>2.0</v>
      </c>
      <c r="G28" s="40">
        <v>5400.0</v>
      </c>
      <c r="H28" s="40">
        <v>64800.0</v>
      </c>
      <c r="I28" s="40"/>
      <c r="J28" s="40"/>
    </row>
    <row r="29">
      <c r="B29" s="8" t="s">
        <v>139</v>
      </c>
      <c r="C29" s="8" t="s">
        <v>114</v>
      </c>
      <c r="D29" s="70">
        <v>45061.0</v>
      </c>
      <c r="E29" s="70">
        <v>45426.0</v>
      </c>
      <c r="F29" s="8">
        <v>1.0</v>
      </c>
      <c r="G29" s="40">
        <v>4000.0</v>
      </c>
      <c r="H29" s="40">
        <v>48000.0</v>
      </c>
      <c r="I29" s="40"/>
      <c r="J29" s="40"/>
    </row>
    <row r="30">
      <c r="B30" s="8" t="s">
        <v>140</v>
      </c>
      <c r="C30" s="8" t="s">
        <v>114</v>
      </c>
      <c r="D30" s="70">
        <v>43160.0</v>
      </c>
      <c r="E30" s="70">
        <v>45199.0</v>
      </c>
      <c r="F30" s="8">
        <v>1.0</v>
      </c>
      <c r="G30" s="40">
        <v>4100.0</v>
      </c>
      <c r="H30" s="40">
        <v>49200.0</v>
      </c>
      <c r="I30" s="40"/>
      <c r="J30" s="40"/>
    </row>
    <row r="31">
      <c r="B31" s="8" t="s">
        <v>141</v>
      </c>
      <c r="C31" s="8" t="s">
        <v>114</v>
      </c>
      <c r="D31" s="70">
        <v>44732.0</v>
      </c>
      <c r="E31" s="70">
        <v>45462.0</v>
      </c>
      <c r="F31" s="8">
        <v>3.0</v>
      </c>
      <c r="G31" s="40">
        <v>6000.0</v>
      </c>
      <c r="H31" s="40">
        <v>72000.0</v>
      </c>
      <c r="I31" s="40"/>
      <c r="J31" s="40"/>
    </row>
    <row r="32">
      <c r="B32" s="8" t="s">
        <v>142</v>
      </c>
      <c r="C32" s="8" t="s">
        <v>114</v>
      </c>
      <c r="D32" s="71">
        <v>44853.0</v>
      </c>
      <c r="E32" s="71">
        <v>45217.0</v>
      </c>
      <c r="F32" s="8">
        <v>1.0</v>
      </c>
      <c r="G32" s="40">
        <v>4000.0</v>
      </c>
      <c r="H32" s="40">
        <v>48000.0</v>
      </c>
      <c r="I32" s="40"/>
      <c r="J32" s="40"/>
    </row>
    <row r="33">
      <c r="B33" s="8" t="s">
        <v>143</v>
      </c>
      <c r="C33" s="8" t="s">
        <v>114</v>
      </c>
      <c r="D33" s="70">
        <v>45031.0</v>
      </c>
      <c r="E33" s="70">
        <v>45396.0</v>
      </c>
      <c r="F33" s="8">
        <v>2.0</v>
      </c>
      <c r="G33" s="40">
        <v>4600.0</v>
      </c>
      <c r="H33" s="40">
        <v>55200.0</v>
      </c>
      <c r="I33" s="40"/>
      <c r="J33" s="40"/>
    </row>
    <row r="34">
      <c r="B34" s="8" t="s">
        <v>144</v>
      </c>
      <c r="C34" s="8" t="s">
        <v>114</v>
      </c>
      <c r="D34" s="70">
        <v>45047.0</v>
      </c>
      <c r="E34" s="70">
        <v>45412.0</v>
      </c>
      <c r="F34" s="8">
        <v>0.0</v>
      </c>
      <c r="G34" s="40">
        <v>3400.0</v>
      </c>
      <c r="H34" s="40">
        <v>40800.0</v>
      </c>
      <c r="I34" s="40"/>
      <c r="J34" s="40"/>
    </row>
    <row r="35">
      <c r="B35" s="8" t="s">
        <v>145</v>
      </c>
      <c r="C35" s="8" t="s">
        <v>114</v>
      </c>
      <c r="D35" s="70">
        <v>44800.0</v>
      </c>
      <c r="E35" s="70">
        <v>45169.0</v>
      </c>
      <c r="F35" s="8">
        <v>2.0</v>
      </c>
      <c r="G35" s="40">
        <v>5400.0</v>
      </c>
      <c r="H35" s="40">
        <v>64800.0</v>
      </c>
      <c r="I35" s="40"/>
      <c r="J35" s="40"/>
    </row>
    <row r="36">
      <c r="B36" s="8" t="s">
        <v>146</v>
      </c>
      <c r="C36" s="8" t="s">
        <v>114</v>
      </c>
      <c r="D36" s="70">
        <v>45078.0</v>
      </c>
      <c r="E36" s="70">
        <v>45412.0</v>
      </c>
      <c r="F36" s="8">
        <v>1.0</v>
      </c>
      <c r="G36" s="40">
        <v>4000.0</v>
      </c>
      <c r="H36" s="40">
        <v>48000.0</v>
      </c>
      <c r="I36" s="40"/>
      <c r="J36" s="40"/>
    </row>
    <row r="37">
      <c r="B37" s="8" t="s">
        <v>147</v>
      </c>
      <c r="C37" s="8" t="s">
        <v>114</v>
      </c>
      <c r="D37" s="70">
        <v>44941.0</v>
      </c>
      <c r="E37" s="70">
        <v>45138.0</v>
      </c>
      <c r="F37" s="8">
        <v>1.0</v>
      </c>
      <c r="G37" s="40">
        <v>4000.0</v>
      </c>
      <c r="H37" s="40">
        <v>48000.0</v>
      </c>
      <c r="I37" s="40"/>
      <c r="J37" s="40"/>
    </row>
    <row r="38">
      <c r="B38" s="8" t="s">
        <v>148</v>
      </c>
      <c r="C38" s="8" t="s">
        <v>114</v>
      </c>
      <c r="D38" s="70">
        <v>45062.0</v>
      </c>
      <c r="E38" s="70">
        <v>45427.0</v>
      </c>
      <c r="F38" s="8">
        <v>3.0</v>
      </c>
      <c r="G38" s="40">
        <v>6000.0</v>
      </c>
      <c r="H38" s="40">
        <v>72000.0</v>
      </c>
      <c r="I38" s="40"/>
      <c r="J38" s="40"/>
    </row>
    <row r="39">
      <c r="B39" s="8" t="s">
        <v>149</v>
      </c>
      <c r="C39" s="8" t="s">
        <v>114</v>
      </c>
      <c r="D39" s="70">
        <v>44717.0</v>
      </c>
      <c r="E39" s="70">
        <v>45446.0</v>
      </c>
      <c r="F39" s="8">
        <v>1.0</v>
      </c>
      <c r="G39" s="40">
        <v>4000.0</v>
      </c>
      <c r="H39" s="40">
        <v>48000.0</v>
      </c>
      <c r="I39" s="40"/>
      <c r="J39" s="40"/>
    </row>
    <row r="40">
      <c r="B40" s="8" t="s">
        <v>150</v>
      </c>
      <c r="C40" s="8" t="s">
        <v>114</v>
      </c>
      <c r="D40" s="70">
        <v>45017.0</v>
      </c>
      <c r="E40" s="70">
        <v>45382.0</v>
      </c>
      <c r="F40" s="8">
        <v>2.0</v>
      </c>
      <c r="G40" s="40">
        <v>4395.0</v>
      </c>
      <c r="H40" s="40">
        <v>52740.0</v>
      </c>
      <c r="I40" s="40"/>
      <c r="J40" s="40"/>
    </row>
    <row r="41">
      <c r="B41" s="8" t="s">
        <v>151</v>
      </c>
      <c r="C41" s="8" t="s">
        <v>114</v>
      </c>
      <c r="D41" s="70">
        <v>45108.0</v>
      </c>
      <c r="E41" s="70">
        <v>45473.0</v>
      </c>
      <c r="F41" s="8">
        <v>0.0</v>
      </c>
      <c r="G41" s="40">
        <v>3500.0</v>
      </c>
      <c r="H41" s="40">
        <v>42000.0</v>
      </c>
      <c r="I41" s="40"/>
      <c r="J41" s="4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9.13"/>
    <col customWidth="1" min="4" max="4" width="58.63"/>
  </cols>
  <sheetData>
    <row r="2">
      <c r="B2" s="72" t="s">
        <v>152</v>
      </c>
      <c r="C2" s="73"/>
      <c r="D2" s="74"/>
    </row>
    <row r="3">
      <c r="B3" s="75" t="s">
        <v>153</v>
      </c>
      <c r="C3" s="76"/>
      <c r="D3" s="77" t="s">
        <v>154</v>
      </c>
    </row>
    <row r="4">
      <c r="B4" s="75" t="s">
        <v>155</v>
      </c>
      <c r="C4" s="76"/>
      <c r="D4" s="77" t="s">
        <v>156</v>
      </c>
    </row>
    <row r="5">
      <c r="B5" s="75" t="s">
        <v>157</v>
      </c>
      <c r="C5" s="76"/>
      <c r="D5" s="78">
        <v>44963.0</v>
      </c>
    </row>
    <row r="6">
      <c r="B6" s="75" t="s">
        <v>158</v>
      </c>
      <c r="C6" s="76"/>
      <c r="D6" s="78">
        <v>50464.0</v>
      </c>
    </row>
    <row r="7">
      <c r="B7" s="75" t="s">
        <v>159</v>
      </c>
      <c r="C7" s="76"/>
      <c r="D7" s="79">
        <v>581506.0</v>
      </c>
    </row>
    <row r="8">
      <c r="B8" s="75" t="s">
        <v>160</v>
      </c>
      <c r="C8" s="76"/>
      <c r="D8" s="77" t="s">
        <v>161</v>
      </c>
    </row>
    <row r="9">
      <c r="B9" s="75" t="s">
        <v>162</v>
      </c>
      <c r="C9" s="76"/>
      <c r="D9" s="80">
        <v>0.25</v>
      </c>
    </row>
    <row r="10">
      <c r="B10" s="75" t="s">
        <v>163</v>
      </c>
      <c r="C10" s="76"/>
      <c r="D10" s="79">
        <v>3419.0</v>
      </c>
    </row>
    <row r="11">
      <c r="B11" s="75" t="s">
        <v>164</v>
      </c>
      <c r="C11" s="76"/>
      <c r="D11" s="77" t="s">
        <v>165</v>
      </c>
    </row>
    <row r="12">
      <c r="B12" s="75" t="s">
        <v>166</v>
      </c>
      <c r="C12" s="76"/>
      <c r="D12" s="77" t="s">
        <v>165</v>
      </c>
    </row>
    <row r="13">
      <c r="B13" s="75" t="s">
        <v>167</v>
      </c>
      <c r="C13" s="76"/>
      <c r="D13" s="77" t="s">
        <v>168</v>
      </c>
    </row>
    <row r="14">
      <c r="B14" s="75" t="s">
        <v>169</v>
      </c>
      <c r="C14" s="76"/>
      <c r="D14" s="77" t="s">
        <v>170</v>
      </c>
    </row>
    <row r="15">
      <c r="B15" s="75" t="s">
        <v>171</v>
      </c>
      <c r="C15" s="76"/>
      <c r="D15" s="79">
        <v>39000.0</v>
      </c>
    </row>
    <row r="16">
      <c r="B16" s="75" t="s">
        <v>172</v>
      </c>
      <c r="C16" s="76"/>
      <c r="D16" s="77" t="s">
        <v>173</v>
      </c>
    </row>
    <row r="17">
      <c r="B17" s="81" t="s">
        <v>174</v>
      </c>
      <c r="C17" s="82"/>
      <c r="D17" s="83" t="s">
        <v>175</v>
      </c>
    </row>
    <row r="18">
      <c r="B18" s="84"/>
      <c r="C18" s="84"/>
    </row>
    <row r="19">
      <c r="B19" s="84"/>
      <c r="C19" s="84"/>
    </row>
    <row r="20">
      <c r="B20" s="72" t="s">
        <v>176</v>
      </c>
      <c r="C20" s="73"/>
      <c r="D20" s="74"/>
    </row>
    <row r="21">
      <c r="B21" s="75" t="s">
        <v>153</v>
      </c>
      <c r="C21" s="76"/>
      <c r="D21" s="77" t="s">
        <v>177</v>
      </c>
    </row>
    <row r="22">
      <c r="B22" s="75" t="s">
        <v>155</v>
      </c>
      <c r="C22" s="76"/>
      <c r="D22" s="77" t="s">
        <v>178</v>
      </c>
    </row>
    <row r="23">
      <c r="B23" s="75" t="s">
        <v>179</v>
      </c>
      <c r="C23" s="76"/>
      <c r="D23" s="78">
        <v>44931.0</v>
      </c>
    </row>
    <row r="24">
      <c r="B24" s="75" t="s">
        <v>157</v>
      </c>
      <c r="C24" s="76"/>
      <c r="D24" s="78">
        <v>44936.0</v>
      </c>
    </row>
    <row r="25">
      <c r="B25" s="75" t="s">
        <v>158</v>
      </c>
      <c r="C25" s="76"/>
      <c r="D25" s="79">
        <v>48791.0</v>
      </c>
    </row>
    <row r="26">
      <c r="B26" s="75" t="s">
        <v>180</v>
      </c>
      <c r="C26" s="76"/>
      <c r="D26" s="77">
        <v>581506.0</v>
      </c>
    </row>
    <row r="27">
      <c r="B27" s="75" t="s">
        <v>160</v>
      </c>
      <c r="C27" s="76"/>
      <c r="D27" s="80" t="s">
        <v>161</v>
      </c>
    </row>
    <row r="28">
      <c r="B28" s="75" t="s">
        <v>162</v>
      </c>
      <c r="C28" s="76"/>
      <c r="D28" s="79">
        <v>0.14</v>
      </c>
    </row>
    <row r="29">
      <c r="B29" s="75" t="s">
        <v>163</v>
      </c>
      <c r="C29" s="76"/>
      <c r="D29" s="77">
        <v>1915.0</v>
      </c>
    </row>
    <row r="30">
      <c r="B30" s="75" t="s">
        <v>164</v>
      </c>
      <c r="C30" s="76"/>
      <c r="D30" s="77" t="s">
        <v>165</v>
      </c>
    </row>
    <row r="31">
      <c r="B31" s="75" t="s">
        <v>166</v>
      </c>
      <c r="C31" s="76"/>
      <c r="D31" s="77" t="s">
        <v>165</v>
      </c>
    </row>
    <row r="32">
      <c r="B32" s="75" t="s">
        <v>167</v>
      </c>
      <c r="C32" s="76"/>
      <c r="D32" s="77" t="s">
        <v>168</v>
      </c>
    </row>
    <row r="33">
      <c r="B33" s="75" t="s">
        <v>171</v>
      </c>
      <c r="C33" s="76"/>
      <c r="D33" s="79">
        <v>84000.0</v>
      </c>
    </row>
    <row r="34">
      <c r="B34" s="75" t="s">
        <v>172</v>
      </c>
      <c r="C34" s="76"/>
      <c r="D34" s="77" t="s">
        <v>181</v>
      </c>
    </row>
    <row r="35">
      <c r="B35" s="81"/>
      <c r="C35" s="82"/>
      <c r="D35" s="83"/>
    </row>
  </sheetData>
  <drawing r:id="rId1"/>
</worksheet>
</file>