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ropbox\users\作業中業務\UA_etaA_3rooms_make_json\"/>
    </mc:Choice>
  </mc:AlternateContent>
  <xr:revisionPtr revIDLastSave="0" documentId="13_ncr:1_{267B03A3-026B-465A-8860-83C380D7C573}" xr6:coauthVersionLast="47" xr6:coauthVersionMax="47" xr10:uidLastSave="{00000000-0000-0000-0000-000000000000}"/>
  <bookViews>
    <workbookView xWindow="2340" yWindow="2340" windowWidth="21600" windowHeight="11295" tabRatio="901" firstSheet="7" activeTab="12" xr2:uid="{5A7502D6-F360-487A-943D-DEFF92BF59DC}"/>
  </bookViews>
  <sheets>
    <sheet name="室気積" sheetId="17" r:id="rId1"/>
    <sheet name="計算条件" sheetId="1" r:id="rId2"/>
    <sheet name="外皮面積" sheetId="19" r:id="rId3"/>
    <sheet name="断熱材の厚さ" sheetId="22" r:id="rId4"/>
    <sheet name="common" sheetId="13" r:id="rId5"/>
    <sheet name="building" sheetId="12" r:id="rId6"/>
    <sheet name="rooms" sheetId="11" r:id="rId7"/>
    <sheet name="external_general_parts" sheetId="10" r:id="rId8"/>
    <sheet name="external_opaque_parts" sheetId="6" r:id="rId9"/>
    <sheet name="external_transparent_parts" sheetId="4" r:id="rId10"/>
    <sheet name="internals" sheetId="8" r:id="rId11"/>
    <sheet name="内壁" sheetId="24" r:id="rId12"/>
    <sheet name="grounds" sheetId="9" r:id="rId13"/>
    <sheet name="layers" sheetId="7" r:id="rId14"/>
    <sheet name="ケース名" sheetId="5" r:id="rId15"/>
    <sheet name="スケジュール名" sheetId="16" r:id="rId16"/>
    <sheet name="外壁面積の計算" sheetId="14" r:id="rId17"/>
    <sheet name="断熱材仕様" sheetId="2" r:id="rId18"/>
    <sheet name="開口部 U値η値" sheetId="3" r:id="rId19"/>
    <sheet name="砂川さんエクセルデータ" sheetId="21" r:id="rId20"/>
    <sheet name="方位係数" sheetId="20" r:id="rId21"/>
    <sheet name="窓面積" sheetId="23" r:id="rId22"/>
  </sheets>
  <definedNames>
    <definedName name="_xlnm._FilterDatabase" localSheetId="7" hidden="1">external_general_parts!$A$1:$J$57</definedName>
    <definedName name="_xlnm._FilterDatabase" localSheetId="9" hidden="1">external_transparent_parts!$A$1:$O$31</definedName>
    <definedName name="_xlnm._FilterDatabase" localSheetId="10" hidden="1">internals!$A$1:$L$69</definedName>
    <definedName name="_xlnm._FilterDatabase" localSheetId="16" hidden="1">外壁面積の計算!$A$1:$N$57</definedName>
    <definedName name="_xlnm._FilterDatabase" localSheetId="1" hidden="1">計算条件!$A$1:$F$1</definedName>
    <definedName name="_xlnm._FilterDatabase" localSheetId="19" hidden="1">砂川さんエクセルデータ!$A$1:$F$51</definedName>
    <definedName name="_xlnm._FilterDatabase" localSheetId="21" hidden="1">窓面積!$A$1:$F$18</definedName>
    <definedName name="_xlnm._FilterDatabase" localSheetId="11" hidden="1">内壁!$A$72:$M$156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6" l="1"/>
  <c r="B4" i="10"/>
  <c r="B5" i="10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3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2" i="10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C2" i="10"/>
  <c r="D2" i="10"/>
  <c r="C3" i="10"/>
  <c r="D3" i="10"/>
  <c r="C4" i="10"/>
  <c r="D4" i="10"/>
  <c r="C5" i="10"/>
  <c r="D5" i="10"/>
  <c r="C6" i="10"/>
  <c r="D6" i="10"/>
  <c r="C7" i="10"/>
  <c r="D7" i="10"/>
  <c r="C8" i="10"/>
  <c r="D8" i="10"/>
  <c r="C9" i="10"/>
  <c r="D9" i="10"/>
  <c r="C10" i="10"/>
  <c r="D10" i="10"/>
  <c r="C11" i="10"/>
  <c r="D11" i="10"/>
  <c r="C12" i="10"/>
  <c r="D12" i="10"/>
  <c r="C13" i="10"/>
  <c r="D13" i="10"/>
  <c r="C14" i="10"/>
  <c r="D14" i="10"/>
  <c r="C15" i="10"/>
  <c r="D15" i="10"/>
  <c r="F60" i="14" l="1"/>
  <c r="F61" i="14"/>
  <c r="F62" i="14"/>
  <c r="F63" i="14"/>
  <c r="F64" i="14"/>
  <c r="F65" i="14"/>
  <c r="F66" i="14"/>
  <c r="F67" i="14"/>
  <c r="F68" i="14"/>
  <c r="F69" i="14"/>
  <c r="F70" i="14"/>
  <c r="F71" i="14"/>
  <c r="F72" i="14"/>
  <c r="F59" i="14"/>
  <c r="I3" i="11" l="1"/>
  <c r="I2" i="11"/>
  <c r="E2" i="4"/>
  <c r="E7" i="4"/>
  <c r="E8" i="4"/>
  <c r="E9" i="4"/>
  <c r="E10" i="4"/>
  <c r="E15" i="4"/>
  <c r="E17" i="4"/>
  <c r="E18" i="4"/>
  <c r="J20" i="8"/>
  <c r="K20" i="8"/>
  <c r="L20" i="8"/>
  <c r="J19" i="8"/>
  <c r="K19" i="8"/>
  <c r="L19" i="8"/>
  <c r="J17" i="8"/>
  <c r="K17" i="8"/>
  <c r="L17" i="8"/>
  <c r="J18" i="8"/>
  <c r="K18" i="8"/>
  <c r="L18" i="8"/>
  <c r="J15" i="8"/>
  <c r="K15" i="8"/>
  <c r="L15" i="8"/>
  <c r="J16" i="8"/>
  <c r="K16" i="8"/>
  <c r="L16" i="8"/>
  <c r="J13" i="8"/>
  <c r="K13" i="8"/>
  <c r="L13" i="8"/>
  <c r="J14" i="8"/>
  <c r="K14" i="8"/>
  <c r="L14" i="8"/>
  <c r="J10" i="8"/>
  <c r="K10" i="8"/>
  <c r="L10" i="8"/>
  <c r="J11" i="8"/>
  <c r="K11" i="8"/>
  <c r="L11" i="8"/>
  <c r="J12" i="8"/>
  <c r="K12" i="8"/>
  <c r="L12" i="8"/>
  <c r="J9" i="8"/>
  <c r="K9" i="8"/>
  <c r="L9" i="8"/>
  <c r="J8" i="8"/>
  <c r="K8" i="8"/>
  <c r="L8" i="8"/>
  <c r="J7" i="8"/>
  <c r="K7" i="8"/>
  <c r="L7" i="8"/>
  <c r="J6" i="8"/>
  <c r="K6" i="8"/>
  <c r="L6" i="8"/>
  <c r="J5" i="8"/>
  <c r="K5" i="8"/>
  <c r="L5" i="8"/>
  <c r="J4" i="8"/>
  <c r="K4" i="8"/>
  <c r="L4" i="8"/>
  <c r="J3" i="8"/>
  <c r="K3" i="8"/>
  <c r="L3" i="8"/>
  <c r="J2" i="8"/>
  <c r="K2" i="8"/>
  <c r="L2" i="8"/>
  <c r="D20" i="8"/>
  <c r="E20" i="8"/>
  <c r="D19" i="8"/>
  <c r="E19" i="8"/>
  <c r="D17" i="8"/>
  <c r="E17" i="8"/>
  <c r="D18" i="8"/>
  <c r="E18" i="8"/>
  <c r="D15" i="8"/>
  <c r="E15" i="8"/>
  <c r="D16" i="8"/>
  <c r="E16" i="8"/>
  <c r="D13" i="8"/>
  <c r="E13" i="8"/>
  <c r="D14" i="8"/>
  <c r="E14" i="8"/>
  <c r="D10" i="8"/>
  <c r="E10" i="8"/>
  <c r="D11" i="8"/>
  <c r="E11" i="8"/>
  <c r="D12" i="8"/>
  <c r="E12" i="8"/>
  <c r="D9" i="8"/>
  <c r="E9" i="8"/>
  <c r="D8" i="8"/>
  <c r="E8" i="8"/>
  <c r="D7" i="8"/>
  <c r="E7" i="8"/>
  <c r="D6" i="8"/>
  <c r="E6" i="8"/>
  <c r="D5" i="8"/>
  <c r="E5" i="8"/>
  <c r="D4" i="8"/>
  <c r="E4" i="8"/>
  <c r="D3" i="8"/>
  <c r="E3" i="8"/>
  <c r="D2" i="8"/>
  <c r="E2" i="8"/>
  <c r="J156" i="24"/>
  <c r="J153" i="24"/>
  <c r="J149" i="24"/>
  <c r="J146" i="24"/>
  <c r="J145" i="24"/>
  <c r="J143" i="24"/>
  <c r="J142" i="24"/>
  <c r="J141" i="24"/>
  <c r="J140" i="24"/>
  <c r="J139" i="24"/>
  <c r="J136" i="24"/>
  <c r="J133" i="24"/>
  <c r="J129" i="24"/>
  <c r="J126" i="24"/>
  <c r="J120" i="24"/>
  <c r="J119" i="24"/>
  <c r="J118" i="24"/>
  <c r="J112" i="24"/>
  <c r="J100" i="24"/>
  <c r="J99" i="24"/>
  <c r="J98" i="24"/>
  <c r="J97" i="24"/>
  <c r="J94" i="24"/>
  <c r="J91" i="24"/>
  <c r="J80" i="24"/>
  <c r="J79" i="24"/>
  <c r="J78" i="24"/>
  <c r="J77" i="24"/>
  <c r="J74" i="24"/>
  <c r="A156" i="24"/>
  <c r="A155" i="24"/>
  <c r="J155" i="24" s="1"/>
  <c r="A154" i="24"/>
  <c r="J154" i="24" s="1"/>
  <c r="A153" i="24"/>
  <c r="A152" i="24"/>
  <c r="J152" i="24" s="1"/>
  <c r="A151" i="24"/>
  <c r="J151" i="24" s="1"/>
  <c r="A150" i="24"/>
  <c r="J150" i="24" s="1"/>
  <c r="A149" i="24"/>
  <c r="A148" i="24"/>
  <c r="J148" i="24" s="1"/>
  <c r="A147" i="24"/>
  <c r="J147" i="24" s="1"/>
  <c r="A146" i="24"/>
  <c r="A145" i="24"/>
  <c r="A144" i="24"/>
  <c r="J144" i="24" s="1"/>
  <c r="A143" i="24"/>
  <c r="A142" i="24"/>
  <c r="A141" i="24"/>
  <c r="A140" i="24"/>
  <c r="A139" i="24"/>
  <c r="A138" i="24"/>
  <c r="J138" i="24" s="1"/>
  <c r="A137" i="24"/>
  <c r="J137" i="24" s="1"/>
  <c r="A136" i="24"/>
  <c r="A135" i="24"/>
  <c r="J135" i="24" s="1"/>
  <c r="A134" i="24"/>
  <c r="J134" i="24" s="1"/>
  <c r="A133" i="24"/>
  <c r="A132" i="24"/>
  <c r="J132" i="24" s="1"/>
  <c r="A131" i="24"/>
  <c r="J131" i="24" s="1"/>
  <c r="A130" i="24"/>
  <c r="J130" i="24" s="1"/>
  <c r="A129" i="24"/>
  <c r="A128" i="24"/>
  <c r="J128" i="24" s="1"/>
  <c r="A127" i="24"/>
  <c r="J127" i="24" s="1"/>
  <c r="A126" i="24"/>
  <c r="A125" i="24"/>
  <c r="J125" i="24" s="1"/>
  <c r="A124" i="24"/>
  <c r="J124" i="24" s="1"/>
  <c r="A123" i="24"/>
  <c r="J123" i="24" s="1"/>
  <c r="A122" i="24"/>
  <c r="J122" i="24" s="1"/>
  <c r="A121" i="24"/>
  <c r="J121" i="24" s="1"/>
  <c r="A120" i="24"/>
  <c r="A119" i="24"/>
  <c r="A118" i="24"/>
  <c r="A117" i="24"/>
  <c r="J117" i="24" s="1"/>
  <c r="A116" i="24"/>
  <c r="J116" i="24" s="1"/>
  <c r="A115" i="24"/>
  <c r="J115" i="24" s="1"/>
  <c r="A114" i="24"/>
  <c r="J114" i="24" s="1"/>
  <c r="A113" i="24"/>
  <c r="J113" i="24" s="1"/>
  <c r="A112" i="24"/>
  <c r="A111" i="24"/>
  <c r="J111" i="24" s="1"/>
  <c r="A110" i="24"/>
  <c r="J110" i="24" s="1"/>
  <c r="A109" i="24"/>
  <c r="J109" i="24" s="1"/>
  <c r="A108" i="24"/>
  <c r="J108" i="24" s="1"/>
  <c r="A107" i="24"/>
  <c r="J107" i="24" s="1"/>
  <c r="A106" i="24"/>
  <c r="J106" i="24" s="1"/>
  <c r="A105" i="24"/>
  <c r="J105" i="24" s="1"/>
  <c r="A104" i="24"/>
  <c r="J104" i="24" s="1"/>
  <c r="A103" i="24"/>
  <c r="J103" i="24" s="1"/>
  <c r="A102" i="24"/>
  <c r="J102" i="24" s="1"/>
  <c r="A101" i="24"/>
  <c r="J101" i="24" s="1"/>
  <c r="A100" i="24"/>
  <c r="A99" i="24"/>
  <c r="A98" i="24"/>
  <c r="A97" i="24"/>
  <c r="A96" i="24"/>
  <c r="J96" i="24" s="1"/>
  <c r="A95" i="24"/>
  <c r="J95" i="24" s="1"/>
  <c r="A94" i="24"/>
  <c r="A93" i="24"/>
  <c r="J93" i="24" s="1"/>
  <c r="A92" i="24"/>
  <c r="J92" i="24" s="1"/>
  <c r="A91" i="24"/>
  <c r="A90" i="24"/>
  <c r="J90" i="24" s="1"/>
  <c r="A89" i="24"/>
  <c r="J89" i="24" s="1"/>
  <c r="A88" i="24"/>
  <c r="J88" i="24" s="1"/>
  <c r="A87" i="24"/>
  <c r="J87" i="24" s="1"/>
  <c r="A86" i="24"/>
  <c r="J86" i="24" s="1"/>
  <c r="A85" i="24"/>
  <c r="J85" i="24" s="1"/>
  <c r="A84" i="24"/>
  <c r="J84" i="24" s="1"/>
  <c r="A83" i="24"/>
  <c r="J83" i="24" s="1"/>
  <c r="A82" i="24"/>
  <c r="J82" i="24" s="1"/>
  <c r="A81" i="24"/>
  <c r="J81" i="24" s="1"/>
  <c r="A80" i="24"/>
  <c r="A79" i="24"/>
  <c r="A78" i="24"/>
  <c r="A77" i="24"/>
  <c r="A76" i="24"/>
  <c r="J76" i="24" s="1"/>
  <c r="A75" i="24"/>
  <c r="J75" i="24" s="1"/>
  <c r="A74" i="24"/>
  <c r="A73" i="24"/>
  <c r="J73" i="24" s="1"/>
  <c r="M3" i="24"/>
  <c r="M4" i="24"/>
  <c r="M5" i="24"/>
  <c r="M6" i="24"/>
  <c r="M7" i="24"/>
  <c r="M8" i="24"/>
  <c r="M9" i="24"/>
  <c r="M10" i="24"/>
  <c r="M11" i="24"/>
  <c r="M12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M25" i="24"/>
  <c r="M26" i="24"/>
  <c r="M27" i="24"/>
  <c r="M28" i="24"/>
  <c r="M29" i="24"/>
  <c r="M30" i="24"/>
  <c r="M31" i="24"/>
  <c r="M32" i="24"/>
  <c r="M33" i="24"/>
  <c r="M34" i="24"/>
  <c r="M35" i="24"/>
  <c r="M36" i="24"/>
  <c r="M37" i="24"/>
  <c r="M38" i="24"/>
  <c r="M39" i="24"/>
  <c r="M40" i="24"/>
  <c r="M41" i="24"/>
  <c r="M42" i="24"/>
  <c r="M43" i="24"/>
  <c r="M44" i="24"/>
  <c r="M45" i="24"/>
  <c r="M46" i="24"/>
  <c r="M47" i="24"/>
  <c r="M48" i="24"/>
  <c r="M49" i="24"/>
  <c r="M50" i="24"/>
  <c r="M51" i="24"/>
  <c r="M52" i="24"/>
  <c r="M53" i="24"/>
  <c r="M54" i="24"/>
  <c r="M55" i="24"/>
  <c r="M56" i="24"/>
  <c r="M57" i="24"/>
  <c r="M58" i="24"/>
  <c r="M59" i="24"/>
  <c r="M60" i="24"/>
  <c r="M61" i="24"/>
  <c r="M62" i="24"/>
  <c r="M63" i="24"/>
  <c r="M64" i="24"/>
  <c r="M2" i="24"/>
  <c r="I64" i="24"/>
  <c r="H64" i="24"/>
  <c r="I63" i="24"/>
  <c r="H63" i="24"/>
  <c r="I62" i="24"/>
  <c r="H62" i="24"/>
  <c r="I61" i="24"/>
  <c r="H61" i="24"/>
  <c r="I60" i="24"/>
  <c r="H60" i="24"/>
  <c r="I59" i="24"/>
  <c r="H59" i="24"/>
  <c r="I58" i="24"/>
  <c r="H58" i="24"/>
  <c r="I57" i="24"/>
  <c r="H57" i="24"/>
  <c r="I56" i="24"/>
  <c r="H56" i="24"/>
  <c r="I55" i="24"/>
  <c r="H55" i="24"/>
  <c r="I54" i="24"/>
  <c r="H54" i="24"/>
  <c r="I53" i="24"/>
  <c r="H53" i="24"/>
  <c r="I52" i="24"/>
  <c r="H52" i="24"/>
  <c r="I51" i="24"/>
  <c r="H51" i="24"/>
  <c r="I50" i="24"/>
  <c r="H50" i="24"/>
  <c r="I49" i="24"/>
  <c r="H49" i="24"/>
  <c r="I48" i="24"/>
  <c r="H48" i="24"/>
  <c r="I47" i="24"/>
  <c r="H47" i="24"/>
  <c r="I46" i="24"/>
  <c r="H46" i="24"/>
  <c r="I45" i="24"/>
  <c r="H45" i="24"/>
  <c r="I44" i="24"/>
  <c r="H44" i="24"/>
  <c r="I43" i="24"/>
  <c r="H43" i="24"/>
  <c r="I42" i="24"/>
  <c r="H42" i="24"/>
  <c r="I41" i="24"/>
  <c r="H41" i="24"/>
  <c r="I40" i="24"/>
  <c r="H40" i="24"/>
  <c r="I39" i="24"/>
  <c r="H39" i="24"/>
  <c r="I38" i="24"/>
  <c r="H38" i="24"/>
  <c r="I37" i="24"/>
  <c r="H37" i="24"/>
  <c r="I36" i="24"/>
  <c r="H36" i="24"/>
  <c r="I35" i="24"/>
  <c r="H35" i="24"/>
  <c r="I34" i="24"/>
  <c r="H34" i="24"/>
  <c r="I33" i="24"/>
  <c r="H33" i="24"/>
  <c r="I32" i="24"/>
  <c r="H32" i="24"/>
  <c r="I31" i="24"/>
  <c r="H31" i="24"/>
  <c r="I30" i="24"/>
  <c r="H30" i="24"/>
  <c r="I29" i="24"/>
  <c r="H29" i="24"/>
  <c r="I28" i="24"/>
  <c r="H28" i="24"/>
  <c r="I27" i="24"/>
  <c r="H27" i="24"/>
  <c r="I26" i="24"/>
  <c r="H26" i="24"/>
  <c r="I25" i="24"/>
  <c r="H25" i="24"/>
  <c r="I24" i="24"/>
  <c r="H24" i="24"/>
  <c r="I23" i="24"/>
  <c r="H23" i="24"/>
  <c r="I22" i="24"/>
  <c r="H22" i="24"/>
  <c r="I21" i="24"/>
  <c r="H21" i="24"/>
  <c r="I20" i="24"/>
  <c r="H20" i="24"/>
  <c r="I19" i="24"/>
  <c r="H19" i="24"/>
  <c r="I18" i="24"/>
  <c r="H18" i="24"/>
  <c r="I17" i="24"/>
  <c r="H17" i="24"/>
  <c r="I16" i="24"/>
  <c r="H16" i="24"/>
  <c r="I15" i="24"/>
  <c r="H15" i="24"/>
  <c r="I14" i="24"/>
  <c r="H14" i="24"/>
  <c r="I13" i="24"/>
  <c r="H13" i="24"/>
  <c r="I12" i="24"/>
  <c r="H12" i="24"/>
  <c r="I11" i="24"/>
  <c r="H11" i="24"/>
  <c r="I10" i="24"/>
  <c r="H10" i="24"/>
  <c r="I9" i="24"/>
  <c r="H9" i="24"/>
  <c r="I8" i="24"/>
  <c r="H8" i="24"/>
  <c r="I7" i="24"/>
  <c r="H7" i="24"/>
  <c r="I6" i="24"/>
  <c r="H6" i="24"/>
  <c r="I5" i="24"/>
  <c r="H5" i="24"/>
  <c r="I4" i="24"/>
  <c r="H4" i="24"/>
  <c r="I3" i="24"/>
  <c r="H3" i="24"/>
  <c r="I2" i="24"/>
  <c r="H2" i="24"/>
  <c r="I5" i="1"/>
  <c r="H2" i="11" s="1"/>
  <c r="H3" i="11" l="1"/>
  <c r="H4" i="11"/>
  <c r="C4" i="17"/>
  <c r="E4" i="17" s="1"/>
  <c r="F4" i="17" s="1"/>
  <c r="D4" i="17"/>
  <c r="C3" i="17"/>
  <c r="D3" i="17"/>
  <c r="L5" i="7"/>
  <c r="F6" i="7"/>
  <c r="F5" i="7"/>
  <c r="I7" i="7"/>
  <c r="B3" i="20"/>
  <c r="C3" i="20"/>
  <c r="D3" i="20"/>
  <c r="E3" i="20"/>
  <c r="F3" i="20"/>
  <c r="G3" i="20"/>
  <c r="H3" i="20"/>
  <c r="I3" i="20"/>
  <c r="J3" i="20"/>
  <c r="K3" i="20"/>
  <c r="L3" i="20"/>
  <c r="M3" i="20"/>
  <c r="B4" i="20"/>
  <c r="C4" i="20"/>
  <c r="D4" i="20"/>
  <c r="E4" i="20"/>
  <c r="F4" i="20"/>
  <c r="G4" i="20"/>
  <c r="H4" i="20"/>
  <c r="I4" i="20"/>
  <c r="J4" i="20"/>
  <c r="K4" i="20"/>
  <c r="L4" i="20"/>
  <c r="M4" i="20"/>
  <c r="B5" i="20"/>
  <c r="C5" i="20"/>
  <c r="D5" i="20"/>
  <c r="E5" i="20"/>
  <c r="F5" i="20"/>
  <c r="G5" i="20"/>
  <c r="H5" i="20"/>
  <c r="I5" i="20"/>
  <c r="J5" i="20"/>
  <c r="K5" i="20"/>
  <c r="L5" i="20"/>
  <c r="M5" i="20"/>
  <c r="B6" i="20"/>
  <c r="C6" i="20"/>
  <c r="D6" i="20"/>
  <c r="E6" i="20"/>
  <c r="F6" i="20"/>
  <c r="G6" i="20"/>
  <c r="H6" i="20"/>
  <c r="I6" i="20"/>
  <c r="J6" i="20"/>
  <c r="K6" i="20"/>
  <c r="L6" i="20"/>
  <c r="M6" i="20"/>
  <c r="B7" i="20"/>
  <c r="C7" i="20"/>
  <c r="D7" i="20"/>
  <c r="E7" i="20"/>
  <c r="F7" i="20"/>
  <c r="G7" i="20"/>
  <c r="H7" i="20"/>
  <c r="I7" i="20"/>
  <c r="J7" i="20"/>
  <c r="K7" i="20"/>
  <c r="L7" i="20"/>
  <c r="M7" i="20"/>
  <c r="B8" i="20"/>
  <c r="C8" i="20"/>
  <c r="D8" i="20"/>
  <c r="E8" i="20"/>
  <c r="F8" i="20"/>
  <c r="G8" i="20"/>
  <c r="H8" i="20"/>
  <c r="I8" i="20"/>
  <c r="J8" i="20"/>
  <c r="K8" i="20"/>
  <c r="L8" i="20"/>
  <c r="M8" i="20"/>
  <c r="B9" i="20"/>
  <c r="C9" i="20"/>
  <c r="D9" i="20"/>
  <c r="E9" i="20"/>
  <c r="F9" i="20"/>
  <c r="G9" i="20"/>
  <c r="H9" i="20"/>
  <c r="I9" i="20"/>
  <c r="J9" i="20"/>
  <c r="K9" i="20"/>
  <c r="L9" i="20"/>
  <c r="M9" i="20"/>
  <c r="B10" i="20"/>
  <c r="C10" i="20"/>
  <c r="D10" i="20"/>
  <c r="E10" i="20"/>
  <c r="F10" i="20"/>
  <c r="G10" i="20"/>
  <c r="H10" i="20"/>
  <c r="I10" i="20"/>
  <c r="J10" i="20"/>
  <c r="K10" i="20"/>
  <c r="L10" i="20"/>
  <c r="M10" i="20"/>
  <c r="E3" i="17" l="1"/>
  <c r="F3" i="17" s="1"/>
  <c r="B26" i="22"/>
  <c r="H7" i="19"/>
  <c r="B7" i="19"/>
  <c r="J3" i="19"/>
  <c r="T9" i="19"/>
  <c r="T10" i="19" a="1"/>
  <c r="T10" i="19" s="1"/>
  <c r="T11" i="19" a="1"/>
  <c r="T11" i="19" s="1"/>
  <c r="C24" i="23"/>
  <c r="B24" i="23"/>
  <c r="C23" i="23"/>
  <c r="B23" i="23"/>
  <c r="C22" i="23" l="1"/>
  <c r="B22" i="23"/>
  <c r="C21" i="23"/>
  <c r="B21" i="23"/>
  <c r="H3" i="1"/>
  <c r="M27" i="22" l="1"/>
  <c r="M25" i="22"/>
  <c r="B25" i="22" s="1"/>
  <c r="I26" i="22"/>
  <c r="J27" i="22"/>
  <c r="F26" i="22"/>
  <c r="V25" i="22"/>
  <c r="R25" i="22"/>
  <c r="F25" i="22"/>
  <c r="F3" i="22" l="1"/>
  <c r="F2" i="22"/>
  <c r="V2" i="22"/>
  <c r="R2" i="22"/>
  <c r="J4" i="22"/>
  <c r="J7" i="22"/>
  <c r="F6" i="22"/>
  <c r="F5" i="22"/>
  <c r="F8" i="22"/>
  <c r="L19" i="14" l="1"/>
  <c r="K19" i="14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I2" i="8"/>
  <c r="H2" i="8"/>
  <c r="AC31" i="3"/>
  <c r="AC30" i="3"/>
  <c r="AC29" i="3"/>
  <c r="AC28" i="3"/>
  <c r="AC27" i="3"/>
  <c r="AC26" i="3"/>
  <c r="Y31" i="3"/>
  <c r="Y30" i="3"/>
  <c r="Y29" i="3"/>
  <c r="Y28" i="3"/>
  <c r="Y27" i="3"/>
  <c r="Y26" i="3"/>
  <c r="U31" i="3"/>
  <c r="U30" i="3"/>
  <c r="U29" i="3"/>
  <c r="U28" i="3"/>
  <c r="U27" i="3"/>
  <c r="U26" i="3"/>
  <c r="Q31" i="3"/>
  <c r="Q30" i="3"/>
  <c r="AG31" i="3"/>
  <c r="AG30" i="3"/>
  <c r="M31" i="3"/>
  <c r="M30" i="3"/>
  <c r="M29" i="3"/>
  <c r="M28" i="3"/>
  <c r="M27" i="3"/>
  <c r="M26" i="3"/>
  <c r="I31" i="3"/>
  <c r="I30" i="3"/>
  <c r="I29" i="3"/>
  <c r="I28" i="3"/>
  <c r="I27" i="3"/>
  <c r="I26" i="3"/>
  <c r="E31" i="3"/>
  <c r="E30" i="3"/>
  <c r="M24" i="3"/>
  <c r="M23" i="3"/>
  <c r="M22" i="3"/>
  <c r="M21" i="3"/>
  <c r="M20" i="3"/>
  <c r="M19" i="3"/>
  <c r="I24" i="3"/>
  <c r="I23" i="3"/>
  <c r="I22" i="3"/>
  <c r="I21" i="3"/>
  <c r="I20" i="3"/>
  <c r="I19" i="3"/>
  <c r="E24" i="3"/>
  <c r="E23" i="3"/>
  <c r="E22" i="3"/>
  <c r="E21" i="3"/>
  <c r="E20" i="3"/>
  <c r="E19" i="3"/>
  <c r="I17" i="3"/>
  <c r="I16" i="3"/>
  <c r="I15" i="3"/>
  <c r="I14" i="3"/>
  <c r="I13" i="3"/>
  <c r="I12" i="3"/>
  <c r="E17" i="3"/>
  <c r="E16" i="3"/>
  <c r="AC24" i="3"/>
  <c r="AC23" i="3"/>
  <c r="AC22" i="3"/>
  <c r="AC21" i="3"/>
  <c r="AC20" i="3"/>
  <c r="AC19" i="3"/>
  <c r="Y24" i="3"/>
  <c r="Y23" i="3"/>
  <c r="Y22" i="3"/>
  <c r="Y21" i="3"/>
  <c r="Y20" i="3"/>
  <c r="Y19" i="3"/>
  <c r="U24" i="3"/>
  <c r="U23" i="3"/>
  <c r="U22" i="3"/>
  <c r="U21" i="3"/>
  <c r="U20" i="3"/>
  <c r="U19" i="3"/>
  <c r="Q17" i="3"/>
  <c r="Q16" i="3"/>
  <c r="Q15" i="3"/>
  <c r="Q14" i="3"/>
  <c r="Q13" i="3"/>
  <c r="Q12" i="3"/>
  <c r="M10" i="3"/>
  <c r="M9" i="3"/>
  <c r="AG24" i="3"/>
  <c r="AG23" i="3"/>
  <c r="AG22" i="3"/>
  <c r="AG21" i="3"/>
  <c r="AG20" i="3"/>
  <c r="AG19" i="3"/>
  <c r="AG17" i="3"/>
  <c r="AG16" i="3"/>
  <c r="AG15" i="3"/>
  <c r="AG14" i="3"/>
  <c r="AG13" i="3"/>
  <c r="AG12" i="3"/>
  <c r="AC17" i="3"/>
  <c r="AC16" i="3"/>
  <c r="AC15" i="3"/>
  <c r="AC14" i="3"/>
  <c r="AC13" i="3"/>
  <c r="AC12" i="3"/>
  <c r="Y17" i="3"/>
  <c r="Y16" i="3"/>
  <c r="Y15" i="3"/>
  <c r="Y14" i="3"/>
  <c r="Y13" i="3"/>
  <c r="Y12" i="3"/>
  <c r="U17" i="3"/>
  <c r="U16" i="3"/>
  <c r="U15" i="3"/>
  <c r="U14" i="3"/>
  <c r="U13" i="3"/>
  <c r="U12" i="3"/>
  <c r="AG10" i="3"/>
  <c r="AG9" i="3"/>
  <c r="AG8" i="3"/>
  <c r="AG7" i="3"/>
  <c r="AG6" i="3"/>
  <c r="AG5" i="3"/>
  <c r="AC10" i="3"/>
  <c r="AC9" i="3"/>
  <c r="AC8" i="3"/>
  <c r="AC7" i="3"/>
  <c r="AC6" i="3"/>
  <c r="AC5" i="3"/>
  <c r="Y10" i="3"/>
  <c r="Y9" i="3"/>
  <c r="Y8" i="3"/>
  <c r="Y7" i="3"/>
  <c r="Y6" i="3"/>
  <c r="Y5" i="3"/>
  <c r="U10" i="3"/>
  <c r="U9" i="3"/>
  <c r="U8" i="3"/>
  <c r="U7" i="3"/>
  <c r="U6" i="3"/>
  <c r="U5" i="3"/>
  <c r="Q10" i="3"/>
  <c r="Q9" i="3"/>
  <c r="Q24" i="3"/>
  <c r="Q23" i="3"/>
  <c r="Q22" i="3"/>
  <c r="M17" i="3"/>
  <c r="M16" i="3"/>
  <c r="M15" i="3"/>
  <c r="I10" i="3"/>
  <c r="I9" i="3"/>
  <c r="E10" i="3"/>
  <c r="E9" i="3"/>
  <c r="E3" i="9"/>
  <c r="E2" i="9"/>
  <c r="B9" i="17"/>
  <c r="H9" i="17" s="1"/>
  <c r="B3" i="6"/>
  <c r="B4" i="6" s="1"/>
  <c r="B5" i="6" s="1"/>
  <c r="B6" i="6" s="1"/>
  <c r="B2" i="4" s="1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E3" i="6"/>
  <c r="E4" i="6"/>
  <c r="E5" i="6"/>
  <c r="E6" i="6"/>
  <c r="E2" i="6"/>
  <c r="B8" i="17"/>
  <c r="D8" i="17" s="1"/>
  <c r="B7" i="17"/>
  <c r="C7" i="17" s="1"/>
  <c r="B6" i="17"/>
  <c r="D6" i="17" s="1"/>
  <c r="D5" i="17"/>
  <c r="C5" i="17"/>
  <c r="D2" i="17"/>
  <c r="C2" i="17"/>
  <c r="M3" i="16"/>
  <c r="L3" i="16"/>
  <c r="K3" i="16"/>
  <c r="M5" i="16"/>
  <c r="L5" i="16"/>
  <c r="K5" i="16"/>
  <c r="G6" i="17" l="1"/>
  <c r="E5" i="17"/>
  <c r="F5" i="17" s="1"/>
  <c r="D7" i="17"/>
  <c r="E7" i="17" s="1"/>
  <c r="F7" i="17" s="1"/>
  <c r="D9" i="17"/>
  <c r="C9" i="17"/>
  <c r="G9" i="17"/>
  <c r="E9" i="11" s="1"/>
  <c r="H7" i="17"/>
  <c r="G8" i="17"/>
  <c r="H6" i="17"/>
  <c r="E2" i="17"/>
  <c r="F2" i="17" s="1"/>
  <c r="G7" i="17"/>
  <c r="H8" i="17"/>
  <c r="C6" i="17"/>
  <c r="E6" i="17" s="1"/>
  <c r="F6" i="17" s="1"/>
  <c r="C8" i="17"/>
  <c r="E8" i="17" s="1"/>
  <c r="F8" i="17" s="1"/>
  <c r="N3" i="16"/>
  <c r="O3" i="16"/>
  <c r="P3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P5" i="16"/>
  <c r="O5" i="16"/>
  <c r="N5" i="16"/>
  <c r="J5" i="16"/>
  <c r="I5" i="16"/>
  <c r="H5" i="16"/>
  <c r="G5" i="16"/>
  <c r="F5" i="16"/>
  <c r="E5" i="16"/>
  <c r="D5" i="16"/>
  <c r="C5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E9" i="17" l="1"/>
  <c r="F9" i="17" s="1"/>
  <c r="F9" i="11" s="1"/>
  <c r="E57" i="14" l="1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E16" i="4"/>
  <c r="E14" i="4"/>
  <c r="E13" i="4"/>
  <c r="E12" i="4"/>
  <c r="E11" i="4"/>
  <c r="E6" i="4"/>
  <c r="E5" i="4"/>
  <c r="E4" i="4"/>
  <c r="E3" i="4"/>
  <c r="M57" i="14"/>
  <c r="G57" i="14" s="1"/>
  <c r="M56" i="14"/>
  <c r="G56" i="14" s="1"/>
  <c r="M55" i="14"/>
  <c r="G55" i="14" s="1"/>
  <c r="M54" i="14"/>
  <c r="G54" i="14" s="1"/>
  <c r="M53" i="14"/>
  <c r="G53" i="14" s="1"/>
  <c r="M52" i="14"/>
  <c r="G52" i="14" s="1"/>
  <c r="M51" i="14"/>
  <c r="G51" i="14" s="1"/>
  <c r="M50" i="14"/>
  <c r="G50" i="14" s="1"/>
  <c r="M49" i="14"/>
  <c r="G49" i="14" s="1"/>
  <c r="M48" i="14"/>
  <c r="G48" i="14" s="1"/>
  <c r="M47" i="14"/>
  <c r="G47" i="14" s="1"/>
  <c r="M46" i="14"/>
  <c r="G46" i="14" s="1"/>
  <c r="M45" i="14"/>
  <c r="G45" i="14" s="1"/>
  <c r="M44" i="14"/>
  <c r="G44" i="14" s="1"/>
  <c r="M43" i="14"/>
  <c r="G43" i="14" s="1"/>
  <c r="M42" i="14"/>
  <c r="G42" i="14" s="1"/>
  <c r="M41" i="14"/>
  <c r="G41" i="14" s="1"/>
  <c r="M40" i="14"/>
  <c r="G40" i="14" s="1"/>
  <c r="M39" i="14"/>
  <c r="G39" i="14" s="1"/>
  <c r="M38" i="14"/>
  <c r="G38" i="14" s="1"/>
  <c r="M37" i="14"/>
  <c r="G37" i="14" s="1"/>
  <c r="M36" i="14"/>
  <c r="G36" i="14" s="1"/>
  <c r="M35" i="14"/>
  <c r="G35" i="14" s="1"/>
  <c r="M34" i="14"/>
  <c r="G34" i="14" s="1"/>
  <c r="M33" i="14"/>
  <c r="G33" i="14" s="1"/>
  <c r="M32" i="14"/>
  <c r="G32" i="14" s="1"/>
  <c r="M31" i="14"/>
  <c r="G31" i="14" s="1"/>
  <c r="M30" i="14"/>
  <c r="G30" i="14" s="1"/>
  <c r="M29" i="14"/>
  <c r="G29" i="14" s="1"/>
  <c r="M28" i="14"/>
  <c r="G28" i="14" s="1"/>
  <c r="G64" i="14" s="1"/>
  <c r="M27" i="14"/>
  <c r="G27" i="14" s="1"/>
  <c r="G71" i="14" s="1"/>
  <c r="M26" i="14"/>
  <c r="G26" i="14" s="1"/>
  <c r="M25" i="14"/>
  <c r="G25" i="14" s="1"/>
  <c r="G67" i="14" s="1"/>
  <c r="M24" i="14"/>
  <c r="G24" i="14" s="1"/>
  <c r="G66" i="14" s="1"/>
  <c r="M23" i="14"/>
  <c r="G23" i="14" s="1"/>
  <c r="M22" i="14"/>
  <c r="G22" i="14" s="1"/>
  <c r="M21" i="14"/>
  <c r="G21" i="14" s="1"/>
  <c r="G63" i="14" s="1"/>
  <c r="M20" i="14"/>
  <c r="G20" i="14" s="1"/>
  <c r="G70" i="14" s="1"/>
  <c r="M19" i="14"/>
  <c r="G19" i="14" s="1"/>
  <c r="G60" i="14" s="1"/>
  <c r="M18" i="14"/>
  <c r="G18" i="14" s="1"/>
  <c r="M17" i="14"/>
  <c r="G17" i="14" s="1"/>
  <c r="M16" i="14"/>
  <c r="G16" i="14" s="1"/>
  <c r="G61" i="14" s="1"/>
  <c r="M15" i="14"/>
  <c r="G15" i="14" s="1"/>
  <c r="M14" i="14"/>
  <c r="G14" i="14" s="1"/>
  <c r="G72" i="14" s="1"/>
  <c r="M13" i="14"/>
  <c r="G13" i="14" s="1"/>
  <c r="M12" i="14"/>
  <c r="G12" i="14" s="1"/>
  <c r="M11" i="14"/>
  <c r="G11" i="14" s="1"/>
  <c r="M10" i="14"/>
  <c r="G10" i="14" s="1"/>
  <c r="M9" i="14"/>
  <c r="G9" i="14" s="1"/>
  <c r="M8" i="14"/>
  <c r="G8" i="14" s="1"/>
  <c r="G68" i="14" s="1"/>
  <c r="M7" i="14"/>
  <c r="G7" i="14" s="1"/>
  <c r="M5" i="14"/>
  <c r="G5" i="14" s="1"/>
  <c r="G69" i="14" s="1"/>
  <c r="M4" i="14"/>
  <c r="G4" i="14" s="1"/>
  <c r="G59" i="14" s="1"/>
  <c r="M3" i="14"/>
  <c r="G3" i="14" s="1"/>
  <c r="M6" i="14"/>
  <c r="G6" i="14" s="1"/>
  <c r="G62" i="14" s="1"/>
  <c r="M2" i="14"/>
  <c r="G2" i="14" s="1"/>
  <c r="G65" i="14" l="1"/>
  <c r="AG29" i="3"/>
  <c r="Q29" i="3"/>
  <c r="E29" i="3"/>
  <c r="AG28" i="3"/>
  <c r="Q28" i="3"/>
  <c r="E28" i="3"/>
  <c r="AG27" i="3"/>
  <c r="Q27" i="3"/>
  <c r="E27" i="3"/>
  <c r="AG26" i="3"/>
  <c r="Q26" i="3"/>
  <c r="E26" i="3"/>
  <c r="Q21" i="3"/>
  <c r="Q20" i="3"/>
  <c r="Q19" i="3"/>
  <c r="E15" i="3"/>
  <c r="M14" i="3"/>
  <c r="E14" i="3"/>
  <c r="M13" i="3"/>
  <c r="E13" i="3"/>
  <c r="M12" i="3"/>
  <c r="E12" i="3"/>
  <c r="Q8" i="3"/>
  <c r="M8" i="3"/>
  <c r="I8" i="3"/>
  <c r="E8" i="3"/>
  <c r="Q7" i="3"/>
  <c r="M7" i="3"/>
  <c r="I7" i="3"/>
  <c r="E7" i="3"/>
  <c r="Q6" i="3"/>
  <c r="M6" i="3"/>
  <c r="I6" i="3"/>
  <c r="E6" i="3"/>
  <c r="Q5" i="3"/>
  <c r="M5" i="3"/>
  <c r="I5" i="3"/>
  <c r="E5" i="3"/>
  <c r="E27" i="22" l="1" a="1"/>
  <c r="E27" i="22" s="1"/>
  <c r="B27" i="22" s="1"/>
  <c r="T1" i="19"/>
  <c r="J61" i="2"/>
  <c r="I61" i="2"/>
  <c r="H61" i="2"/>
  <c r="G61" i="2"/>
  <c r="F61" i="2"/>
  <c r="E61" i="2"/>
  <c r="D61" i="2"/>
  <c r="C61" i="2"/>
  <c r="J57" i="2"/>
  <c r="I57" i="2"/>
  <c r="H57" i="2"/>
  <c r="G57" i="2"/>
  <c r="F57" i="2"/>
  <c r="E57" i="2"/>
  <c r="D57" i="2"/>
  <c r="C57" i="2"/>
  <c r="J53" i="2"/>
  <c r="I53" i="2"/>
  <c r="H53" i="2"/>
  <c r="G53" i="2"/>
  <c r="F53" i="2"/>
  <c r="E53" i="2"/>
  <c r="D53" i="2"/>
  <c r="C53" i="2"/>
  <c r="J49" i="2"/>
  <c r="I49" i="2"/>
  <c r="H49" i="2"/>
  <c r="G49" i="2"/>
  <c r="F49" i="2"/>
  <c r="E49" i="2"/>
  <c r="D49" i="2"/>
  <c r="C49" i="2"/>
  <c r="G41" i="2"/>
  <c r="G60" i="2" s="1"/>
  <c r="G40" i="2"/>
  <c r="G59" i="2" s="1"/>
  <c r="T2" i="19" l="1"/>
  <c r="X28" i="21" a="1"/>
  <c r="X28" i="21" s="1"/>
  <c r="X24" i="21" a="1"/>
  <c r="X24" i="21" s="1"/>
  <c r="X20" i="21" a="1"/>
  <c r="X20" i="21" s="1"/>
  <c r="X16" i="21" a="1"/>
  <c r="X16" i="21" s="1"/>
  <c r="X12" i="21" a="1"/>
  <c r="X12" i="21" s="1"/>
  <c r="X8" i="21" a="1"/>
  <c r="X8" i="21" s="1"/>
  <c r="X4" i="21" a="1"/>
  <c r="X4" i="21" s="1"/>
  <c r="X29" i="21" a="1"/>
  <c r="X29" i="21" s="1"/>
  <c r="X17" i="21" a="1"/>
  <c r="X17" i="21" s="1"/>
  <c r="X5" i="21" a="1"/>
  <c r="X5" i="21" s="1"/>
  <c r="X27" i="21" a="1"/>
  <c r="X27" i="21" s="1"/>
  <c r="X23" i="21" a="1"/>
  <c r="X23" i="21" s="1"/>
  <c r="X19" i="21" a="1"/>
  <c r="X19" i="21" s="1"/>
  <c r="X15" i="21" a="1"/>
  <c r="X15" i="21" s="1"/>
  <c r="X11" i="21" a="1"/>
  <c r="X11" i="21" s="1"/>
  <c r="X7" i="21" a="1"/>
  <c r="X7" i="21" s="1"/>
  <c r="X3" i="21" a="1"/>
  <c r="X3" i="21" s="1"/>
  <c r="X25" i="21" a="1"/>
  <c r="X25" i="21" s="1"/>
  <c r="X9" i="21" a="1"/>
  <c r="X9" i="21" s="1"/>
  <c r="X26" i="21" a="1"/>
  <c r="X26" i="21" s="1"/>
  <c r="X22" i="21" a="1"/>
  <c r="X22" i="21" s="1"/>
  <c r="X18" i="21" a="1"/>
  <c r="X18" i="21" s="1"/>
  <c r="X14" i="21" a="1"/>
  <c r="X14" i="21" s="1"/>
  <c r="X10" i="21" a="1"/>
  <c r="X10" i="21" s="1"/>
  <c r="X6" i="21" a="1"/>
  <c r="X6" i="21" s="1"/>
  <c r="X21" i="21" a="1"/>
  <c r="X21" i="21" s="1"/>
  <c r="X13" i="21" a="1"/>
  <c r="X13" i="21" s="1"/>
  <c r="X2" i="21" a="1"/>
  <c r="X2" i="21" s="1"/>
  <c r="W2" i="21" a="1"/>
  <c r="W2" i="21" s="1"/>
  <c r="W21" i="21" a="1"/>
  <c r="W21" i="21" s="1"/>
  <c r="W9" i="21" a="1"/>
  <c r="W9" i="21" s="1"/>
  <c r="W27" i="21" a="1"/>
  <c r="W27" i="21" s="1"/>
  <c r="W11" i="21" a="1"/>
  <c r="W11" i="21" s="1"/>
  <c r="W18" i="21" a="1"/>
  <c r="W18" i="21" s="1"/>
  <c r="W6" i="21" a="1"/>
  <c r="W6" i="21" s="1"/>
  <c r="W29" i="21" a="1"/>
  <c r="W29" i="21" s="1"/>
  <c r="W25" i="21" a="1"/>
  <c r="W25" i="21" s="1"/>
  <c r="W17" i="21" a="1"/>
  <c r="W17" i="21" s="1"/>
  <c r="W13" i="21" a="1"/>
  <c r="W13" i="21" s="1"/>
  <c r="W5" i="21" a="1"/>
  <c r="W5" i="21" s="1"/>
  <c r="W15" i="21" a="1"/>
  <c r="W15" i="21" s="1"/>
  <c r="W14" i="21" a="1"/>
  <c r="W14" i="21" s="1"/>
  <c r="W20" i="21" a="1"/>
  <c r="W20" i="21" s="1"/>
  <c r="W3" i="21" a="1"/>
  <c r="W3" i="21" s="1"/>
  <c r="W22" i="21" a="1"/>
  <c r="W22" i="21" s="1"/>
  <c r="W28" i="21" a="1"/>
  <c r="W28" i="21" s="1"/>
  <c r="W24" i="21" a="1"/>
  <c r="W24" i="21" s="1"/>
  <c r="W16" i="21" a="1"/>
  <c r="W16" i="21" s="1"/>
  <c r="W12" i="21" a="1"/>
  <c r="W12" i="21" s="1"/>
  <c r="W8" i="21" a="1"/>
  <c r="W8" i="21" s="1"/>
  <c r="W4" i="21" a="1"/>
  <c r="W4" i="21" s="1"/>
  <c r="W23" i="21" a="1"/>
  <c r="W23" i="21" s="1"/>
  <c r="W7" i="21" a="1"/>
  <c r="W7" i="21" s="1"/>
  <c r="W26" i="21" a="1"/>
  <c r="W26" i="21" s="1"/>
  <c r="W10" i="21" a="1"/>
  <c r="W10" i="21" s="1"/>
  <c r="W19" i="21" a="1"/>
  <c r="W19" i="21" s="1"/>
  <c r="X31" i="21" a="1"/>
  <c r="X31" i="21" s="1"/>
  <c r="X35" i="21" a="1"/>
  <c r="X35" i="21" s="1"/>
  <c r="X43" i="21" a="1"/>
  <c r="X43" i="21" s="1"/>
  <c r="X47" i="21" a="1"/>
  <c r="X47" i="21" s="1"/>
  <c r="X36" i="21" a="1"/>
  <c r="X36" i="21" s="1"/>
  <c r="X40" i="21" a="1"/>
  <c r="X40" i="21" s="1"/>
  <c r="X48" i="21" a="1"/>
  <c r="X48" i="21" s="1"/>
  <c r="X32" i="21" a="1"/>
  <c r="X32" i="21" s="1"/>
  <c r="X44" i="21" a="1"/>
  <c r="X44" i="21" s="1"/>
  <c r="X49" i="21" a="1"/>
  <c r="X49" i="21" s="1"/>
  <c r="X51" i="21" a="1"/>
  <c r="X51" i="21" s="1"/>
  <c r="X33" i="21" a="1"/>
  <c r="X33" i="21" s="1"/>
  <c r="X37" i="21" a="1"/>
  <c r="X37" i="21" s="1"/>
  <c r="X41" i="21" a="1"/>
  <c r="X41" i="21" s="1"/>
  <c r="X45" i="21" a="1"/>
  <c r="X45" i="21" s="1"/>
  <c r="X34" i="21" a="1"/>
  <c r="X34" i="21" s="1"/>
  <c r="X38" i="21" a="1"/>
  <c r="X38" i="21" s="1"/>
  <c r="X42" i="21" a="1"/>
  <c r="X42" i="21" s="1"/>
  <c r="X46" i="21" a="1"/>
  <c r="X46" i="21" s="1"/>
  <c r="X50" i="21" a="1"/>
  <c r="X50" i="21" s="1"/>
  <c r="X39" i="21" a="1"/>
  <c r="X39" i="21" s="1"/>
  <c r="X30" i="21" a="1"/>
  <c r="X30" i="21" s="1"/>
  <c r="W30" i="21" a="1"/>
  <c r="W30" i="21" s="1"/>
  <c r="W44" i="21" a="1"/>
  <c r="W44" i="21" s="1"/>
  <c r="W48" i="21" a="1"/>
  <c r="W48" i="21" s="1"/>
  <c r="W43" i="21" a="1"/>
  <c r="W43" i="21" s="1"/>
  <c r="W47" i="21" a="1"/>
  <c r="W47" i="21" s="1"/>
  <c r="W46" i="21" a="1"/>
  <c r="W46" i="21" s="1"/>
  <c r="W45" i="21" a="1"/>
  <c r="W45" i="21" s="1"/>
  <c r="W51" i="21" a="1"/>
  <c r="W51" i="21" s="1"/>
  <c r="W40" i="21" a="1"/>
  <c r="W40" i="21" s="1"/>
  <c r="W36" i="21" a="1"/>
  <c r="W36" i="21" s="1"/>
  <c r="W32" i="21" a="1"/>
  <c r="W32" i="21" s="1"/>
  <c r="W33" i="21" a="1"/>
  <c r="W33" i="21" s="1"/>
  <c r="W39" i="21" a="1"/>
  <c r="W39" i="21" s="1"/>
  <c r="W35" i="21" a="1"/>
  <c r="W35" i="21" s="1"/>
  <c r="W31" i="21" a="1"/>
  <c r="W31" i="21" s="1"/>
  <c r="W37" i="21" a="1"/>
  <c r="W37" i="21" s="1"/>
  <c r="W38" i="21" a="1"/>
  <c r="W38" i="21" s="1"/>
  <c r="W34" i="21" a="1"/>
  <c r="W34" i="21" s="1"/>
  <c r="W41" i="21" a="1"/>
  <c r="W41" i="21" s="1"/>
  <c r="W50" i="21" a="1"/>
  <c r="W50" i="21" s="1"/>
  <c r="W42" i="21" a="1"/>
  <c r="W42" i="21" s="1"/>
  <c r="W49" i="21" a="1"/>
  <c r="W49" i="21" s="1"/>
  <c r="U50" i="21" a="1"/>
  <c r="U50" i="21" s="1"/>
  <c r="U51" i="21" a="1"/>
  <c r="U51" i="21" s="1"/>
  <c r="V50" i="21" a="1"/>
  <c r="V50" i="21" s="1"/>
  <c r="V51" i="21" a="1"/>
  <c r="V51" i="21" s="1"/>
  <c r="V45" i="21" a="1"/>
  <c r="V45" i="21" s="1"/>
  <c r="V33" i="21" a="1"/>
  <c r="V33" i="21" s="1"/>
  <c r="V49" i="21" a="1"/>
  <c r="V49" i="21" s="1"/>
  <c r="V40" i="21" a="1"/>
  <c r="V40" i="21" s="1"/>
  <c r="V48" i="21" a="1"/>
  <c r="V48" i="21" s="1"/>
  <c r="V44" i="21" a="1"/>
  <c r="V44" i="21" s="1"/>
  <c r="V36" i="21" a="1"/>
  <c r="V36" i="21" s="1"/>
  <c r="V32" i="21" a="1"/>
  <c r="V32" i="21" s="1"/>
  <c r="V47" i="21" a="1"/>
  <c r="V47" i="21" s="1"/>
  <c r="V39" i="21" a="1"/>
  <c r="V39" i="21" s="1"/>
  <c r="V35" i="21" a="1"/>
  <c r="V35" i="21" s="1"/>
  <c r="V31" i="21" a="1"/>
  <c r="V31" i="21" s="1"/>
  <c r="V37" i="21" a="1"/>
  <c r="V37" i="21" s="1"/>
  <c r="V43" i="21" a="1"/>
  <c r="V43" i="21" s="1"/>
  <c r="V46" i="21" a="1"/>
  <c r="V46" i="21" s="1"/>
  <c r="V42" i="21" a="1"/>
  <c r="V42" i="21" s="1"/>
  <c r="V38" i="21" a="1"/>
  <c r="V38" i="21" s="1"/>
  <c r="V34" i="21" a="1"/>
  <c r="V34" i="21" s="1"/>
  <c r="V41" i="21" a="1"/>
  <c r="V41" i="21" s="1"/>
  <c r="V28" i="21" a="1"/>
  <c r="V28" i="21" s="1"/>
  <c r="V24" i="21" a="1"/>
  <c r="V24" i="21" s="1"/>
  <c r="V20" i="21" a="1"/>
  <c r="V20" i="21" s="1"/>
  <c r="V16" i="21" a="1"/>
  <c r="V16" i="21" s="1"/>
  <c r="V12" i="21" a="1"/>
  <c r="V12" i="21" s="1"/>
  <c r="V8" i="21" a="1"/>
  <c r="V8" i="21" s="1"/>
  <c r="V4" i="21" a="1"/>
  <c r="V4" i="21" s="1"/>
  <c r="V7" i="21" a="1"/>
  <c r="V7" i="21" s="1"/>
  <c r="V29" i="21" a="1"/>
  <c r="V29" i="21" s="1"/>
  <c r="V21" i="21" a="1"/>
  <c r="V21" i="21" s="1"/>
  <c r="V9" i="21" a="1"/>
  <c r="V9" i="21" s="1"/>
  <c r="V27" i="21" a="1"/>
  <c r="V27" i="21" s="1"/>
  <c r="V23" i="21" a="1"/>
  <c r="V23" i="21" s="1"/>
  <c r="V19" i="21" a="1"/>
  <c r="V19" i="21" s="1"/>
  <c r="V15" i="21" a="1"/>
  <c r="V15" i="21" s="1"/>
  <c r="V11" i="21" a="1"/>
  <c r="V11" i="21" s="1"/>
  <c r="V3" i="21" a="1"/>
  <c r="V3" i="21" s="1"/>
  <c r="V17" i="21" a="1"/>
  <c r="V17" i="21" s="1"/>
  <c r="V5" i="21" a="1"/>
  <c r="V5" i="21" s="1"/>
  <c r="V26" i="21" a="1"/>
  <c r="V26" i="21" s="1"/>
  <c r="V22" i="21" a="1"/>
  <c r="V22" i="21" s="1"/>
  <c r="V18" i="21" a="1"/>
  <c r="V18" i="21" s="1"/>
  <c r="V14" i="21" a="1"/>
  <c r="V14" i="21" s="1"/>
  <c r="V10" i="21" a="1"/>
  <c r="V10" i="21" s="1"/>
  <c r="V6" i="21" a="1"/>
  <c r="V6" i="21" s="1"/>
  <c r="V25" i="21" a="1"/>
  <c r="V25" i="21" s="1"/>
  <c r="V13" i="21" a="1"/>
  <c r="V13" i="21" s="1"/>
  <c r="V2" i="21" a="1"/>
  <c r="V2" i="21" s="1"/>
  <c r="U28" i="21" a="1"/>
  <c r="U28" i="21" s="1"/>
  <c r="U24" i="21" a="1"/>
  <c r="U24" i="21" s="1"/>
  <c r="U20" i="21" a="1"/>
  <c r="U20" i="21" s="1"/>
  <c r="U16" i="21" a="1"/>
  <c r="U16" i="21" s="1"/>
  <c r="U12" i="21" a="1"/>
  <c r="U12" i="21" s="1"/>
  <c r="U8" i="21" a="1"/>
  <c r="U8" i="21" s="1"/>
  <c r="U4" i="21" a="1"/>
  <c r="U4" i="21" s="1"/>
  <c r="U25" i="21" a="1"/>
  <c r="U25" i="21" s="1"/>
  <c r="U21" i="21" a="1"/>
  <c r="U21" i="21" s="1"/>
  <c r="U9" i="21" a="1"/>
  <c r="U9" i="21" s="1"/>
  <c r="U27" i="21" a="1"/>
  <c r="U27" i="21" s="1"/>
  <c r="U23" i="21" a="1"/>
  <c r="U23" i="21" s="1"/>
  <c r="U19" i="21" a="1"/>
  <c r="U19" i="21" s="1"/>
  <c r="U15" i="21" a="1"/>
  <c r="U15" i="21" s="1"/>
  <c r="U11" i="21" a="1"/>
  <c r="U11" i="21" s="1"/>
  <c r="U7" i="21" a="1"/>
  <c r="U7" i="21" s="1"/>
  <c r="U3" i="21" a="1"/>
  <c r="U3" i="21" s="1"/>
  <c r="U17" i="21" a="1"/>
  <c r="U17" i="21" s="1"/>
  <c r="U5" i="21" a="1"/>
  <c r="U5" i="21" s="1"/>
  <c r="U26" i="21" a="1"/>
  <c r="U26" i="21" s="1"/>
  <c r="U22" i="21" a="1"/>
  <c r="U22" i="21" s="1"/>
  <c r="U18" i="21" a="1"/>
  <c r="U18" i="21" s="1"/>
  <c r="U14" i="21" a="1"/>
  <c r="U14" i="21" s="1"/>
  <c r="U10" i="21" a="1"/>
  <c r="U10" i="21" s="1"/>
  <c r="U6" i="21" a="1"/>
  <c r="U6" i="21" s="1"/>
  <c r="U29" i="21" a="1"/>
  <c r="U29" i="21" s="1"/>
  <c r="U13" i="21" a="1"/>
  <c r="U13" i="21" s="1"/>
  <c r="V30" i="21" a="1"/>
  <c r="V30" i="21" s="1"/>
  <c r="U2" i="21" a="1"/>
  <c r="U2" i="21" s="1"/>
  <c r="U30" i="21" a="1"/>
  <c r="U30" i="21" s="1"/>
  <c r="U45" i="21" a="1"/>
  <c r="U45" i="21" s="1"/>
  <c r="U49" i="21" a="1"/>
  <c r="U49" i="21" s="1"/>
  <c r="U33" i="21" a="1"/>
  <c r="U33" i="21" s="1"/>
  <c r="U48" i="21" a="1"/>
  <c r="U48" i="21" s="1"/>
  <c r="U44" i="21" a="1"/>
  <c r="U44" i="21" s="1"/>
  <c r="U40" i="21" a="1"/>
  <c r="U40" i="21" s="1"/>
  <c r="U36" i="21" a="1"/>
  <c r="U36" i="21" s="1"/>
  <c r="U32" i="21" a="1"/>
  <c r="U32" i="21" s="1"/>
  <c r="U43" i="21" a="1"/>
  <c r="U43" i="21" s="1"/>
  <c r="U35" i="21" a="1"/>
  <c r="U35" i="21" s="1"/>
  <c r="U47" i="21" a="1"/>
  <c r="U47" i="21" s="1"/>
  <c r="U39" i="21" a="1"/>
  <c r="U39" i="21" s="1"/>
  <c r="U46" i="21" a="1"/>
  <c r="U46" i="21" s="1"/>
  <c r="U42" i="21" a="1"/>
  <c r="U42" i="21" s="1"/>
  <c r="U38" i="21" a="1"/>
  <c r="U38" i="21" s="1"/>
  <c r="U34" i="21" a="1"/>
  <c r="U34" i="21" s="1"/>
  <c r="U41" i="21" a="1"/>
  <c r="U41" i="21" s="1"/>
  <c r="U37" i="21" a="1"/>
  <c r="U37" i="21" s="1"/>
  <c r="U31" i="21" a="1"/>
  <c r="U31" i="21" s="1"/>
  <c r="E7" i="22" a="1"/>
  <c r="E7" i="22" s="1"/>
  <c r="F7" i="22" s="1"/>
  <c r="E4" i="22" a="1"/>
  <c r="E4" i="22" s="1"/>
  <c r="F4" i="22" s="1"/>
  <c r="E7" i="7" a="1"/>
  <c r="E7" i="7" s="1"/>
  <c r="G39" i="2"/>
  <c r="G58" i="2" s="1"/>
  <c r="C27" i="2"/>
  <c r="C46" i="2" s="1"/>
  <c r="I3" i="19" a="1"/>
  <c r="I3" i="19" s="1"/>
  <c r="I7" i="19" s="1"/>
  <c r="E3" i="19" a="1"/>
  <c r="E3" i="19" s="1"/>
  <c r="E7" i="19" s="1"/>
  <c r="G3" i="19" a="1"/>
  <c r="G3" i="19" s="1"/>
  <c r="G7" i="19" s="1"/>
  <c r="C3" i="19" a="1"/>
  <c r="C3" i="19" s="1"/>
  <c r="C7" i="19" s="1"/>
  <c r="I8" i="19" a="1"/>
  <c r="I8" i="19" s="1"/>
  <c r="G8" i="19" a="1"/>
  <c r="G8" i="19" s="1"/>
  <c r="E8" i="19" a="1"/>
  <c r="E8" i="19" s="1"/>
  <c r="C8" i="19" a="1"/>
  <c r="C8" i="19" s="1"/>
  <c r="F7" i="7" a="1"/>
  <c r="F7" i="7" s="1"/>
  <c r="E4" i="7" a="1"/>
  <c r="E4" i="7" s="1"/>
  <c r="F4" i="7" a="1"/>
  <c r="F4" i="7" s="1"/>
  <c r="G2" i="11"/>
  <c r="G3" i="11"/>
  <c r="G4" i="11"/>
  <c r="G5" i="11"/>
  <c r="F3" i="1" a="1"/>
  <c r="F3" i="1" s="1"/>
  <c r="C41" i="2"/>
  <c r="C60" i="2" s="1"/>
  <c r="C33" i="2"/>
  <c r="C52" i="2" s="1"/>
  <c r="C37" i="2"/>
  <c r="C56" i="2" s="1"/>
  <c r="C29" i="2"/>
  <c r="C48" i="2" s="1"/>
  <c r="H29" i="2"/>
  <c r="H48" i="2" s="1"/>
  <c r="H32" i="2"/>
  <c r="H51" i="2" s="1"/>
  <c r="H40" i="2"/>
  <c r="H59" i="2" s="1"/>
  <c r="H41" i="2"/>
  <c r="H60" i="2" s="1"/>
  <c r="C36" i="2"/>
  <c r="C55" i="2" s="1"/>
  <c r="H33" i="2"/>
  <c r="H52" i="2" s="1"/>
  <c r="C28" i="2"/>
  <c r="C47" i="2" s="1"/>
  <c r="H28" i="2"/>
  <c r="H47" i="2" s="1"/>
  <c r="H36" i="2"/>
  <c r="H55" i="2" s="1"/>
  <c r="H37" i="2"/>
  <c r="H56" i="2" s="1"/>
  <c r="C32" i="2"/>
  <c r="C51" i="2" s="1"/>
  <c r="C40" i="2"/>
  <c r="C59" i="2" s="1"/>
  <c r="I27" i="2"/>
  <c r="I46" i="2" s="1"/>
  <c r="I28" i="2"/>
  <c r="I47" i="2" s="1"/>
  <c r="I29" i="2"/>
  <c r="I48" i="2" s="1"/>
  <c r="I31" i="2"/>
  <c r="I50" i="2" s="1"/>
  <c r="I32" i="2"/>
  <c r="I51" i="2" s="1"/>
  <c r="I33" i="2"/>
  <c r="I52" i="2" s="1"/>
  <c r="I35" i="2"/>
  <c r="I54" i="2" s="1"/>
  <c r="I36" i="2"/>
  <c r="I55" i="2" s="1"/>
  <c r="I37" i="2"/>
  <c r="I56" i="2" s="1"/>
  <c r="I39" i="2"/>
  <c r="I58" i="2" s="1"/>
  <c r="I40" i="2"/>
  <c r="I59" i="2" s="1"/>
  <c r="I41" i="2"/>
  <c r="I60" i="2" s="1"/>
  <c r="H31" i="2"/>
  <c r="H50" i="2" s="1"/>
  <c r="H35" i="2"/>
  <c r="H54" i="2" s="1"/>
  <c r="H39" i="2"/>
  <c r="H58" i="2" s="1"/>
  <c r="J27" i="2"/>
  <c r="J46" i="2" s="1"/>
  <c r="J28" i="2"/>
  <c r="J47" i="2" s="1"/>
  <c r="J29" i="2"/>
  <c r="J48" i="2" s="1"/>
  <c r="J31" i="2"/>
  <c r="J50" i="2" s="1"/>
  <c r="J32" i="2"/>
  <c r="J51" i="2" s="1"/>
  <c r="J33" i="2"/>
  <c r="J52" i="2" s="1"/>
  <c r="J35" i="2"/>
  <c r="J54" i="2" s="1"/>
  <c r="J36" i="2"/>
  <c r="J55" i="2" s="1"/>
  <c r="J37" i="2"/>
  <c r="J56" i="2" s="1"/>
  <c r="J39" i="2"/>
  <c r="J58" i="2" s="1"/>
  <c r="J40" i="2"/>
  <c r="J59" i="2" s="1"/>
  <c r="J41" i="2"/>
  <c r="J60" i="2" s="1"/>
  <c r="H27" i="2"/>
  <c r="H46" i="2" s="1"/>
  <c r="D27" i="2"/>
  <c r="D46" i="2" s="1"/>
  <c r="D28" i="2"/>
  <c r="D47" i="2" s="1"/>
  <c r="D29" i="2"/>
  <c r="D48" i="2" s="1"/>
  <c r="D31" i="2"/>
  <c r="D50" i="2" s="1"/>
  <c r="D32" i="2"/>
  <c r="D51" i="2" s="1"/>
  <c r="D33" i="2"/>
  <c r="D52" i="2" s="1"/>
  <c r="D35" i="2"/>
  <c r="D54" i="2" s="1"/>
  <c r="D36" i="2"/>
  <c r="D55" i="2" s="1"/>
  <c r="D37" i="2"/>
  <c r="D56" i="2" s="1"/>
  <c r="D39" i="2"/>
  <c r="D58" i="2" s="1"/>
  <c r="D40" i="2"/>
  <c r="D59" i="2" s="1"/>
  <c r="D41" i="2"/>
  <c r="D60" i="2" s="1"/>
  <c r="E27" i="2"/>
  <c r="E46" i="2" s="1"/>
  <c r="E28" i="2"/>
  <c r="E47" i="2" s="1"/>
  <c r="E29" i="2"/>
  <c r="E48" i="2" s="1"/>
  <c r="E31" i="2"/>
  <c r="E50" i="2" s="1"/>
  <c r="E32" i="2"/>
  <c r="E51" i="2" s="1"/>
  <c r="E33" i="2"/>
  <c r="E52" i="2" s="1"/>
  <c r="E35" i="2"/>
  <c r="E54" i="2" s="1"/>
  <c r="E36" i="2"/>
  <c r="E55" i="2" s="1"/>
  <c r="E37" i="2"/>
  <c r="E56" i="2" s="1"/>
  <c r="E39" i="2"/>
  <c r="E58" i="2" s="1"/>
  <c r="E40" i="2"/>
  <c r="E59" i="2" s="1"/>
  <c r="E41" i="2"/>
  <c r="E60" i="2" s="1"/>
  <c r="F27" i="2"/>
  <c r="F46" i="2" s="1"/>
  <c r="F28" i="2"/>
  <c r="F47" i="2" s="1"/>
  <c r="F29" i="2"/>
  <c r="F48" i="2" s="1"/>
  <c r="F31" i="2"/>
  <c r="F50" i="2" s="1"/>
  <c r="F32" i="2"/>
  <c r="F51" i="2" s="1"/>
  <c r="F33" i="2"/>
  <c r="F52" i="2" s="1"/>
  <c r="F35" i="2"/>
  <c r="F54" i="2" s="1"/>
  <c r="F36" i="2"/>
  <c r="F55" i="2" s="1"/>
  <c r="F37" i="2"/>
  <c r="F56" i="2" s="1"/>
  <c r="F39" i="2"/>
  <c r="F58" i="2" s="1"/>
  <c r="F40" i="2"/>
  <c r="F59" i="2" s="1"/>
  <c r="F41" i="2"/>
  <c r="F60" i="2" s="1"/>
  <c r="C31" i="2"/>
  <c r="C50" i="2" s="1"/>
  <c r="C35" i="2"/>
  <c r="C54" i="2" s="1"/>
  <c r="C39" i="2"/>
  <c r="C58" i="2" s="1"/>
  <c r="G27" i="2"/>
  <c r="G46" i="2" s="1"/>
  <c r="G28" i="2"/>
  <c r="G47" i="2" s="1"/>
  <c r="G29" i="2"/>
  <c r="G48" i="2" s="1"/>
  <c r="G31" i="2"/>
  <c r="G50" i="2" s="1"/>
  <c r="G32" i="2"/>
  <c r="G51" i="2" s="1"/>
  <c r="G33" i="2"/>
  <c r="G52" i="2" s="1"/>
  <c r="G35" i="2"/>
  <c r="G54" i="2" s="1"/>
  <c r="G36" i="2"/>
  <c r="G55" i="2" s="1"/>
  <c r="G37" i="2"/>
  <c r="G56" i="2" s="1"/>
  <c r="U1" i="19" l="1"/>
  <c r="T19" i="19" s="1"/>
  <c r="P2" i="14"/>
  <c r="D51" i="21" a="1"/>
  <c r="D51" i="21" s="1"/>
  <c r="D7" i="19" s="1"/>
  <c r="D50" i="21" a="1"/>
  <c r="D50" i="21" s="1"/>
  <c r="C51" i="21" a="1"/>
  <c r="C51" i="21" s="1"/>
  <c r="C50" i="21" a="1"/>
  <c r="C50" i="21" s="1"/>
  <c r="F27" i="22"/>
  <c r="K28" i="21" a="1"/>
  <c r="K28" i="21" s="1"/>
  <c r="H28" i="21" a="1"/>
  <c r="H28" i="21" s="1"/>
  <c r="I28" i="21" a="1"/>
  <c r="I28" i="21" s="1"/>
  <c r="H27" i="21" a="1"/>
  <c r="H27" i="21" s="1"/>
  <c r="K27" i="21" a="1"/>
  <c r="K27" i="21" s="1"/>
  <c r="H26" i="21" a="1"/>
  <c r="H26" i="21" s="1"/>
  <c r="K26" i="21" a="1"/>
  <c r="K26" i="21" s="1"/>
  <c r="I24" i="21" a="1"/>
  <c r="I24" i="21" s="1"/>
  <c r="K24" i="21" a="1"/>
  <c r="K24" i="21" s="1"/>
  <c r="K23" i="21" a="1"/>
  <c r="K23" i="21" s="1"/>
  <c r="H24" i="21" a="1"/>
  <c r="H24" i="21" s="1"/>
  <c r="H23" i="21" a="1"/>
  <c r="H23" i="21" s="1"/>
  <c r="I23" i="21" a="1"/>
  <c r="I23" i="21" s="1"/>
  <c r="K21" i="21" a="1"/>
  <c r="K21" i="21" s="1"/>
  <c r="I21" i="21" a="1"/>
  <c r="I21" i="21" s="1"/>
  <c r="H21" i="21" a="1"/>
  <c r="H21" i="21" s="1"/>
  <c r="K19" i="21" a="1"/>
  <c r="K19" i="21" s="1"/>
  <c r="I20" i="21" a="1"/>
  <c r="I20" i="21" s="1"/>
  <c r="K20" i="21" a="1"/>
  <c r="K20" i="21" s="1"/>
  <c r="H20" i="21" a="1"/>
  <c r="H20" i="21" s="1"/>
  <c r="H19" i="21" a="1"/>
  <c r="H19" i="21" s="1"/>
  <c r="I19" i="21" a="1"/>
  <c r="I19" i="21" s="1"/>
  <c r="H14" i="21" a="1"/>
  <c r="H14" i="21" s="1"/>
  <c r="K14" i="21" a="1"/>
  <c r="K14" i="21" s="1"/>
  <c r="I13" i="21" a="1"/>
  <c r="I13" i="21" s="1"/>
  <c r="K13" i="21" a="1"/>
  <c r="K13" i="21" s="1"/>
  <c r="K11" i="21" a="1"/>
  <c r="K11" i="21" s="1"/>
  <c r="H13" i="21" a="1"/>
  <c r="H13" i="21" s="1"/>
  <c r="H11" i="21" a="1"/>
  <c r="H11" i="21" s="1"/>
  <c r="I11" i="21" a="1"/>
  <c r="I11" i="21" s="1"/>
  <c r="I8" i="21" a="1"/>
  <c r="I8" i="21" s="1"/>
  <c r="K8" i="21" a="1"/>
  <c r="K8" i="21" s="1"/>
  <c r="K7" i="21" a="1"/>
  <c r="K7" i="21" s="1"/>
  <c r="H8" i="21" a="1"/>
  <c r="H8" i="21" s="1"/>
  <c r="H7" i="21" a="1"/>
  <c r="H7" i="21" s="1"/>
  <c r="I7" i="21" a="1"/>
  <c r="I7" i="21" s="1"/>
  <c r="I6" i="21" a="1"/>
  <c r="I6" i="21" s="1"/>
  <c r="K6" i="21" a="1"/>
  <c r="K6" i="21" s="1"/>
  <c r="K5" i="21" a="1"/>
  <c r="K5" i="21" s="1"/>
  <c r="H6" i="21" a="1"/>
  <c r="H6" i="21" s="1"/>
  <c r="H5" i="21" a="1"/>
  <c r="H5" i="21" s="1"/>
  <c r="I5" i="21" a="1"/>
  <c r="I5" i="21" s="1"/>
  <c r="I4" i="21" a="1"/>
  <c r="I4" i="21" s="1"/>
  <c r="K4" i="21" a="1"/>
  <c r="K4" i="21" s="1"/>
  <c r="K3" i="21" a="1"/>
  <c r="K3" i="21" s="1"/>
  <c r="H4" i="21" a="1"/>
  <c r="H4" i="21" s="1"/>
  <c r="H3" i="21" a="1"/>
  <c r="H3" i="21" s="1"/>
  <c r="I3" i="21" a="1"/>
  <c r="I3" i="21" s="1"/>
  <c r="K48" i="21" a="1"/>
  <c r="K48" i="21" s="1"/>
  <c r="I45" i="21" a="1"/>
  <c r="I45" i="21" s="1"/>
  <c r="H43" i="21" a="1"/>
  <c r="H43" i="21" s="1"/>
  <c r="K40" i="21" a="1"/>
  <c r="K40" i="21" s="1"/>
  <c r="I37" i="21" a="1"/>
  <c r="I37" i="21" s="1"/>
  <c r="H35" i="21" a="1"/>
  <c r="H35" i="21" s="1"/>
  <c r="K32" i="21" a="1"/>
  <c r="K32" i="21" s="1"/>
  <c r="K49" i="21" a="1"/>
  <c r="K49" i="21" s="1"/>
  <c r="I46" i="21" a="1"/>
  <c r="I46" i="21" s="1"/>
  <c r="I47" i="21" a="1"/>
  <c r="I47" i="21" s="1"/>
  <c r="H45" i="21" a="1"/>
  <c r="H45" i="21" s="1"/>
  <c r="K42" i="21" a="1"/>
  <c r="K42" i="21" s="1"/>
  <c r="I48" i="21" a="1"/>
  <c r="I48" i="21" s="1"/>
  <c r="H46" i="21" a="1"/>
  <c r="H46" i="21" s="1"/>
  <c r="K43" i="21" a="1"/>
  <c r="K43" i="21" s="1"/>
  <c r="I40" i="21" a="1"/>
  <c r="I40" i="21" s="1"/>
  <c r="H38" i="21" a="1"/>
  <c r="H38" i="21" s="1"/>
  <c r="K35" i="21" a="1"/>
  <c r="K35" i="21" s="1"/>
  <c r="I32" i="21" a="1"/>
  <c r="I32" i="21" s="1"/>
  <c r="H30" i="21" a="1"/>
  <c r="H30" i="21" s="1"/>
  <c r="K33" i="21" a="1"/>
  <c r="K33" i="21" s="1"/>
  <c r="I39" i="21" a="1"/>
  <c r="I39" i="21" s="1"/>
  <c r="I31" i="21" a="1"/>
  <c r="I31" i="21" s="1"/>
  <c r="I49" i="21" a="1"/>
  <c r="I49" i="21" s="1"/>
  <c r="H47" i="21" a="1"/>
  <c r="H47" i="21" s="1"/>
  <c r="K44" i="21" a="1"/>
  <c r="K44" i="21" s="1"/>
  <c r="I41" i="21" a="1"/>
  <c r="I41" i="21" s="1"/>
  <c r="H39" i="21" a="1"/>
  <c r="H39" i="21" s="1"/>
  <c r="K36" i="21" a="1"/>
  <c r="K36" i="21" s="1"/>
  <c r="I33" i="21" a="1"/>
  <c r="I33" i="21" s="1"/>
  <c r="H31" i="21" a="1"/>
  <c r="H31" i="21" s="1"/>
  <c r="H34" i="21" a="1"/>
  <c r="H34" i="21" s="1"/>
  <c r="K41" i="21" a="1"/>
  <c r="K41" i="21" s="1"/>
  <c r="H37" i="21" a="1"/>
  <c r="H37" i="21" s="1"/>
  <c r="H48" i="21" a="1"/>
  <c r="H48" i="21" s="1"/>
  <c r="K45" i="21" a="1"/>
  <c r="K45" i="21" s="1"/>
  <c r="I42" i="21" a="1"/>
  <c r="I42" i="21" s="1"/>
  <c r="H40" i="21" a="1"/>
  <c r="H40" i="21" s="1"/>
  <c r="K37" i="21" a="1"/>
  <c r="K37" i="21" s="1"/>
  <c r="I34" i="21" a="1"/>
  <c r="I34" i="21" s="1"/>
  <c r="H32" i="21" a="1"/>
  <c r="H32" i="21" s="1"/>
  <c r="K47" i="21" a="1"/>
  <c r="K47" i="21" s="1"/>
  <c r="H42" i="21" a="1"/>
  <c r="H42" i="21" s="1"/>
  <c r="I36" i="21" a="1"/>
  <c r="I36" i="21" s="1"/>
  <c r="H36" i="21" a="1"/>
  <c r="H36" i="21" s="1"/>
  <c r="I30" i="21" a="1"/>
  <c r="I30" i="21" s="1"/>
  <c r="H49" i="21" a="1"/>
  <c r="H49" i="21" s="1"/>
  <c r="K46" i="21" a="1"/>
  <c r="K46" i="21" s="1"/>
  <c r="I43" i="21" a="1"/>
  <c r="I43" i="21" s="1"/>
  <c r="H41" i="21" a="1"/>
  <c r="H41" i="21" s="1"/>
  <c r="K38" i="21" a="1"/>
  <c r="K38" i="21" s="1"/>
  <c r="I35" i="21" a="1"/>
  <c r="I35" i="21" s="1"/>
  <c r="H33" i="21" a="1"/>
  <c r="H33" i="21" s="1"/>
  <c r="K30" i="21" a="1"/>
  <c r="K30" i="21" s="1"/>
  <c r="I44" i="21" a="1"/>
  <c r="I44" i="21" s="1"/>
  <c r="K39" i="21" a="1"/>
  <c r="K39" i="21" s="1"/>
  <c r="K31" i="21" a="1"/>
  <c r="K31" i="21" s="1"/>
  <c r="H44" i="21" a="1"/>
  <c r="H44" i="21" s="1"/>
  <c r="I38" i="21" a="1"/>
  <c r="I38" i="21" s="1"/>
  <c r="K34" i="21" a="1"/>
  <c r="K34" i="21" s="1"/>
  <c r="K29" i="21" a="1"/>
  <c r="K29" i="21" s="1"/>
  <c r="L29" i="21" s="1"/>
  <c r="H29" i="21" a="1"/>
  <c r="H29" i="21" s="1"/>
  <c r="I29" i="21" a="1"/>
  <c r="I29" i="21" s="1"/>
  <c r="I27" i="21" a="1"/>
  <c r="I27" i="21" s="1"/>
  <c r="I26" i="21" a="1"/>
  <c r="I26" i="21" s="1"/>
  <c r="K25" i="21" a="1"/>
  <c r="K25" i="21" s="1"/>
  <c r="H25" i="21" a="1"/>
  <c r="H25" i="21" s="1"/>
  <c r="I25" i="21" a="1"/>
  <c r="I25" i="21" s="1"/>
  <c r="K22" i="21" a="1"/>
  <c r="K22" i="21" s="1"/>
  <c r="H22" i="21" a="1"/>
  <c r="H22" i="21" s="1"/>
  <c r="I22" i="21" a="1"/>
  <c r="I22" i="21" s="1"/>
  <c r="K18" i="21" a="1"/>
  <c r="K18" i="21" s="1"/>
  <c r="I18" i="21" a="1"/>
  <c r="I18" i="21" s="1"/>
  <c r="H18" i="21" a="1"/>
  <c r="H18" i="21" s="1"/>
  <c r="K17" i="21" a="1"/>
  <c r="K17" i="21" s="1"/>
  <c r="I17" i="21" a="1"/>
  <c r="I17" i="21" s="1"/>
  <c r="H17" i="21" a="1"/>
  <c r="H17" i="21" s="1"/>
  <c r="H16" i="21" a="1"/>
  <c r="H16" i="21" s="1"/>
  <c r="K16" i="21" a="1"/>
  <c r="K16" i="21" s="1"/>
  <c r="I16" i="21" a="1"/>
  <c r="I16" i="21" s="1"/>
  <c r="H50" i="21" a="1"/>
  <c r="H50" i="21" s="1"/>
  <c r="K50" i="21" a="1"/>
  <c r="K50" i="21" s="1"/>
  <c r="I50" i="21" a="1"/>
  <c r="I50" i="21" s="1"/>
  <c r="K15" i="21" a="1"/>
  <c r="K15" i="21" s="1"/>
  <c r="I15" i="21" a="1"/>
  <c r="I15" i="21" s="1"/>
  <c r="H15" i="21" a="1"/>
  <c r="H15" i="21" s="1"/>
  <c r="I14" i="21" a="1"/>
  <c r="I14" i="21" s="1"/>
  <c r="K51" i="21" a="1"/>
  <c r="K51" i="21" s="1"/>
  <c r="H51" i="21" a="1"/>
  <c r="H51" i="21" s="1"/>
  <c r="I51" i="21" a="1"/>
  <c r="I51" i="21" s="1"/>
  <c r="I12" i="21" a="1"/>
  <c r="I12" i="21" s="1"/>
  <c r="H12" i="21" a="1"/>
  <c r="H12" i="21" s="1"/>
  <c r="K12" i="21" a="1"/>
  <c r="K12" i="21" s="1"/>
  <c r="K10" i="21" a="1"/>
  <c r="K10" i="21" s="1"/>
  <c r="H10" i="21" a="1"/>
  <c r="H10" i="21" s="1"/>
  <c r="I10" i="21" a="1"/>
  <c r="I10" i="21" s="1"/>
  <c r="K2" i="21" a="1"/>
  <c r="K2" i="21" s="1"/>
  <c r="K9" i="21" a="1"/>
  <c r="K9" i="21" s="1"/>
  <c r="H9" i="21" a="1"/>
  <c r="H9" i="21" s="1"/>
  <c r="I9" i="21" a="1"/>
  <c r="I9" i="21" s="1"/>
  <c r="H2" i="21" a="1"/>
  <c r="H2" i="21" s="1"/>
  <c r="I2" i="21" a="1"/>
  <c r="I2" i="21" s="1"/>
  <c r="C49" i="21" a="1"/>
  <c r="C49" i="21" s="1"/>
  <c r="F49" i="21" a="1"/>
  <c r="F49" i="21" s="1"/>
  <c r="F47" i="21" a="1"/>
  <c r="F47" i="21" s="1"/>
  <c r="F48" i="21" a="1"/>
  <c r="F48" i="21" s="1"/>
  <c r="F45" i="21" a="1"/>
  <c r="F45" i="21" s="1"/>
  <c r="F46" i="21" a="1"/>
  <c r="F46" i="21" s="1"/>
  <c r="F43" i="21" a="1"/>
  <c r="F43" i="21" s="1"/>
  <c r="F44" i="21" a="1"/>
  <c r="F44" i="21" s="1"/>
  <c r="F41" i="21" a="1"/>
  <c r="F41" i="21" s="1"/>
  <c r="F42" i="21" a="1"/>
  <c r="F42" i="21" s="1"/>
  <c r="F39" i="21" a="1"/>
  <c r="F39" i="21" s="1"/>
  <c r="F40" i="21" a="1"/>
  <c r="F40" i="21" s="1"/>
  <c r="F37" i="21" a="1"/>
  <c r="F37" i="21" s="1"/>
  <c r="F38" i="21" a="1"/>
  <c r="F38" i="21" s="1"/>
  <c r="F35" i="21" a="1"/>
  <c r="F35" i="21" s="1"/>
  <c r="F36" i="21" a="1"/>
  <c r="F36" i="21" s="1"/>
  <c r="F33" i="21" a="1"/>
  <c r="F33" i="21" s="1"/>
  <c r="F34" i="21" a="1"/>
  <c r="F34" i="21" s="1"/>
  <c r="F31" i="21" a="1"/>
  <c r="F31" i="21" s="1"/>
  <c r="F32" i="21" a="1"/>
  <c r="F32" i="21" s="1"/>
  <c r="F29" i="21" a="1"/>
  <c r="F29" i="21" s="1"/>
  <c r="F30" i="21" a="1"/>
  <c r="F30" i="21" s="1"/>
  <c r="F22" i="21" a="1"/>
  <c r="F22" i="21" s="1"/>
  <c r="F25" i="21" a="1"/>
  <c r="F25" i="21" s="1"/>
  <c r="F17" i="21" a="1"/>
  <c r="F17" i="21" s="1"/>
  <c r="F18" i="21" a="1"/>
  <c r="F18" i="21" s="1"/>
  <c r="F15" i="21" a="1"/>
  <c r="F15" i="21" s="1"/>
  <c r="F16" i="21" a="1"/>
  <c r="F16" i="21" s="1"/>
  <c r="F10" i="21" a="1"/>
  <c r="F10" i="21" s="1"/>
  <c r="F12" i="21" a="1"/>
  <c r="F12" i="21" s="1"/>
  <c r="C44" i="21" a="1"/>
  <c r="C44" i="21" s="1"/>
  <c r="F9" i="21" a="1"/>
  <c r="F9" i="21" s="1"/>
  <c r="C42" i="21" a="1"/>
  <c r="C42" i="21" s="1"/>
  <c r="C43" i="21" a="1"/>
  <c r="C43" i="21" s="1"/>
  <c r="C47" i="21" a="1"/>
  <c r="C47" i="21" s="1"/>
  <c r="C48" i="21" a="1"/>
  <c r="C48" i="21" s="1"/>
  <c r="C45" i="21" a="1"/>
  <c r="C45" i="21" s="1"/>
  <c r="C46" i="21" a="1"/>
  <c r="C46" i="21" s="1"/>
  <c r="C40" i="21" a="1"/>
  <c r="C40" i="21" s="1"/>
  <c r="C41" i="21" a="1"/>
  <c r="C41" i="21" s="1"/>
  <c r="C38" i="21" a="1"/>
  <c r="C38" i="21" s="1"/>
  <c r="C39" i="21" a="1"/>
  <c r="C39" i="21" s="1"/>
  <c r="C36" i="21" a="1"/>
  <c r="C36" i="21" s="1"/>
  <c r="C37" i="21" a="1"/>
  <c r="C37" i="21" s="1"/>
  <c r="C34" i="21" a="1"/>
  <c r="C34" i="21" s="1"/>
  <c r="C35" i="21" a="1"/>
  <c r="C35" i="21" s="1"/>
  <c r="C32" i="21" a="1"/>
  <c r="C32" i="21" s="1"/>
  <c r="C33" i="21" a="1"/>
  <c r="C33" i="21" s="1"/>
  <c r="C30" i="21" a="1"/>
  <c r="C30" i="21" s="1"/>
  <c r="C31" i="21" a="1"/>
  <c r="C31" i="21" s="1"/>
  <c r="F13" i="21" a="1"/>
  <c r="F13" i="21" s="1"/>
  <c r="F14" i="21" a="1"/>
  <c r="F14" i="21" s="1"/>
  <c r="F24" i="21" a="1"/>
  <c r="F24" i="21" s="1"/>
  <c r="F11" i="21" a="1"/>
  <c r="F11" i="21" s="1"/>
  <c r="F21" i="21" a="1"/>
  <c r="F21" i="21" s="1"/>
  <c r="F23" i="21" a="1"/>
  <c r="F23" i="21" s="1"/>
  <c r="F19" i="21" a="1"/>
  <c r="F19" i="21" s="1"/>
  <c r="F20" i="21" a="1"/>
  <c r="F20" i="21" s="1"/>
  <c r="F27" i="21" a="1"/>
  <c r="F27" i="21" s="1"/>
  <c r="F28" i="21" a="1"/>
  <c r="F28" i="21" s="1"/>
  <c r="C29" i="21" a="1"/>
  <c r="C29" i="21" s="1"/>
  <c r="F26" i="21" a="1"/>
  <c r="F26" i="21" s="1"/>
  <c r="C27" i="21" a="1"/>
  <c r="C27" i="21" s="1"/>
  <c r="C28" i="21" a="1"/>
  <c r="C28" i="21" s="1"/>
  <c r="C25" i="21" a="1"/>
  <c r="C25" i="21" s="1"/>
  <c r="C26" i="21" a="1"/>
  <c r="C26" i="21" s="1"/>
  <c r="C24" i="21" a="1"/>
  <c r="C24" i="21" s="1"/>
  <c r="C23" i="21" a="1"/>
  <c r="C23" i="21" s="1"/>
  <c r="C21" i="21" a="1"/>
  <c r="C21" i="21" s="1"/>
  <c r="C22" i="21" a="1"/>
  <c r="C22" i="21" s="1"/>
  <c r="C19" i="21" a="1"/>
  <c r="C19" i="21" s="1"/>
  <c r="C20" i="21" a="1"/>
  <c r="C20" i="21" s="1"/>
  <c r="C18" i="21" a="1"/>
  <c r="C18" i="21" s="1"/>
  <c r="C17" i="21" a="1"/>
  <c r="C17" i="21" s="1"/>
  <c r="C15" i="21" a="1"/>
  <c r="C15" i="21" s="1"/>
  <c r="C16" i="21" a="1"/>
  <c r="C16" i="21" s="1"/>
  <c r="C14" i="21" a="1"/>
  <c r="C14" i="21" s="1"/>
  <c r="C12" i="21" a="1"/>
  <c r="C12" i="21" s="1"/>
  <c r="C13" i="21" a="1"/>
  <c r="C13" i="21" s="1"/>
  <c r="C10" i="21" a="1"/>
  <c r="C10" i="21" s="1"/>
  <c r="C11" i="21" a="1"/>
  <c r="C11" i="21" s="1"/>
  <c r="F8" i="21" a="1"/>
  <c r="F8" i="21" s="1"/>
  <c r="C9" i="21" a="1"/>
  <c r="C9" i="21" s="1"/>
  <c r="F6" i="21" a="1"/>
  <c r="F6" i="21" s="1"/>
  <c r="F7" i="21" a="1"/>
  <c r="F7" i="21" s="1"/>
  <c r="F4" i="21" a="1"/>
  <c r="F4" i="21" s="1"/>
  <c r="F5" i="21" a="1"/>
  <c r="F5" i="21" s="1"/>
  <c r="C8" i="21" a="1"/>
  <c r="C8" i="21" s="1"/>
  <c r="F3" i="21" a="1"/>
  <c r="F3" i="21" s="1"/>
  <c r="C6" i="21" a="1"/>
  <c r="C6" i="21" s="1"/>
  <c r="C7" i="21" a="1"/>
  <c r="C7" i="21" s="1"/>
  <c r="C3" i="21" a="1"/>
  <c r="C3" i="21" s="1"/>
  <c r="C5" i="21" a="1"/>
  <c r="C5" i="21" s="1"/>
  <c r="C2" i="21" a="1"/>
  <c r="C2" i="21" s="1"/>
  <c r="C4" i="21" a="1"/>
  <c r="C4" i="21" s="1"/>
  <c r="F2" i="21" a="1"/>
  <c r="F2" i="21" s="1"/>
  <c r="N13" i="4" a="1"/>
  <c r="N13" i="4" s="1"/>
  <c r="N11" i="4" a="1"/>
  <c r="N11" i="4" s="1"/>
  <c r="N12" i="4" a="1"/>
  <c r="N12" i="4" s="1"/>
  <c r="N4" i="4" a="1"/>
  <c r="N4" i="4" s="1"/>
  <c r="N3" i="4" a="1"/>
  <c r="N3" i="4" s="1"/>
  <c r="N2" i="4" a="1"/>
  <c r="N2" i="4" s="1"/>
  <c r="F3" i="6" a="1"/>
  <c r="F3" i="6" s="1"/>
  <c r="F2" i="6" a="1"/>
  <c r="F2" i="6" s="1"/>
  <c r="T15" i="19" l="1"/>
  <c r="T16" i="19"/>
  <c r="T17" i="19"/>
  <c r="T18" i="19"/>
  <c r="H60" i="14"/>
  <c r="F3" i="10" s="1"/>
  <c r="H72" i="14"/>
  <c r="F15" i="10" s="1"/>
  <c r="H70" i="14"/>
  <c r="F13" i="10" s="1"/>
  <c r="H59" i="14"/>
  <c r="F2" i="10" s="1"/>
  <c r="H62" i="14"/>
  <c r="F5" i="10" s="1"/>
  <c r="H71" i="14"/>
  <c r="F14" i="10" s="1"/>
  <c r="H61" i="14"/>
  <c r="F4" i="10" s="1"/>
  <c r="H66" i="14"/>
  <c r="F9" i="10" s="1"/>
  <c r="H63" i="14"/>
  <c r="F6" i="10" s="1"/>
  <c r="H64" i="14"/>
  <c r="F7" i="10" s="1"/>
  <c r="H69" i="14"/>
  <c r="F12" i="10" s="1"/>
  <c r="H65" i="14"/>
  <c r="F8" i="10" s="1"/>
  <c r="H67" i="14"/>
  <c r="F10" i="10" s="1"/>
  <c r="H68" i="14"/>
  <c r="F11" i="10" s="1"/>
  <c r="B8" i="19"/>
  <c r="D8" i="19"/>
  <c r="H8" i="19"/>
  <c r="Q50" i="21"/>
  <c r="F7" i="19"/>
  <c r="F8" i="19"/>
  <c r="Q51" i="21"/>
  <c r="T50" i="21"/>
  <c r="T51" i="21"/>
  <c r="L46" i="21"/>
  <c r="N46" i="21" s="1"/>
  <c r="M46" i="21"/>
  <c r="R46" i="21" s="1"/>
  <c r="L37" i="21"/>
  <c r="N37" i="21" s="1"/>
  <c r="M37" i="21"/>
  <c r="R37" i="21" s="1"/>
  <c r="M43" i="21"/>
  <c r="R43" i="21" s="1"/>
  <c r="L43" i="21"/>
  <c r="N43" i="21" s="1"/>
  <c r="L32" i="21"/>
  <c r="N32" i="21" s="1"/>
  <c r="M32" i="21"/>
  <c r="R32" i="21" s="1"/>
  <c r="M51" i="21"/>
  <c r="L51" i="21"/>
  <c r="L30" i="21"/>
  <c r="N30" i="21" s="1"/>
  <c r="M30" i="21"/>
  <c r="R30" i="21" s="1"/>
  <c r="L39" i="21"/>
  <c r="N39" i="21" s="1"/>
  <c r="M39" i="21"/>
  <c r="R39" i="21" s="1"/>
  <c r="L36" i="21"/>
  <c r="N36" i="21" s="1"/>
  <c r="M36" i="21"/>
  <c r="R36" i="21" s="1"/>
  <c r="L33" i="21"/>
  <c r="N33" i="21" s="1"/>
  <c r="M33" i="21"/>
  <c r="R33" i="21" s="1"/>
  <c r="L49" i="21"/>
  <c r="N49" i="21" s="1"/>
  <c r="M49" i="21"/>
  <c r="R49" i="21" s="1"/>
  <c r="M34" i="21"/>
  <c r="R34" i="21" s="1"/>
  <c r="L34" i="21"/>
  <c r="N34" i="21" s="1"/>
  <c r="L45" i="21"/>
  <c r="N45" i="21" s="1"/>
  <c r="M45" i="21"/>
  <c r="R45" i="21" s="1"/>
  <c r="M42" i="21"/>
  <c r="R42" i="21" s="1"/>
  <c r="L42" i="21"/>
  <c r="N42" i="21" s="1"/>
  <c r="L40" i="21"/>
  <c r="N40" i="21" s="1"/>
  <c r="M40" i="21"/>
  <c r="R40" i="21" s="1"/>
  <c r="L38" i="21"/>
  <c r="N38" i="21" s="1"/>
  <c r="M38" i="21"/>
  <c r="R38" i="21" s="1"/>
  <c r="M50" i="21"/>
  <c r="L50" i="21"/>
  <c r="N50" i="21" s="1"/>
  <c r="M47" i="21"/>
  <c r="R47" i="21" s="1"/>
  <c r="L47" i="21"/>
  <c r="N47" i="21" s="1"/>
  <c r="M44" i="21"/>
  <c r="R44" i="21" s="1"/>
  <c r="L44" i="21"/>
  <c r="N44" i="21" s="1"/>
  <c r="L35" i="21"/>
  <c r="N35" i="21" s="1"/>
  <c r="M35" i="21"/>
  <c r="R35" i="21" s="1"/>
  <c r="L31" i="21"/>
  <c r="N31" i="21" s="1"/>
  <c r="M31" i="21"/>
  <c r="R31" i="21" s="1"/>
  <c r="L41" i="21"/>
  <c r="N41" i="21" s="1"/>
  <c r="M41" i="21"/>
  <c r="R41" i="21" s="1"/>
  <c r="L48" i="21"/>
  <c r="N48" i="21" s="1"/>
  <c r="M48" i="21"/>
  <c r="R48" i="21" s="1"/>
  <c r="M2" i="21"/>
  <c r="R2" i="21" s="1"/>
  <c r="L2" i="21"/>
  <c r="N2" i="21" s="1"/>
  <c r="L8" i="21"/>
  <c r="N8" i="21" s="1"/>
  <c r="L3" i="21"/>
  <c r="N3" i="21" s="1"/>
  <c r="L4" i="21"/>
  <c r="N4" i="21" s="1"/>
  <c r="L5" i="21"/>
  <c r="N5" i="21" s="1"/>
  <c r="L7" i="21"/>
  <c r="N7" i="21" s="1"/>
  <c r="L6" i="21"/>
  <c r="N6" i="21" s="1"/>
  <c r="M9" i="21"/>
  <c r="R9" i="21" s="1"/>
  <c r="L9" i="21"/>
  <c r="N9" i="21" s="1"/>
  <c r="M10" i="21"/>
  <c r="R10" i="21" s="1"/>
  <c r="L10" i="21"/>
  <c r="N10" i="21" s="1"/>
  <c r="L11" i="21"/>
  <c r="N11" i="21" s="1"/>
  <c r="L14" i="21"/>
  <c r="N14" i="21" s="1"/>
  <c r="M12" i="21"/>
  <c r="R12" i="21" s="1"/>
  <c r="L12" i="21"/>
  <c r="N12" i="21" s="1"/>
  <c r="M13" i="21"/>
  <c r="R13" i="21" s="1"/>
  <c r="L13" i="21"/>
  <c r="N13" i="21" s="1"/>
  <c r="M15" i="21"/>
  <c r="R15" i="21" s="1"/>
  <c r="L15" i="21"/>
  <c r="N15" i="21" s="1"/>
  <c r="M16" i="21"/>
  <c r="R16" i="21" s="1"/>
  <c r="L16" i="21"/>
  <c r="N16" i="21" s="1"/>
  <c r="M17" i="21"/>
  <c r="R17" i="21" s="1"/>
  <c r="L17" i="21"/>
  <c r="N17" i="21" s="1"/>
  <c r="M18" i="21"/>
  <c r="R18" i="21" s="1"/>
  <c r="L18" i="21"/>
  <c r="N18" i="21" s="1"/>
  <c r="L20" i="21"/>
  <c r="N20" i="21" s="1"/>
  <c r="L19" i="21"/>
  <c r="N19" i="21" s="1"/>
  <c r="L21" i="21"/>
  <c r="N21" i="21" s="1"/>
  <c r="M22" i="21"/>
  <c r="R22" i="21" s="1"/>
  <c r="L22" i="21"/>
  <c r="N22" i="21" s="1"/>
  <c r="L23" i="21"/>
  <c r="N23" i="21" s="1"/>
  <c r="L24" i="21"/>
  <c r="N24" i="21" s="1"/>
  <c r="M25" i="21"/>
  <c r="R25" i="21" s="1"/>
  <c r="L25" i="21"/>
  <c r="N25" i="21" s="1"/>
  <c r="L26" i="21"/>
  <c r="N26" i="21" s="1"/>
  <c r="L27" i="21"/>
  <c r="N27" i="21" s="1"/>
  <c r="L28" i="21"/>
  <c r="N28" i="21" s="1"/>
  <c r="N29" i="21"/>
  <c r="M29" i="21"/>
  <c r="R29" i="21" s="1"/>
  <c r="M3" i="21"/>
  <c r="R3" i="21" s="1"/>
  <c r="M4" i="21"/>
  <c r="R4" i="21" s="1"/>
  <c r="M5" i="21"/>
  <c r="R5" i="21" s="1"/>
  <c r="M8" i="21"/>
  <c r="R8" i="21" s="1"/>
  <c r="M6" i="21"/>
  <c r="R6" i="21" s="1"/>
  <c r="M7" i="21"/>
  <c r="R7" i="21" s="1"/>
  <c r="M11" i="21"/>
  <c r="R11" i="21" s="1"/>
  <c r="M14" i="21"/>
  <c r="R14" i="21" s="1"/>
  <c r="M20" i="21"/>
  <c r="R20" i="21" s="1"/>
  <c r="M19" i="21"/>
  <c r="R19" i="21" s="1"/>
  <c r="M21" i="21"/>
  <c r="R21" i="21" s="1"/>
  <c r="M23" i="21"/>
  <c r="R23" i="21" s="1"/>
  <c r="M24" i="21"/>
  <c r="R24" i="21" s="1"/>
  <c r="M28" i="21"/>
  <c r="R28" i="21" s="1"/>
  <c r="M26" i="21"/>
  <c r="R26" i="21" s="1"/>
  <c r="M27" i="21"/>
  <c r="R27" i="21" s="1"/>
  <c r="J21" i="21"/>
  <c r="J20" i="21"/>
  <c r="J31" i="21"/>
  <c r="J29" i="21"/>
  <c r="J44" i="21"/>
  <c r="J42" i="21"/>
  <c r="J48" i="21"/>
  <c r="J37" i="21"/>
  <c r="J46" i="21"/>
  <c r="J35" i="21"/>
  <c r="J45" i="21"/>
  <c r="J43" i="21"/>
  <c r="J41" i="21"/>
  <c r="J34" i="21"/>
  <c r="J49" i="21"/>
  <c r="J40" i="21"/>
  <c r="J33" i="21"/>
  <c r="J36" i="21"/>
  <c r="J39" i="21"/>
  <c r="J30" i="21"/>
  <c r="J32" i="21"/>
  <c r="J47" i="21"/>
  <c r="J38" i="21"/>
  <c r="J28" i="21"/>
  <c r="J27" i="21"/>
  <c r="J24" i="21"/>
  <c r="J26" i="21"/>
  <c r="J25" i="21"/>
  <c r="J23" i="21"/>
  <c r="J19" i="21"/>
  <c r="J22" i="21"/>
  <c r="J18" i="21"/>
  <c r="J17" i="21"/>
  <c r="J16" i="21"/>
  <c r="J50" i="21"/>
  <c r="J15" i="21"/>
  <c r="J14" i="21"/>
  <c r="J13" i="21"/>
  <c r="J12" i="21"/>
  <c r="J51" i="21"/>
  <c r="J9" i="21"/>
  <c r="J10" i="21"/>
  <c r="J11" i="21"/>
  <c r="J7" i="21"/>
  <c r="J2" i="21"/>
  <c r="J8" i="21"/>
  <c r="J6" i="21"/>
  <c r="J4" i="21"/>
  <c r="J5" i="21"/>
  <c r="J3" i="21"/>
  <c r="D49" i="21"/>
  <c r="J6" i="19" s="1"/>
  <c r="D42" i="21"/>
  <c r="D43" i="21"/>
  <c r="D44" i="21"/>
  <c r="D45" i="21"/>
  <c r="D48" i="21"/>
  <c r="D47" i="21"/>
  <c r="D46" i="21"/>
  <c r="D30" i="21"/>
  <c r="D31" i="21"/>
  <c r="D41" i="21"/>
  <c r="D36" i="21"/>
  <c r="D34" i="21"/>
  <c r="D38" i="21"/>
  <c r="D37" i="21"/>
  <c r="D32" i="21"/>
  <c r="D40" i="21"/>
  <c r="D35" i="21"/>
  <c r="D33" i="21"/>
  <c r="D39" i="21"/>
  <c r="D26" i="21"/>
  <c r="D27" i="21"/>
  <c r="D29" i="21"/>
  <c r="D28" i="21"/>
  <c r="D25" i="21"/>
  <c r="D23" i="21"/>
  <c r="D24" i="21"/>
  <c r="D20" i="21"/>
  <c r="D19" i="21"/>
  <c r="D18" i="21"/>
  <c r="D22" i="21"/>
  <c r="D21" i="21"/>
  <c r="D15" i="21"/>
  <c r="D16" i="21"/>
  <c r="D17" i="21"/>
  <c r="D13" i="21"/>
  <c r="D14" i="21"/>
  <c r="D12" i="21"/>
  <c r="D11" i="21"/>
  <c r="D10" i="21"/>
  <c r="D9" i="21"/>
  <c r="D8" i="21"/>
  <c r="D6" i="21"/>
  <c r="D5" i="21"/>
  <c r="D7" i="21"/>
  <c r="D4" i="21"/>
  <c r="D2" i="21"/>
  <c r="D3" i="21"/>
  <c r="G3" i="16"/>
  <c r="I3" i="16"/>
  <c r="H3" i="16"/>
  <c r="J3" i="16"/>
  <c r="C3" i="16"/>
  <c r="D3" i="16"/>
  <c r="F3" i="16"/>
  <c r="E3" i="16"/>
  <c r="F3" i="19" l="1"/>
  <c r="H3" i="19"/>
  <c r="D3" i="19"/>
  <c r="B3" i="19"/>
  <c r="J5" i="19"/>
  <c r="J4" i="19"/>
  <c r="U16" i="19" s="1"/>
  <c r="Q21" i="21"/>
  <c r="T21" i="21"/>
  <c r="Q22" i="21"/>
  <c r="T22" i="21"/>
  <c r="Q47" i="21"/>
  <c r="T47" i="21"/>
  <c r="Q4" i="21"/>
  <c r="T4" i="21"/>
  <c r="Q12" i="21"/>
  <c r="T12" i="21"/>
  <c r="Q18" i="21"/>
  <c r="T18" i="21"/>
  <c r="Q27" i="21"/>
  <c r="T27" i="21"/>
  <c r="Q38" i="21"/>
  <c r="T38" i="21"/>
  <c r="Q48" i="21"/>
  <c r="T48" i="21"/>
  <c r="Q10" i="21"/>
  <c r="T10" i="21"/>
  <c r="Q32" i="21"/>
  <c r="T32" i="21"/>
  <c r="Q11" i="21"/>
  <c r="T11" i="21"/>
  <c r="Q29" i="21"/>
  <c r="T29" i="21"/>
  <c r="Q37" i="21"/>
  <c r="T37" i="21"/>
  <c r="Q7" i="21"/>
  <c r="T7" i="21"/>
  <c r="Q14" i="21"/>
  <c r="T14" i="21"/>
  <c r="Q19" i="21"/>
  <c r="T19" i="21"/>
  <c r="Q26" i="21"/>
  <c r="T26" i="21"/>
  <c r="Q34" i="21"/>
  <c r="T34" i="21"/>
  <c r="Q45" i="21"/>
  <c r="T45" i="21"/>
  <c r="Q3" i="21"/>
  <c r="T3" i="21"/>
  <c r="Q46" i="21"/>
  <c r="T46" i="21"/>
  <c r="Q6" i="21"/>
  <c r="T6" i="21"/>
  <c r="Q17" i="21"/>
  <c r="T17" i="21"/>
  <c r="Q24" i="21"/>
  <c r="T24" i="21"/>
  <c r="Q33" i="21"/>
  <c r="T33" i="21"/>
  <c r="Q41" i="21"/>
  <c r="T41" i="21"/>
  <c r="Q43" i="21"/>
  <c r="T43" i="21"/>
  <c r="Q28" i="21"/>
  <c r="T28" i="21"/>
  <c r="Q5" i="21"/>
  <c r="T5" i="21"/>
  <c r="Q20" i="21"/>
  <c r="T20" i="21"/>
  <c r="Q36" i="21"/>
  <c r="T36" i="21"/>
  <c r="Q8" i="21"/>
  <c r="T8" i="21"/>
  <c r="Q16" i="21"/>
  <c r="T16" i="21"/>
  <c r="Q23" i="21"/>
  <c r="T23" i="21"/>
  <c r="Q35" i="21"/>
  <c r="T35" i="21"/>
  <c r="Q31" i="21"/>
  <c r="T31" i="21"/>
  <c r="Q42" i="21"/>
  <c r="T42" i="21"/>
  <c r="Q13" i="21"/>
  <c r="T13" i="21"/>
  <c r="Q39" i="21"/>
  <c r="T39" i="21"/>
  <c r="Q44" i="21"/>
  <c r="T44" i="21"/>
  <c r="Q9" i="21"/>
  <c r="T9" i="21"/>
  <c r="Q15" i="21"/>
  <c r="T15" i="21"/>
  <c r="Q25" i="21"/>
  <c r="T25" i="21"/>
  <c r="Q40" i="21"/>
  <c r="T40" i="21"/>
  <c r="Q30" i="21"/>
  <c r="T30" i="21"/>
  <c r="Q49" i="21"/>
  <c r="T49" i="21"/>
  <c r="Q2" i="21"/>
  <c r="T2" i="21"/>
  <c r="R51" i="21"/>
  <c r="R50" i="21"/>
  <c r="N51" i="21"/>
  <c r="T6" i="19"/>
  <c r="U15" i="19" l="1"/>
  <c r="T5" i="19"/>
  <c r="T4" i="19"/>
  <c r="T3" i="19"/>
  <c r="U18" i="19" l="1"/>
  <c r="U17" i="19" l="1"/>
  <c r="N5" i="22" l="1"/>
  <c r="T7" i="19" l="1"/>
  <c r="U19" i="19" l="1"/>
  <c r="O2" i="19"/>
  <c r="T26" i="19" s="1" a="1"/>
  <c r="T26" i="19" s="1"/>
  <c r="U20" i="19" l="1"/>
  <c r="T21" i="19" s="1"/>
  <c r="U31" i="19" a="1"/>
  <c r="U31" i="19" s="1"/>
  <c r="T31" i="19" a="1"/>
  <c r="T31" i="19" s="1"/>
  <c r="U26" i="19" a="1"/>
  <c r="U26" i="19" s="1"/>
  <c r="M5" i="19" l="1"/>
  <c r="N5" i="19" s="1"/>
  <c r="M4" i="19"/>
  <c r="B3" i="22" s="1"/>
  <c r="I3" i="22" s="1"/>
  <c r="M7" i="19"/>
  <c r="M3" i="19"/>
  <c r="J3" i="22" l="1"/>
  <c r="I3" i="7" s="1"/>
  <c r="N4" i="19"/>
  <c r="P34" i="21" s="1"/>
  <c r="B2" i="22"/>
  <c r="M2" i="22" s="1"/>
  <c r="G2" i="6"/>
  <c r="B4" i="22"/>
  <c r="M4" i="22" s="1"/>
  <c r="G3" i="6"/>
  <c r="N7" i="19"/>
  <c r="N3" i="19"/>
  <c r="H3" i="7"/>
  <c r="P48" i="21"/>
  <c r="P46" i="21"/>
  <c r="P42" i="21"/>
  <c r="P43" i="21"/>
  <c r="P45" i="21"/>
  <c r="P44" i="21"/>
  <c r="P49" i="21"/>
  <c r="P47" i="21"/>
  <c r="P37" i="21" l="1"/>
  <c r="P32" i="21"/>
  <c r="P36" i="21"/>
  <c r="P33" i="21"/>
  <c r="P41" i="21"/>
  <c r="P38" i="21"/>
  <c r="P39" i="21"/>
  <c r="P35" i="21"/>
  <c r="P30" i="21"/>
  <c r="P40" i="21"/>
  <c r="P31" i="21"/>
  <c r="N2" i="22"/>
  <c r="L2" i="7" s="1"/>
  <c r="K4" i="7"/>
  <c r="N4" i="22"/>
  <c r="L4" i="7" s="1"/>
  <c r="P24" i="21"/>
  <c r="P25" i="21"/>
  <c r="P8" i="21"/>
  <c r="P7" i="21"/>
  <c r="P14" i="21"/>
  <c r="K2" i="7"/>
  <c r="P50" i="21"/>
  <c r="P51" i="21"/>
  <c r="P28" i="21"/>
  <c r="P22" i="21"/>
  <c r="P11" i="21"/>
  <c r="P20" i="21"/>
  <c r="P12" i="21"/>
  <c r="P6" i="21"/>
  <c r="P4" i="21"/>
  <c r="P9" i="21"/>
  <c r="P16" i="21"/>
  <c r="P27" i="21"/>
  <c r="P3" i="21"/>
  <c r="P10" i="21"/>
  <c r="P19" i="21"/>
  <c r="P13" i="21"/>
  <c r="P21" i="21"/>
  <c r="P5" i="21"/>
  <c r="P17" i="21"/>
  <c r="P26" i="21"/>
  <c r="P29" i="21"/>
  <c r="P2" i="21"/>
  <c r="P15" i="21"/>
  <c r="P18" i="21"/>
  <c r="P23" i="21"/>
  <c r="T32" i="19" l="1" a="1"/>
  <c r="T32" i="19" s="1"/>
  <c r="T33" i="19" s="1" a="1"/>
  <c r="T33" i="19" s="1"/>
  <c r="T34" i="19" s="1" a="1"/>
  <c r="T34" i="19" s="1"/>
  <c r="U27" i="19" a="1"/>
  <c r="U27" i="19" s="1"/>
  <c r="U28" i="19" s="1" a="1"/>
  <c r="U28" i="19" s="1"/>
  <c r="U32" i="19" a="1"/>
  <c r="U32" i="19" s="1"/>
  <c r="U33" i="19" s="1" a="1"/>
  <c r="U33" i="19" s="1"/>
  <c r="T27" i="19" a="1"/>
  <c r="T27" i="19" s="1"/>
  <c r="T28" i="19" s="1" a="1"/>
  <c r="T28" i="19" s="1"/>
  <c r="T29" i="19" s="1" a="1"/>
  <c r="T29" i="19" s="1"/>
  <c r="T22" i="19" l="1" a="1"/>
  <c r="T22" i="19" s="1"/>
  <c r="T23" i="19" a="1"/>
  <c r="T23" i="19" s="1"/>
  <c r="B15" i="19" l="1" a="1"/>
  <c r="B15" i="19" s="1"/>
  <c r="C16" i="19" a="1"/>
  <c r="C16" i="19" s="1"/>
  <c r="H29" i="19" a="1"/>
  <c r="H29" i="19" s="1"/>
  <c r="B18" i="19" a="1"/>
  <c r="B18" i="19" s="1"/>
  <c r="B16" i="19" a="1"/>
  <c r="B16" i="19" s="1"/>
  <c r="M8" i="19" a="1"/>
  <c r="M8" i="19" s="1"/>
  <c r="G28" i="19" a="1"/>
  <c r="G28" i="19" s="1"/>
  <c r="B28" i="19" a="1"/>
  <c r="B28" i="19" s="1"/>
  <c r="H26" i="19" a="1"/>
  <c r="H26" i="19" s="1"/>
  <c r="C26" i="19" a="1"/>
  <c r="C26" i="19" s="1"/>
  <c r="C28" i="19" a="1"/>
  <c r="C28" i="19" s="1"/>
  <c r="G27" i="19" a="1"/>
  <c r="G27" i="19" s="1"/>
  <c r="C18" i="19" a="1"/>
  <c r="C18" i="19" s="1"/>
  <c r="H27" i="19" a="1"/>
  <c r="H27" i="19" s="1"/>
  <c r="H28" i="19" a="1"/>
  <c r="H28" i="19" s="1"/>
  <c r="G26" i="19" a="1"/>
  <c r="G26" i="19" s="1"/>
  <c r="C15" i="19" a="1"/>
  <c r="C15" i="19" s="1"/>
  <c r="C27" i="19" a="1"/>
  <c r="C27" i="19" s="1"/>
  <c r="M9" i="19" a="1"/>
  <c r="M9" i="19" s="1"/>
  <c r="B27" i="19" a="1"/>
  <c r="B27" i="19" s="1"/>
  <c r="N8" i="19" a="1"/>
  <c r="N8" i="19" s="1"/>
  <c r="B29" i="19" a="1"/>
  <c r="B29" i="19" s="1"/>
  <c r="C17" i="19" a="1"/>
  <c r="C17" i="19" s="1"/>
  <c r="G29" i="19" a="1"/>
  <c r="G29" i="19" s="1"/>
  <c r="B17" i="19" a="1"/>
  <c r="B17" i="19" s="1"/>
  <c r="C29" i="19" a="1"/>
  <c r="C29" i="19" s="1"/>
  <c r="B26" i="19" a="1"/>
  <c r="B26" i="19" s="1"/>
  <c r="G17" i="21"/>
  <c r="G4" i="21"/>
  <c r="F4" i="4" s="1" a="1"/>
  <c r="F4" i="4" s="1"/>
  <c r="G37" i="21"/>
  <c r="G9" i="21"/>
  <c r="G33" i="21"/>
  <c r="G3" i="21"/>
  <c r="F2" i="4" s="1" a="1"/>
  <c r="F2" i="4" s="1"/>
  <c r="G51" i="21"/>
  <c r="D3" i="23"/>
  <c r="D15" i="23"/>
  <c r="E17" i="23"/>
  <c r="D5" i="23"/>
  <c r="G30" i="21"/>
  <c r="G27" i="21"/>
  <c r="F6" i="4" s="1" a="1"/>
  <c r="F6" i="4" s="1"/>
  <c r="G39" i="21"/>
  <c r="G48" i="21"/>
  <c r="G13" i="21"/>
  <c r="F18" i="4" s="1" a="1"/>
  <c r="F18" i="4" s="1"/>
  <c r="G29" i="21"/>
  <c r="G15" i="21"/>
  <c r="G23" i="21"/>
  <c r="F15" i="4" s="1" a="1"/>
  <c r="F15" i="4" s="1"/>
  <c r="G20" i="21"/>
  <c r="F8" i="4" s="1" a="1"/>
  <c r="F8" i="4" s="1"/>
  <c r="G14" i="21"/>
  <c r="F16" i="4" s="1" a="1"/>
  <c r="F16" i="4" s="1"/>
  <c r="G36" i="21"/>
  <c r="G11" i="21"/>
  <c r="F9" i="4" s="1" a="1"/>
  <c r="F9" i="4" s="1"/>
  <c r="D18" i="23"/>
  <c r="D16" i="23"/>
  <c r="E9" i="23"/>
  <c r="D4" i="23"/>
  <c r="G41" i="21"/>
  <c r="G12" i="21"/>
  <c r="G45" i="21"/>
  <c r="G35" i="21"/>
  <c r="G18" i="21"/>
  <c r="D9" i="23"/>
  <c r="D6" i="23"/>
  <c r="E8" i="23"/>
  <c r="D7" i="23"/>
  <c r="G22" i="21"/>
  <c r="G5" i="21"/>
  <c r="F3" i="4" s="1" a="1"/>
  <c r="F3" i="4" s="1"/>
  <c r="G21" i="21"/>
  <c r="F10" i="4" s="1" a="1"/>
  <c r="F10" i="4" s="1"/>
  <c r="G28" i="21"/>
  <c r="F14" i="4" s="1" a="1"/>
  <c r="F14" i="4" s="1"/>
  <c r="G40" i="21"/>
  <c r="G6" i="21"/>
  <c r="F11" i="4" s="1" a="1"/>
  <c r="F11" i="4" s="1"/>
  <c r="G32" i="21"/>
  <c r="G49" i="21"/>
  <c r="G46" i="21"/>
  <c r="G47" i="21"/>
  <c r="G38" i="21"/>
  <c r="E2" i="23"/>
  <c r="E10" i="23"/>
  <c r="D12" i="23"/>
  <c r="E16" i="23"/>
  <c r="G2" i="21"/>
  <c r="G10" i="21"/>
  <c r="D10" i="23"/>
  <c r="E6" i="23"/>
  <c r="G26" i="21"/>
  <c r="F5" i="4" s="1" a="1"/>
  <c r="F5" i="4" s="1"/>
  <c r="D8" i="23"/>
  <c r="G7" i="21"/>
  <c r="F12" i="4" s="1" a="1"/>
  <c r="F12" i="4" s="1"/>
  <c r="G44" i="21"/>
  <c r="E3" i="23"/>
  <c r="G34" i="21"/>
  <c r="G50" i="21"/>
  <c r="E7" i="23"/>
  <c r="D2" i="23"/>
  <c r="G43" i="21"/>
  <c r="E15" i="23"/>
  <c r="G25" i="21"/>
  <c r="G8" i="21"/>
  <c r="F13" i="4" s="1" a="1"/>
  <c r="F13" i="4" s="1"/>
  <c r="E11" i="23"/>
  <c r="E12" i="23"/>
  <c r="E14" i="23"/>
  <c r="E4" i="23"/>
  <c r="G19" i="21"/>
  <c r="F7" i="4" s="1" a="1"/>
  <c r="F7" i="4" s="1"/>
  <c r="E5" i="23"/>
  <c r="G42" i="21"/>
  <c r="D11" i="23"/>
  <c r="G31" i="21"/>
  <c r="E18" i="23"/>
  <c r="D17" i="23"/>
  <c r="E13" i="23"/>
  <c r="G16" i="21"/>
  <c r="G24" i="21"/>
  <c r="F17" i="4" s="1" a="1"/>
  <c r="F17" i="4" s="1"/>
  <c r="D13" i="23"/>
  <c r="D14" i="23"/>
  <c r="M10" i="19" l="1" a="1"/>
  <c r="M10" i="19" s="1"/>
  <c r="S31" i="21"/>
  <c r="O31" i="21"/>
  <c r="O34" i="21"/>
  <c r="S34" i="21"/>
  <c r="S10" i="21"/>
  <c r="O10" i="21"/>
  <c r="S46" i="21"/>
  <c r="O46" i="21"/>
  <c r="O22" i="21"/>
  <c r="S22" i="21"/>
  <c r="O12" i="21"/>
  <c r="S12" i="21"/>
  <c r="S14" i="21"/>
  <c r="O14" i="21"/>
  <c r="S27" i="21"/>
  <c r="O27" i="21"/>
  <c r="O33" i="21"/>
  <c r="S33" i="21"/>
  <c r="O49" i="21"/>
  <c r="S49" i="21"/>
  <c r="S41" i="21"/>
  <c r="O41" i="21"/>
  <c r="S20" i="21"/>
  <c r="O20" i="21"/>
  <c r="S30" i="21"/>
  <c r="O30" i="21"/>
  <c r="O9" i="21"/>
  <c r="S9" i="21"/>
  <c r="O50" i="21"/>
  <c r="S50" i="21"/>
  <c r="S5" i="21"/>
  <c r="O5" i="21"/>
  <c r="S3" i="21"/>
  <c r="O3" i="21"/>
  <c r="B18" i="4"/>
  <c r="B2" i="8" s="1"/>
  <c r="C2" i="8" s="1"/>
  <c r="B3" i="8" s="1"/>
  <c r="C3" i="8" s="1"/>
  <c r="B4" i="8" s="1"/>
  <c r="C4" i="8" s="1"/>
  <c r="B5" i="8" s="1"/>
  <c r="C5" i="8" s="1"/>
  <c r="B6" i="8" s="1"/>
  <c r="C6" i="8" s="1"/>
  <c r="B7" i="8" s="1"/>
  <c r="C7" i="8" s="1"/>
  <c r="B8" i="8" s="1"/>
  <c r="C8" i="8" s="1"/>
  <c r="B9" i="8" s="1"/>
  <c r="C9" i="8" s="1"/>
  <c r="B10" i="8" s="1"/>
  <c r="C10" i="8" s="1"/>
  <c r="B11" i="8" s="1"/>
  <c r="C11" i="8" s="1"/>
  <c r="B12" i="8" s="1"/>
  <c r="C12" i="8" s="1"/>
  <c r="B13" i="8" s="1"/>
  <c r="C13" i="8" s="1"/>
  <c r="B14" i="8" s="1"/>
  <c r="C14" i="8" s="1"/>
  <c r="B15" i="8" s="1"/>
  <c r="C15" i="8" s="1"/>
  <c r="B16" i="8" s="1"/>
  <c r="C16" i="8" s="1"/>
  <c r="B17" i="8" s="1"/>
  <c r="C17" i="8" s="1"/>
  <c r="B18" i="8" s="1"/>
  <c r="C18" i="8" s="1"/>
  <c r="B19" i="8" s="1"/>
  <c r="C19" i="8" s="1"/>
  <c r="B20" i="8" s="1"/>
  <c r="C20" i="8" s="1"/>
  <c r="O8" i="21"/>
  <c r="S8" i="21"/>
  <c r="O42" i="21"/>
  <c r="S42" i="21"/>
  <c r="O44" i="21"/>
  <c r="S44" i="21"/>
  <c r="S32" i="21"/>
  <c r="O32" i="21"/>
  <c r="S23" i="21"/>
  <c r="O23" i="21"/>
  <c r="S37" i="21"/>
  <c r="O37" i="21"/>
  <c r="S2" i="21"/>
  <c r="O2" i="21"/>
  <c r="S4" i="21"/>
  <c r="O4" i="21"/>
  <c r="O15" i="21"/>
  <c r="S15" i="21"/>
  <c r="O16" i="21"/>
  <c r="S16" i="21"/>
  <c r="S19" i="21"/>
  <c r="O19" i="21"/>
  <c r="S43" i="21"/>
  <c r="O43" i="21"/>
  <c r="S40" i="21"/>
  <c r="O40" i="21"/>
  <c r="O29" i="21"/>
  <c r="S29" i="21"/>
  <c r="S17" i="21"/>
  <c r="O17" i="21"/>
  <c r="O36" i="21"/>
  <c r="S36" i="21"/>
  <c r="S25" i="21"/>
  <c r="O25" i="21"/>
  <c r="O24" i="21"/>
  <c r="S24" i="21"/>
  <c r="S7" i="21"/>
  <c r="O7" i="21"/>
  <c r="S6" i="21"/>
  <c r="O6" i="21"/>
  <c r="O26" i="21"/>
  <c r="S26" i="21"/>
  <c r="S28" i="21"/>
  <c r="O28" i="21"/>
  <c r="O18" i="21"/>
  <c r="S18" i="21"/>
  <c r="S13" i="21"/>
  <c r="O13" i="21"/>
  <c r="S47" i="21"/>
  <c r="O47" i="21"/>
  <c r="S45" i="21"/>
  <c r="O45" i="21"/>
  <c r="O39" i="21"/>
  <c r="S39" i="21"/>
  <c r="S38" i="21"/>
  <c r="O38" i="21"/>
  <c r="S21" i="21"/>
  <c r="O21" i="21"/>
  <c r="O35" i="21"/>
  <c r="S35" i="21"/>
  <c r="S11" i="21"/>
  <c r="O11" i="21"/>
  <c r="S48" i="21"/>
  <c r="O48" i="21"/>
  <c r="O51" i="21"/>
  <c r="S51" i="21"/>
  <c r="B2" i="9" l="1"/>
  <c r="B3" i="9" s="1"/>
  <c r="B2" i="24"/>
  <c r="C2" i="24" s="1"/>
  <c r="B3" i="24" s="1"/>
  <c r="C3" i="24" s="1"/>
  <c r="B4" i="24" s="1"/>
  <c r="C4" i="24" s="1"/>
  <c r="B5" i="24" s="1"/>
  <c r="C5" i="24" s="1"/>
  <c r="B6" i="24" s="1"/>
  <c r="C6" i="24" s="1"/>
  <c r="B7" i="24" s="1"/>
  <c r="C7" i="24" s="1"/>
  <c r="B8" i="24" s="1"/>
  <c r="C8" i="24" s="1"/>
  <c r="B9" i="24" s="1"/>
  <c r="C9" i="24" s="1"/>
  <c r="B10" i="24" s="1"/>
  <c r="C10" i="24" s="1"/>
  <c r="B11" i="24" s="1"/>
  <c r="C11" i="24" s="1"/>
  <c r="B12" i="24" s="1"/>
  <c r="C12" i="24" s="1"/>
  <c r="B13" i="24" s="1"/>
  <c r="C13" i="24" s="1"/>
  <c r="B14" i="24" s="1"/>
  <c r="C14" i="24" s="1"/>
  <c r="B15" i="24" s="1"/>
  <c r="C15" i="24" s="1"/>
  <c r="B16" i="24" s="1"/>
  <c r="C16" i="24" s="1"/>
  <c r="B17" i="24" s="1"/>
  <c r="C17" i="24" s="1"/>
  <c r="B18" i="24" s="1"/>
  <c r="C18" i="24" s="1"/>
  <c r="B19" i="24" s="1"/>
  <c r="C19" i="24" s="1"/>
  <c r="B20" i="24" s="1"/>
  <c r="C20" i="24" s="1"/>
  <c r="B21" i="24" s="1"/>
  <c r="C21" i="24" s="1"/>
  <c r="B22" i="24" s="1"/>
  <c r="C22" i="24" s="1"/>
  <c r="B23" i="24" s="1"/>
  <c r="C23" i="24" s="1"/>
  <c r="B24" i="24" s="1"/>
  <c r="C24" i="24" s="1"/>
  <c r="B25" i="24" s="1"/>
  <c r="C25" i="24" s="1"/>
  <c r="B26" i="24" s="1"/>
  <c r="C26" i="24" s="1"/>
  <c r="B27" i="24" s="1"/>
  <c r="C27" i="24" s="1"/>
  <c r="B28" i="24" s="1"/>
  <c r="C28" i="24" s="1"/>
  <c r="B29" i="24" s="1"/>
  <c r="C29" i="24" s="1"/>
  <c r="B30" i="24" s="1"/>
  <c r="C30" i="24" s="1"/>
  <c r="B31" i="24" s="1"/>
  <c r="C31" i="24" s="1"/>
  <c r="B32" i="24" s="1"/>
  <c r="C32" i="24" s="1"/>
  <c r="B33" i="24" s="1"/>
  <c r="C33" i="24" s="1"/>
  <c r="B34" i="24" s="1"/>
  <c r="C34" i="24" s="1"/>
  <c r="B35" i="24" s="1"/>
  <c r="C35" i="24" s="1"/>
  <c r="B36" i="24" s="1"/>
  <c r="C36" i="24" s="1"/>
  <c r="B37" i="24" s="1"/>
  <c r="C37" i="24" s="1"/>
  <c r="B38" i="24" s="1"/>
  <c r="C38" i="24" s="1"/>
  <c r="B39" i="24" s="1"/>
  <c r="C39" i="24" s="1"/>
  <c r="B40" i="24" s="1"/>
  <c r="C40" i="24" s="1"/>
  <c r="B41" i="24" s="1"/>
  <c r="C41" i="24" s="1"/>
  <c r="B42" i="24" s="1"/>
  <c r="C42" i="24" s="1"/>
  <c r="B43" i="24" s="1"/>
  <c r="C43" i="24" s="1"/>
  <c r="B44" i="24" s="1"/>
  <c r="C44" i="24" s="1"/>
  <c r="B45" i="24" s="1"/>
  <c r="C45" i="24" s="1"/>
  <c r="B46" i="24" s="1"/>
  <c r="C46" i="24" s="1"/>
  <c r="B47" i="24" s="1"/>
  <c r="C47" i="24" s="1"/>
  <c r="B48" i="24" s="1"/>
  <c r="C48" i="24" s="1"/>
  <c r="B49" i="24" s="1"/>
  <c r="C49" i="24" s="1"/>
  <c r="B50" i="24" s="1"/>
  <c r="C50" i="24" s="1"/>
  <c r="B51" i="24" s="1"/>
  <c r="C51" i="24" s="1"/>
  <c r="B52" i="24" s="1"/>
  <c r="C52" i="24" s="1"/>
  <c r="B53" i="24" s="1"/>
  <c r="C53" i="24" s="1"/>
  <c r="B54" i="24" s="1"/>
  <c r="C54" i="24" s="1"/>
  <c r="B55" i="24" s="1"/>
  <c r="C55" i="24" s="1"/>
  <c r="B56" i="24" s="1"/>
  <c r="C56" i="24" s="1"/>
  <c r="B57" i="24" s="1"/>
  <c r="C57" i="24" s="1"/>
  <c r="B58" i="24" s="1"/>
  <c r="C58" i="24" s="1"/>
  <c r="B59" i="24" s="1"/>
  <c r="C59" i="24" s="1"/>
  <c r="B60" i="24" s="1"/>
  <c r="C60" i="24" s="1"/>
  <c r="B61" i="24" s="1"/>
  <c r="C61" i="24" s="1"/>
  <c r="B62" i="24" s="1"/>
  <c r="C62" i="24" s="1"/>
  <c r="B63" i="24" s="1"/>
  <c r="C63" i="24" s="1"/>
  <c r="B64" i="24" s="1"/>
  <c r="C64" i="24" s="1"/>
  <c r="G2" i="4"/>
  <c r="G3" i="4"/>
  <c r="G11" i="4"/>
  <c r="G4" i="4"/>
  <c r="G12" i="4"/>
  <c r="G5" i="4"/>
  <c r="G6" i="4"/>
  <c r="G14" i="4"/>
  <c r="G17" i="4"/>
  <c r="G18" i="4"/>
  <c r="G7" i="4"/>
  <c r="G15" i="4"/>
  <c r="G16" i="4"/>
  <c r="G10" i="4"/>
  <c r="G13" i="4"/>
  <c r="G8" i="4"/>
  <c r="G9" i="4"/>
  <c r="B19" i="19" a="1"/>
  <c r="B19" i="19" s="1"/>
  <c r="B20" i="19" s="1" a="1"/>
  <c r="B20" i="19" s="1"/>
  <c r="B21" i="19" s="1" a="1"/>
  <c r="B21" i="19" s="1"/>
  <c r="C19" i="19" a="1"/>
  <c r="C19" i="19" s="1"/>
  <c r="C20" i="19" s="1" a="1"/>
  <c r="C20" i="19" s="1"/>
  <c r="C21" i="19" s="1" a="1"/>
  <c r="C21" i="19" s="1"/>
  <c r="U34" i="19" a="1"/>
  <c r="U34" i="19" s="1"/>
  <c r="U29" i="19" a="1"/>
  <c r="U29" i="19" s="1"/>
  <c r="K3" i="1" l="1" a="1"/>
  <c r="K3" i="1" s="1"/>
  <c r="N9" i="19" a="1"/>
  <c r="N9" i="19" s="1"/>
  <c r="N10" i="19" s="1" a="1"/>
  <c r="N10" i="19" s="1"/>
  <c r="H18" i="4" l="1"/>
  <c r="H10" i="4"/>
  <c r="H17" i="4"/>
  <c r="H9" i="4"/>
  <c r="H8" i="4"/>
  <c r="H16" i="4"/>
  <c r="H15" i="4"/>
  <c r="H14" i="4"/>
  <c r="H13" i="4"/>
  <c r="H5" i="4"/>
  <c r="H12" i="4"/>
  <c r="H4" i="4"/>
  <c r="H6" i="4"/>
  <c r="H11" i="4"/>
  <c r="H3" i="4"/>
  <c r="H7" i="4"/>
  <c r="H2" i="4"/>
  <c r="H30" i="19" a="1"/>
  <c r="H30" i="19" s="1"/>
  <c r="H31" i="19" s="1" a="1"/>
  <c r="H31" i="19" s="1"/>
  <c r="H32" i="19" s="1" a="1"/>
  <c r="H32" i="19" s="1"/>
  <c r="C30" i="19" a="1"/>
  <c r="C30" i="19" s="1"/>
  <c r="C31" i="19" s="1" a="1"/>
  <c r="C31" i="19" s="1"/>
  <c r="C32" i="19" s="1" a="1"/>
  <c r="C32" i="19" s="1"/>
  <c r="B30" i="19" a="1"/>
  <c r="B30" i="19" s="1"/>
  <c r="B31" i="19" s="1" a="1"/>
  <c r="B31" i="19" s="1"/>
  <c r="B32" i="19" s="1" a="1"/>
  <c r="B32" i="19" s="1"/>
  <c r="G30" i="19" a="1"/>
  <c r="G30" i="19" s="1"/>
  <c r="G31" i="19" s="1" a="1"/>
  <c r="G31" i="19" s="1"/>
  <c r="G32" i="19" s="1" a="1"/>
  <c r="G32" i="19" s="1"/>
  <c r="L3" i="1" l="1" a="1"/>
  <c r="L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H3" authorId="0" shapeId="0" xr:uid="{FC65E715-FDCE-4F45-A6BA-BEA9B59461E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運転モードの数字を結合(E列、F列)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Makoto Satoh</author>
  </authors>
  <commentList>
    <comment ref="J5" authorId="0" shapeId="0" xr:uid="{B0E62FA1-9364-4295-954D-120B2DB45478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土間の面積は足さない</t>
        </r>
      </text>
    </comment>
    <comment ref="P16" authorId="0" shapeId="0" xr:uid="{5BB968C7-E583-444D-AB7D-97AA6E245F39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温暖地の使用基準が違っているようです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Makoto Satoh</author>
  </authors>
  <commentList>
    <comment ref="G2" authorId="0" shapeId="0" xr:uid="{7DE41C9D-51CB-42EC-A56F-3E98298E2661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自然換気回数をケースごとの変数に修正</t>
        </r>
      </text>
    </comment>
    <comment ref="C6" authorId="0" shapeId="0" xr:uid="{3B78AFAA-8D71-4382-A1A7-E02AE6C9939F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小屋裏を追加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  <author>Makoto Satoh</author>
  </authors>
  <commentList>
    <comment ref="F2" authorId="0" shapeId="0" xr:uid="{C366D705-5589-4BB4-9572-E77355C13DB1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寒冷地、温暖地のドアの開口部面積同じ</t>
        </r>
      </text>
    </comment>
    <comment ref="B4" authorId="1" shapeId="0" xr:uid="{DDED6221-1ACB-4AB8-87D0-D5ABCFD732D2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屋根を追加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F5" authorId="0" shapeId="0" xr:uid="{9ED12197-ADCF-4184-BB6E-E42F0AEC908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寒冷地、温暖地の窓の開口部面積同じ</t>
        </r>
      </text>
    </comment>
    <comment ref="F18" authorId="0" shapeId="0" xr:uid="{C6A14BCA-72D7-448B-A96C-13FFCCF314F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寒冷地はクローゼット窓なし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K33" authorId="0" shapeId="0" xr:uid="{6FEC19CB-6727-4148-BFFA-C51B1EDB70D7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34" authorId="0" shapeId="0" xr:uid="{F190E8B7-1A26-43E9-B291-F9B02FF3CEE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J40" authorId="0" shapeId="0" xr:uid="{E8C9583B-A638-4F6B-AB1C-F9978E5D790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J41" authorId="0" shapeId="0" xr:uid="{6C5090A3-A782-4510-9E70-5EBCF8A2472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K48" authorId="0" shapeId="0" xr:uid="{403BB842-3741-4AAC-9B73-7E3FB36AE82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49" authorId="0" shapeId="0" xr:uid="{CEC51B4B-83D9-47E9-9AA5-B8E8B8BB0CF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1" authorId="0" shapeId="0" xr:uid="{9B7DC8B7-401D-4E09-9F24-C4CDBAEB30A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2" authorId="0" shapeId="0" xr:uid="{E7750156-9584-452D-BE04-BC0D62809C42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6" authorId="0" shapeId="0" xr:uid="{AC4A5399-4E91-4C60-B919-9133FC51F8B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2" authorId="0" shapeId="0" xr:uid="{8B3161F9-064B-4CA1-B7AF-9447EB500BE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3" authorId="0" shapeId="0" xr:uid="{8E2182C6-A074-44C8-822E-A19C6A0590F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K33" authorId="0" shapeId="0" xr:uid="{8A6261E2-6341-4B94-8FFE-7BA97B5AE32B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34" authorId="0" shapeId="0" xr:uid="{FADF9594-EF73-4A02-AD7D-D8D97730D074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J40" authorId="0" shapeId="0" xr:uid="{1C814CB7-78A7-4519-ADBA-4491C9C59D87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J41" authorId="0" shapeId="0" xr:uid="{B547A79F-E38B-4949-8866-E1E6CA90FD5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K48" authorId="0" shapeId="0" xr:uid="{E27F492C-0ED0-4613-A9B2-0BCE39DE5CAD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49" authorId="0" shapeId="0" xr:uid="{880CB996-2981-4DBB-97CA-A36B703BE8B5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1" authorId="0" shapeId="0" xr:uid="{F3537C02-D0D3-4229-9CE5-2C377F6B6C57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2" authorId="0" shapeId="0" xr:uid="{E9AF17F1-BF68-4F94-9496-95C1B24BE41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6" authorId="0" shapeId="0" xr:uid="{8A8EA627-9377-435F-AE40-C89F0AD64D72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2" authorId="0" shapeId="0" xr:uid="{7134E440-268F-4519-A5B0-A2A5687CD9A8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3" authorId="0" shapeId="0" xr:uid="{595E2209-515A-4E1A-B064-31A63D6566A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L2" authorId="0" shapeId="0" xr:uid="{446F0710-BA37-4C84-9622-5D034C769A5D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16K相当の容積比熱
13.0 [J/(L・K)]
で計算
根拠資料：
空気調和設備計画設計の実務の知識、オーム社(P.107)</t>
        </r>
      </text>
    </comment>
    <comment ref="I3" authorId="0" shapeId="0" xr:uid="{35445274-129E-43F6-989B-7B76ABC236A9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10K相当の容積比熱
8.0 [J/(L・K)]
で計算
根拠資料：
空気調和設備計画設計の実務の知識、オーム社(P.107)</t>
        </r>
      </text>
    </comment>
    <comment ref="E4" authorId="0" shapeId="0" xr:uid="{69760EC3-2701-4A79-A701-30AB17511125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コンクリート熱伝導率
1.6 [W(m・K)]で計算
根拠資料：
空気調和設備計画設計の実務の知識、オーム社(P.107)</t>
        </r>
      </text>
    </comment>
    <comment ref="F4" authorId="0" shapeId="0" xr:uid="{D7640129-A6A0-4AE6-8636-3780A32CA32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コンクリートの容積比熱
2000.0 [J/(L・K)]
で計算
根拠資料：
空気調和設備計画設計の実務の知識、オーム社(P.107)</t>
        </r>
      </text>
    </comment>
    <comment ref="L4" authorId="0" shapeId="0" xr:uid="{3338D657-5943-4ABA-ABDC-D00A31C41329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16K相当の容積比熱
13.0 [J/(L・K)]
で計算
根拠資料：
空気調和設備計画設計の実務の知識、オーム社(P.107)</t>
        </r>
      </text>
    </comment>
    <comment ref="E7" authorId="0" shapeId="0" xr:uid="{718CB5A8-93C4-4090-B92F-2677146E5514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コンクリート熱伝導率
1.6 [W(m・K)]で計算
根拠資料：
空気調和設備計画設計の実務の知識、オーム社(P.107)</t>
        </r>
      </text>
    </comment>
    <comment ref="F7" authorId="0" shapeId="0" xr:uid="{75CD0A96-A954-4034-844F-468A545970D3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コンクリートの容積比熱
2000.0 [J/(L・K)]
で計算
根拠資料：
空気調和設備計画設計の実務の知識、オーム社(P.107)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G1" authorId="0" shapeId="0" xr:uid="{C991F1F4-38FB-4C0C-AFD6-315B2DC9CD28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温暖地外壁面積 ＋ （温暖地 ― 寒冷地開口面積 ）= 寒冷地外壁面積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F5" authorId="0" shapeId="0" xr:uid="{936974C7-BDD2-49F2-8082-52911D050E5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開口部SC値.xlsx
宮島様データより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L1" authorId="0" shapeId="0" xr:uid="{E0BC683A-9E94-4658-B02D-43FD38AAB9DB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 
第3章 第4節 付録B B3</t>
        </r>
      </text>
    </comment>
    <comment ref="M1" authorId="0" shapeId="0" xr:uid="{A133C328-D147-4F82-AF32-305486FEDDB4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 
第3章 第4節 付録B B3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A1" authorId="0" shapeId="0" xr:uid="{937BF461-5B96-48F9-9448-3D898A757213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第4節　付録B B4　表1</t>
        </r>
      </text>
    </comment>
    <comment ref="P1" authorId="0" shapeId="0" xr:uid="{F65C4807-8D2F-4022-8398-FFDEC38572E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第4節　付録B B4　表1</t>
        </r>
      </text>
    </comment>
    <comment ref="A15" authorId="0" shapeId="0" xr:uid="{C367D614-2EE1-40D3-8C85-38276C332731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第2節 付録C　表1、2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B5" authorId="0" shapeId="0" xr:uid="{A8012CD9-5739-4AB5-8690-4068D80534C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寒冷地、温暖地の窓の開口部面積同じ</t>
        </r>
      </text>
    </comment>
    <comment ref="B18" authorId="0" shapeId="0" xr:uid="{F604BF66-80B6-41D0-8196-6347D45E6F28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寒冷地はクローゼット窓なし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<sst xmlns="http://schemas.openxmlformats.org/spreadsheetml/2006/main" count="3898" uniqueCount="2238">
  <si>
    <t>室名</t>
    <rPh sb="0" eb="2">
      <t>シツメイ</t>
    </rPh>
    <phoneticPr fontId="8"/>
  </si>
  <si>
    <t>実際の気積[m3]</t>
    <rPh sb="0" eb="2">
      <t>ジッサイ</t>
    </rPh>
    <rPh sb="3" eb="5">
      <t>キセキ</t>
    </rPh>
    <phoneticPr fontId="8"/>
  </si>
  <si>
    <t>空気の熱容量[J/K]</t>
    <rPh sb="0" eb="2">
      <t>クウキ</t>
    </rPh>
    <rPh sb="3" eb="4">
      <t>ネツ</t>
    </rPh>
    <rPh sb="4" eb="6">
      <t>ヨウリョウ</t>
    </rPh>
    <phoneticPr fontId="8"/>
  </si>
  <si>
    <t>家具熱容量[J/K]</t>
    <rPh sb="0" eb="2">
      <t>カグ</t>
    </rPh>
    <rPh sb="2" eb="5">
      <t>ネツヨウリョウ</t>
    </rPh>
    <phoneticPr fontId="8"/>
  </si>
  <si>
    <t>熱容量合計[J/K]</t>
    <rPh sb="0" eb="3">
      <t>ネツヨウリョウ</t>
    </rPh>
    <rPh sb="3" eb="5">
      <t>ゴウケイ</t>
    </rPh>
    <phoneticPr fontId="8"/>
  </si>
  <si>
    <t>気積逆算[m3]</t>
    <rPh sb="0" eb="2">
      <t>キセキ</t>
    </rPh>
    <rPh sb="2" eb="4">
      <t>ギャクサン</t>
    </rPh>
    <phoneticPr fontId="8"/>
  </si>
  <si>
    <t>床面積[m2]</t>
    <rPh sb="0" eb="3">
      <t>ユカメンセキ</t>
    </rPh>
    <phoneticPr fontId="2"/>
  </si>
  <si>
    <t>すきま風</t>
    <rPh sb="3" eb="4">
      <t>カゼ</t>
    </rPh>
    <phoneticPr fontId="2"/>
  </si>
  <si>
    <t>和室</t>
  </si>
  <si>
    <t>LD</t>
  </si>
  <si>
    <t>台所</t>
  </si>
  <si>
    <t>浴室</t>
  </si>
  <si>
    <t>1F便所</t>
  </si>
  <si>
    <t>洗面所</t>
  </si>
  <si>
    <t>ホール</t>
  </si>
  <si>
    <t>クローゼット</t>
  </si>
  <si>
    <t>主寝室</t>
  </si>
  <si>
    <t>子供室1</t>
  </si>
  <si>
    <t>子供室2</t>
  </si>
  <si>
    <t>2Fホール</t>
  </si>
  <si>
    <t>階間(L4)</t>
  </si>
  <si>
    <t>2F便所</t>
  </si>
  <si>
    <t>小屋裏1</t>
    <rPh sb="0" eb="3">
      <t>コヤウラ</t>
    </rPh>
    <phoneticPr fontId="8"/>
  </si>
  <si>
    <t>小屋裏2</t>
    <rPh sb="0" eb="3">
      <t>コヤウラ</t>
    </rPh>
    <phoneticPr fontId="8"/>
  </si>
  <si>
    <t>小屋裏3</t>
    <rPh sb="0" eb="3">
      <t>コヤウラ</t>
    </rPh>
    <phoneticPr fontId="8"/>
  </si>
  <si>
    <t>冷房/暖房</t>
    <rPh sb="0" eb="2">
      <t>レイボウ</t>
    </rPh>
    <rPh sb="3" eb="5">
      <t>ダンボウ</t>
    </rPh>
    <phoneticPr fontId="2"/>
  </si>
  <si>
    <t>地域区分</t>
    <rPh sb="0" eb="4">
      <t>チイキクブン</t>
    </rPh>
    <phoneticPr fontId="2"/>
  </si>
  <si>
    <t>運転</t>
    <rPh sb="0" eb="2">
      <t>ウンテン</t>
    </rPh>
    <phoneticPr fontId="2"/>
  </si>
  <si>
    <t>通風</t>
    <rPh sb="0" eb="2">
      <t>ツウフウ</t>
    </rPh>
    <phoneticPr fontId="2"/>
  </si>
  <si>
    <t>熱容量</t>
    <rPh sb="0" eb="3">
      <t>ネツヨウリョウ</t>
    </rPh>
    <phoneticPr fontId="2"/>
  </si>
  <si>
    <t>寒冷地/温暖地</t>
    <rPh sb="0" eb="2">
      <t>カンレイ</t>
    </rPh>
    <rPh sb="2" eb="3">
      <t>チ</t>
    </rPh>
    <rPh sb="4" eb="6">
      <t>オンダン</t>
    </rPh>
    <rPh sb="6" eb="7">
      <t>チ</t>
    </rPh>
    <phoneticPr fontId="2"/>
  </si>
  <si>
    <t>自然換気回数</t>
    <rPh sb="0" eb="2">
      <t>シゼン</t>
    </rPh>
    <rPh sb="2" eb="4">
      <t>カンキ</t>
    </rPh>
    <rPh sb="4" eb="6">
      <t>カイスウ</t>
    </rPh>
    <phoneticPr fontId="2"/>
  </si>
  <si>
    <t>key</t>
    <phoneticPr fontId="8"/>
  </si>
  <si>
    <t>ac_method</t>
    <phoneticPr fontId="8"/>
  </si>
  <si>
    <t>value</t>
    <phoneticPr fontId="8"/>
  </si>
  <si>
    <t>simple</t>
    <phoneticPr fontId="8"/>
  </si>
  <si>
    <t>story</t>
    <phoneticPr fontId="8"/>
  </si>
  <si>
    <t>c_value
[cm2/m2]</t>
    <phoneticPr fontId="8"/>
  </si>
  <si>
    <t>inside_pressure</t>
    <phoneticPr fontId="8"/>
  </si>
  <si>
    <t>negative</t>
    <phoneticPr fontId="8"/>
  </si>
  <si>
    <t>key</t>
  </si>
  <si>
    <t>id</t>
  </si>
  <si>
    <t>name</t>
  </si>
  <si>
    <t>sub_name</t>
  </si>
  <si>
    <t>floor_area
[m2]</t>
    <phoneticPr fontId="8"/>
  </si>
  <si>
    <t>volume
[m3]</t>
    <phoneticPr fontId="8"/>
  </si>
  <si>
    <t>ventilation_natural
[m3/h]</t>
    <phoneticPr fontId="8"/>
  </si>
  <si>
    <t>schedule_name</t>
  </si>
  <si>
    <t>value0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</si>
  <si>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</si>
  <si>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</si>
  <si>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</si>
  <si>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</si>
  <si>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</si>
  <si>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</si>
  <si>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</si>
  <si>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</si>
  <si>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</si>
  <si>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</si>
  <si>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</si>
  <si>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</si>
  <si>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kaima</t>
    <phoneticPr fontId="8"/>
  </si>
  <si>
    <t>階間(L4)</t>
    <phoneticPr fontId="8"/>
  </si>
  <si>
    <t>value13</t>
  </si>
  <si>
    <t>value14</t>
  </si>
  <si>
    <t>attic1</t>
    <phoneticPr fontId="2"/>
  </si>
  <si>
    <t>zero</t>
    <phoneticPr fontId="2"/>
  </si>
  <si>
    <t>value15</t>
  </si>
  <si>
    <t>attic2</t>
    <phoneticPr fontId="2"/>
  </si>
  <si>
    <t>value16</t>
  </si>
  <si>
    <t>attic3</t>
  </si>
  <si>
    <t>room_id</t>
    <phoneticPr fontId="8"/>
  </si>
  <si>
    <t>area
[m2]</t>
    <phoneticPr fontId="8"/>
  </si>
  <si>
    <t>is_floor</t>
  </si>
  <si>
    <t>layers_name</t>
    <phoneticPr fontId="2"/>
  </si>
  <si>
    <t>direction</t>
  </si>
  <si>
    <t>temp_dif_coef</t>
  </si>
  <si>
    <t>外壁</t>
    <rPh sb="0" eb="2">
      <t>ガイヘキ</t>
    </rPh>
    <phoneticPr fontId="8"/>
  </si>
  <si>
    <t>e</t>
    <phoneticPr fontId="8"/>
  </si>
  <si>
    <t>外壁</t>
  </si>
  <si>
    <t>n</t>
    <phoneticPr fontId="8"/>
  </si>
  <si>
    <t>value17</t>
  </si>
  <si>
    <t>s</t>
    <phoneticPr fontId="8"/>
  </si>
  <si>
    <t>value18</t>
  </si>
  <si>
    <t>value19</t>
  </si>
  <si>
    <t>value20</t>
  </si>
  <si>
    <t>value21</t>
  </si>
  <si>
    <t>value22</t>
  </si>
  <si>
    <t>value23</t>
  </si>
  <si>
    <t>w</t>
    <phoneticPr fontId="8"/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</si>
  <si>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</si>
  <si>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</si>
  <si>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</si>
  <si>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</si>
  <si>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</si>
  <si>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</si>
  <si>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</si>
  <si>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</si>
  <si>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屋根</t>
    <rPh sb="0" eb="2">
      <t>ヤネ</t>
    </rPh>
    <phoneticPr fontId="8"/>
  </si>
  <si>
    <t>top</t>
    <phoneticPr fontId="8"/>
  </si>
  <si>
    <t>value32</t>
  </si>
  <si>
    <t>床</t>
  </si>
  <si>
    <t>外壁床</t>
    <rPh sb="0" eb="2">
      <t>ガイヘキ</t>
    </rPh>
    <rPh sb="2" eb="3">
      <t>ユカ</t>
    </rPh>
    <phoneticPr fontId="8"/>
  </si>
  <si>
    <t>bottom</t>
    <phoneticPr fontId="8"/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</si>
  <si>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</si>
  <si>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</si>
  <si>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</si>
  <si>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</si>
  <si>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</si>
  <si>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</si>
  <si>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</si>
  <si>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</si>
  <si>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</si>
  <si>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</si>
  <si>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</si>
  <si>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</si>
  <si>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</si>
  <si>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</si>
  <si>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</si>
  <si>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</si>
  <si>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</si>
  <si>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value50</t>
  </si>
  <si>
    <t>value51</t>
  </si>
  <si>
    <t>value52</t>
  </si>
  <si>
    <t>value53</t>
  </si>
  <si>
    <t>value54</t>
  </si>
  <si>
    <t>value55</t>
  </si>
  <si>
    <t>u_value
[W/m2K]</t>
    <phoneticPr fontId="8"/>
  </si>
  <si>
    <t>玄関ドア</t>
    <rPh sb="0" eb="2">
      <t>ゲンカン</t>
    </rPh>
    <phoneticPr fontId="8"/>
  </si>
  <si>
    <t>台所ドア</t>
    <rPh sb="0" eb="2">
      <t>ダイドコロ</t>
    </rPh>
    <phoneticPr fontId="8"/>
  </si>
  <si>
    <t>小屋裏１屋根</t>
    <rPh sb="0" eb="3">
      <t>コヤウラ</t>
    </rPh>
    <rPh sb="4" eb="6">
      <t>ヤネ</t>
    </rPh>
    <phoneticPr fontId="2"/>
  </si>
  <si>
    <t>top</t>
    <phoneticPr fontId="2"/>
  </si>
  <si>
    <t>小屋裏２屋根</t>
    <rPh sb="0" eb="3">
      <t>コヤウラ</t>
    </rPh>
    <rPh sb="4" eb="6">
      <t>ヤネ</t>
    </rPh>
    <phoneticPr fontId="2"/>
  </si>
  <si>
    <t>小屋裏３屋根</t>
    <rPh sb="0" eb="3">
      <t>コヤウラ</t>
    </rPh>
    <rPh sb="4" eb="6">
      <t>ヤネ</t>
    </rPh>
    <phoneticPr fontId="2"/>
  </si>
  <si>
    <t>id</t>
    <phoneticPr fontId="8"/>
  </si>
  <si>
    <t>name</t>
    <phoneticPr fontId="8"/>
  </si>
  <si>
    <t>sub_name</t>
    <phoneticPr fontId="8"/>
  </si>
  <si>
    <t>layers_name</t>
  </si>
  <si>
    <t>solar_absorbed</t>
    <phoneticPr fontId="8"/>
  </si>
  <si>
    <t>土間床</t>
    <rPh sb="0" eb="2">
      <t>ドマ</t>
    </rPh>
    <rPh sb="2" eb="3">
      <t>ユカ</t>
    </rPh>
    <phoneticPr fontId="8"/>
  </si>
  <si>
    <t>id1</t>
    <phoneticPr fontId="8"/>
  </si>
  <si>
    <t>id2</t>
    <phoneticPr fontId="8"/>
  </si>
  <si>
    <t>name1</t>
    <phoneticPr fontId="8"/>
  </si>
  <si>
    <t>name2</t>
    <phoneticPr fontId="8"/>
  </si>
  <si>
    <t>sub_name1</t>
    <phoneticPr fontId="8"/>
  </si>
  <si>
    <t>sub_name2</t>
    <phoneticPr fontId="8"/>
  </si>
  <si>
    <t>room_id1</t>
    <phoneticPr fontId="8"/>
  </si>
  <si>
    <t>room_id2</t>
    <phoneticPr fontId="8"/>
  </si>
  <si>
    <t>direction</t>
    <phoneticPr fontId="8"/>
  </si>
  <si>
    <t>間仕切</t>
  </si>
  <si>
    <t>階間床</t>
    <rPh sb="0" eb="2">
      <t>カイマ</t>
    </rPh>
    <rPh sb="2" eb="3">
      <t>ユカ</t>
    </rPh>
    <phoneticPr fontId="8"/>
  </si>
  <si>
    <t>2F床</t>
    <rPh sb="2" eb="3">
      <t>ユカ</t>
    </rPh>
    <phoneticPr fontId="8"/>
  </si>
  <si>
    <t>eta_value</t>
    <phoneticPr fontId="8"/>
  </si>
  <si>
    <t>glass</t>
    <phoneticPr fontId="8"/>
  </si>
  <si>
    <t>glass_area_ratio</t>
    <phoneticPr fontId="8"/>
  </si>
  <si>
    <t>solar_shading_exist</t>
    <phoneticPr fontId="8"/>
  </si>
  <si>
    <t>depth
[m]</t>
    <phoneticPr fontId="8"/>
  </si>
  <si>
    <t>d_h
[m]</t>
    <phoneticPr fontId="8"/>
  </si>
  <si>
    <t>d_e
[m]</t>
    <phoneticPr fontId="8"/>
  </si>
  <si>
    <t>窓</t>
  </si>
  <si>
    <t>layer_num</t>
  </si>
  <si>
    <t>name1</t>
  </si>
  <si>
    <t>R1
[m2K/W]</t>
    <phoneticPr fontId="8"/>
  </si>
  <si>
    <t>C1
[kJ/m2K]</t>
    <phoneticPr fontId="8"/>
  </si>
  <si>
    <t>name2</t>
  </si>
  <si>
    <t>R2
[m2K/W]</t>
    <phoneticPr fontId="8"/>
  </si>
  <si>
    <t>C2
[kJ/m2K]</t>
    <phoneticPr fontId="8"/>
  </si>
  <si>
    <t>name3</t>
  </si>
  <si>
    <t>R3
[m2K/W]</t>
    <phoneticPr fontId="8"/>
  </si>
  <si>
    <t>C3
[kJ/m2K]</t>
    <phoneticPr fontId="8"/>
  </si>
  <si>
    <t>name4</t>
  </si>
  <si>
    <t>R4
[m2K/W]</t>
    <phoneticPr fontId="8"/>
  </si>
  <si>
    <t>C4
[kJ/m2K]</t>
    <phoneticPr fontId="8"/>
  </si>
  <si>
    <t>name5</t>
  </si>
  <si>
    <t>R5
[m2K/W]</t>
    <phoneticPr fontId="8"/>
  </si>
  <si>
    <t>C5
[kJ/m2K]</t>
    <phoneticPr fontId="8"/>
  </si>
  <si>
    <t>せっこうボード</t>
  </si>
  <si>
    <t>中空層</t>
    <rPh sb="0" eb="3">
      <t>チュウクウソウ</t>
    </rPh>
    <phoneticPr fontId="8"/>
  </si>
  <si>
    <t>住宅用グラスウール断熱材16K相当</t>
  </si>
  <si>
    <t>合板</t>
    <rPh sb="0" eb="2">
      <t>ゴウハン</t>
    </rPh>
    <phoneticPr fontId="8"/>
  </si>
  <si>
    <t>木片セメント板</t>
    <rPh sb="0" eb="2">
      <t>モクヘン</t>
    </rPh>
    <rPh sb="6" eb="7">
      <t>バン</t>
    </rPh>
    <phoneticPr fontId="8"/>
  </si>
  <si>
    <t>住宅用グラスウール断熱材10K相当</t>
    <phoneticPr fontId="2"/>
  </si>
  <si>
    <t>コンクリート</t>
  </si>
  <si>
    <t>グラスウール16K</t>
  </si>
  <si>
    <t>IC1x_11_02_112_1SS</t>
    <phoneticPr fontId="2"/>
  </si>
  <si>
    <t>IC1x_11_02_212_1SS</t>
    <phoneticPr fontId="2"/>
  </si>
  <si>
    <t>IC1x_11_02_312_1SS</t>
  </si>
  <si>
    <t>IC1x_11_03_112_1SS</t>
  </si>
  <si>
    <t>IC1x_11_03_212_1SS</t>
  </si>
  <si>
    <t>IC1x_11_03_312_1SS</t>
  </si>
  <si>
    <t>IC1x_11_05_112_1SS</t>
  </si>
  <si>
    <t>IC1x_11_05_212_1SS</t>
  </si>
  <si>
    <t>IC1x_11_05_312_1SS</t>
  </si>
  <si>
    <t>IC1x_11_09_112_1SS</t>
  </si>
  <si>
    <t>IC1x_11_09_212_1SS</t>
  </si>
  <si>
    <t>IC1x_11_09_312_1SS</t>
  </si>
  <si>
    <t>IC1x_12_02_112_1SS</t>
  </si>
  <si>
    <t>IC1x_12_02_132_1SS</t>
  </si>
  <si>
    <t>IC1x_12_02_152_1SS</t>
  </si>
  <si>
    <t>IC1x_12_02_212_1SS</t>
  </si>
  <si>
    <t>IC1x_12_02_232_1SS</t>
  </si>
  <si>
    <t>IC1x_12_02_252_1SS</t>
  </si>
  <si>
    <t>IC1x_12_02_312_1SS</t>
  </si>
  <si>
    <t>IC1x_12_02_332_1SS</t>
  </si>
  <si>
    <t>IC1x_12_02_352_1SS</t>
  </si>
  <si>
    <t>IC1x_12_03_112_1SS</t>
  </si>
  <si>
    <t>IC1x_12_03_132_1SS</t>
  </si>
  <si>
    <t>IC1x_12_03_152_1SS</t>
  </si>
  <si>
    <t>IC1x_12_03_212_1SS</t>
  </si>
  <si>
    <t>IC1x_12_03_232_1SS</t>
  </si>
  <si>
    <t>IC1x_12_03_252_1SS</t>
  </si>
  <si>
    <t>IC1x_12_03_312_1SS</t>
  </si>
  <si>
    <t>IC1x_12_03_332_1SS</t>
  </si>
  <si>
    <t>IC1x_12_03_352_1SS</t>
  </si>
  <si>
    <t>IC1x_12_05_112_1SS</t>
  </si>
  <si>
    <t>IC1x_12_05_132_1SS</t>
  </si>
  <si>
    <t>IC1x_12_05_152_1SS</t>
  </si>
  <si>
    <t>IC1x_12_05_212_1SS</t>
  </si>
  <si>
    <t>IC1x_12_05_232_1SS</t>
  </si>
  <si>
    <t>IC1x_12_05_252_1SS</t>
  </si>
  <si>
    <t>IC1x_12_05_312_1SS</t>
  </si>
  <si>
    <t>IC1x_12_05_332_1SS</t>
  </si>
  <si>
    <t>IC1x_12_05_352_1SS</t>
  </si>
  <si>
    <t>IC1x_12_09_112_1SS</t>
  </si>
  <si>
    <t>IC1x_12_09_132_1SS</t>
  </si>
  <si>
    <t>IC1x_12_09_152_1SS</t>
  </si>
  <si>
    <t>IC1x_12_09_212_1SS</t>
  </si>
  <si>
    <t>IC1x_12_09_232_1SS</t>
  </si>
  <si>
    <t>IC1x_12_09_252_1SS</t>
  </si>
  <si>
    <t>IC1x_12_09_312_1SS</t>
  </si>
  <si>
    <t>IC1x_12_09_332_1SS</t>
  </si>
  <si>
    <t>IC1x_12_09_352_1SS</t>
  </si>
  <si>
    <t>IC2x_11_02_112_1SS</t>
  </si>
  <si>
    <t>IC2x_11_02_212_1SS</t>
  </si>
  <si>
    <t>IC2x_11_02_312_1SS</t>
  </si>
  <si>
    <t>IC2x_11_03_112_1SS</t>
  </si>
  <si>
    <t>IC2x_11_03_212_1SS</t>
  </si>
  <si>
    <t>IC2x_11_03_312_1SS</t>
  </si>
  <si>
    <t>IC2x_11_05_112_1SS</t>
  </si>
  <si>
    <t>IC2x_11_05_212_1SS</t>
  </si>
  <si>
    <t>IC2x_11_05_312_1SS</t>
  </si>
  <si>
    <t>IC2x_11_09_112_1SS</t>
  </si>
  <si>
    <t>IC2x_11_09_212_1SS</t>
  </si>
  <si>
    <t>IC2x_11_09_312_1SS</t>
  </si>
  <si>
    <t>IC2x_12_02_112_1SS</t>
  </si>
  <si>
    <t>IC2x_12_02_132_1SS</t>
  </si>
  <si>
    <t>IC2x_12_02_152_1SS</t>
  </si>
  <si>
    <t>IC2x_12_02_212_1SS</t>
  </si>
  <si>
    <t>IC2x_12_02_232_1SS</t>
  </si>
  <si>
    <t>IC2x_12_02_252_1SS</t>
  </si>
  <si>
    <t>IC2x_12_02_312_1SS</t>
  </si>
  <si>
    <t>IC2x_12_02_332_1SS</t>
  </si>
  <si>
    <t>IC2x_12_02_352_1SS</t>
  </si>
  <si>
    <t>IC2x_12_03_112_1SS</t>
  </si>
  <si>
    <t>IC2x_12_03_132_1SS</t>
  </si>
  <si>
    <t>IC2x_12_03_152_1SS</t>
  </si>
  <si>
    <t>IC2x_12_03_212_1SS</t>
  </si>
  <si>
    <t>IC2x_12_03_232_1SS</t>
  </si>
  <si>
    <t>IC2x_12_03_252_1SS</t>
  </si>
  <si>
    <t>IC2x_12_03_312_1SS</t>
  </si>
  <si>
    <t>IC2x_12_03_332_1SS</t>
  </si>
  <si>
    <t>IC2x_12_03_352_1SS</t>
  </si>
  <si>
    <t>IC2x_12_05_112_1SS</t>
  </si>
  <si>
    <t>IC2x_12_05_132_1SS</t>
  </si>
  <si>
    <t>IC2x_12_05_152_1SS</t>
  </si>
  <si>
    <t>IC2x_12_05_212_1SS</t>
  </si>
  <si>
    <t>IC2x_12_05_232_1SS</t>
  </si>
  <si>
    <t>IC2x_12_05_252_1SS</t>
  </si>
  <si>
    <t>IC2x_12_05_312_1SS</t>
  </si>
  <si>
    <t>IC2x_12_05_332_1SS</t>
  </si>
  <si>
    <t>IC2x_12_05_352_1SS</t>
  </si>
  <si>
    <t>IC2x_12_09_112_1SS</t>
  </si>
  <si>
    <t>IC2x_12_09_132_1SS</t>
  </si>
  <si>
    <t>IC2x_12_09_152_1SS</t>
  </si>
  <si>
    <t>IC2x_12_09_212_1SS</t>
  </si>
  <si>
    <t>IC2x_12_09_232_1SS</t>
  </si>
  <si>
    <t>IC2x_12_09_252_1SS</t>
  </si>
  <si>
    <t>IC2x_12_09_312_1SS</t>
  </si>
  <si>
    <t>IC2x_12_09_332_1SS</t>
  </si>
  <si>
    <t>IC2x_12_09_352_1SS</t>
  </si>
  <si>
    <t>IC3x_11_02_112_1SS</t>
  </si>
  <si>
    <t>IC3x_11_02_212_1SS</t>
  </si>
  <si>
    <t>IC3x_11_02_312_1SS</t>
  </si>
  <si>
    <t>IC3x_11_03_112_1SS</t>
  </si>
  <si>
    <t>IC3x_11_03_212_1SS</t>
  </si>
  <si>
    <t>IC3x_11_03_312_1SS</t>
  </si>
  <si>
    <t>IC3x_11_05_112_1SS</t>
  </si>
  <si>
    <t>IC3x_11_05_212_1SS</t>
  </si>
  <si>
    <t>IC3x_11_05_312_1SS</t>
  </si>
  <si>
    <t>IC3x_11_09_112_1SS</t>
  </si>
  <si>
    <t>IC3x_11_09_212_1SS</t>
  </si>
  <si>
    <t>IC3x_11_09_312_1SS</t>
  </si>
  <si>
    <t>IC3x_12_02_112_1SS</t>
  </si>
  <si>
    <t>IC3x_12_02_132_1SS</t>
  </si>
  <si>
    <t>IC3x_12_02_152_1SS</t>
  </si>
  <si>
    <t>IC3x_12_02_212_1SS</t>
  </si>
  <si>
    <t>IC3x_12_02_232_1SS</t>
  </si>
  <si>
    <t>IC3x_12_02_252_1SS</t>
  </si>
  <si>
    <t>IC3x_12_02_312_1SS</t>
  </si>
  <si>
    <t>IC3x_12_02_332_1SS</t>
  </si>
  <si>
    <t>IC3x_12_02_352_1SS</t>
  </si>
  <si>
    <t>IC3x_12_03_112_1SS</t>
  </si>
  <si>
    <t>IC3x_12_03_132_1SS</t>
  </si>
  <si>
    <t>IC3x_12_03_152_1SS</t>
  </si>
  <si>
    <t>IC3x_12_03_212_1SS</t>
  </si>
  <si>
    <t>IC3x_12_03_232_1SS</t>
  </si>
  <si>
    <t>IC3x_12_03_252_1SS</t>
  </si>
  <si>
    <t>IC3x_12_03_312_1SS</t>
  </si>
  <si>
    <t>IC3x_12_03_332_1SS</t>
  </si>
  <si>
    <t>IC3x_12_03_352_1SS</t>
  </si>
  <si>
    <t>IC3x_12_05_112_1SS</t>
  </si>
  <si>
    <t>IC3x_12_05_132_1SS</t>
  </si>
  <si>
    <t>IC3x_12_05_152_1SS</t>
  </si>
  <si>
    <t>IC3x_12_05_212_1SS</t>
  </si>
  <si>
    <t>IC3x_12_05_232_1SS</t>
  </si>
  <si>
    <t>IC3x_12_05_252_1SS</t>
  </si>
  <si>
    <t>IC3x_12_05_312_1SS</t>
  </si>
  <si>
    <t>IC3x_12_05_332_1SS</t>
  </si>
  <si>
    <t>IC3x_12_05_352_1SS</t>
  </si>
  <si>
    <t>IC3x_12_09_112_1SS</t>
  </si>
  <si>
    <t>IC3x_12_09_132_1SS</t>
  </si>
  <si>
    <t>IC3x_12_09_152_1SS</t>
  </si>
  <si>
    <t>IC3x_12_09_212_1SS</t>
  </si>
  <si>
    <t>IC3x_12_09_232_1SS</t>
  </si>
  <si>
    <t>IC3x_12_09_252_1SS</t>
  </si>
  <si>
    <t>IC3x_12_09_312_1SS</t>
  </si>
  <si>
    <t>IC3x_12_09_332_1SS</t>
  </si>
  <si>
    <t>IC3x_12_09_352_1SS</t>
  </si>
  <si>
    <t>IC4x_11_02_112_1SS</t>
  </si>
  <si>
    <t>IC4x_11_02_212_1SS</t>
  </si>
  <si>
    <t>IC4x_11_02_312_1SS</t>
  </si>
  <si>
    <t>IC4x_11_03_112_1SS</t>
  </si>
  <si>
    <t>IC4x_11_03_212_1SS</t>
  </si>
  <si>
    <t>IC4x_11_03_312_1SS</t>
  </si>
  <si>
    <t>IC4x_11_05_112_1SS</t>
  </si>
  <si>
    <t>IC4x_11_05_212_1SS</t>
  </si>
  <si>
    <t>IC4x_11_05_312_1SS</t>
  </si>
  <si>
    <t>IC4x_11_09_112_1SS</t>
  </si>
  <si>
    <t>IC4x_11_09_212_1SS</t>
  </si>
  <si>
    <t>IC4x_11_09_312_1SS</t>
  </si>
  <si>
    <t>IC4x_12_02_112_1SS</t>
  </si>
  <si>
    <t>IC4x_12_02_132_1SS</t>
  </si>
  <si>
    <t>IC4x_12_02_152_1SS</t>
  </si>
  <si>
    <t>IC4x_12_02_212_1SS</t>
  </si>
  <si>
    <t>IC4x_12_02_232_1SS</t>
  </si>
  <si>
    <t>IC4x_12_02_252_1SS</t>
  </si>
  <si>
    <t>IC4x_12_02_312_1SS</t>
  </si>
  <si>
    <t>IC4x_12_02_332_1SS</t>
  </si>
  <si>
    <t>IC4x_12_02_352_1SS</t>
  </si>
  <si>
    <t>IC4x_12_03_112_1SS</t>
  </si>
  <si>
    <t>IC4x_12_03_132_1SS</t>
  </si>
  <si>
    <t>IC4x_12_03_152_1SS</t>
  </si>
  <si>
    <t>IC4x_12_03_212_1SS</t>
  </si>
  <si>
    <t>IC4x_12_03_232_1SS</t>
  </si>
  <si>
    <t>IC4x_12_03_252_1SS</t>
  </si>
  <si>
    <t>IC4x_12_03_312_1SS</t>
  </si>
  <si>
    <t>IC4x_12_03_332_1SS</t>
  </si>
  <si>
    <t>IC4x_12_03_352_1SS</t>
  </si>
  <si>
    <t>IC4x_12_05_112_1SS</t>
  </si>
  <si>
    <t>IC4x_12_05_132_1SS</t>
  </si>
  <si>
    <t>IC4x_12_05_152_1SS</t>
  </si>
  <si>
    <t>IC4x_12_05_212_1SS</t>
  </si>
  <si>
    <t>IC4x_12_05_232_1SS</t>
  </si>
  <si>
    <t>IC4x_12_05_252_1SS</t>
  </si>
  <si>
    <t>IC4x_12_05_312_1SS</t>
  </si>
  <si>
    <t>IC4x_12_05_332_1SS</t>
  </si>
  <si>
    <t>IC4x_12_05_352_1SS</t>
  </si>
  <si>
    <t>IC4x_12_09_112_1SS</t>
  </si>
  <si>
    <t>IC4x_12_09_132_1SS</t>
  </si>
  <si>
    <t>IC4x_12_09_152_1SS</t>
  </si>
  <si>
    <t>IC4x_12_09_212_1SS</t>
  </si>
  <si>
    <t>IC4x_12_09_232_1SS</t>
  </si>
  <si>
    <t>IC4x_12_09_252_1SS</t>
  </si>
  <si>
    <t>IC4x_12_09_312_1SS</t>
  </si>
  <si>
    <t>IC4x_12_09_332_1SS</t>
  </si>
  <si>
    <t>IC4x_12_09_352_1SS</t>
  </si>
  <si>
    <t>IC5x_11_02_112_1SS</t>
  </si>
  <si>
    <t>IC5x_11_02_212_1SS</t>
  </si>
  <si>
    <t>IC5x_11_02_312_1SS</t>
  </si>
  <si>
    <t>IC5x_11_03_112_1SS</t>
  </si>
  <si>
    <t>IC5x_11_03_212_1SS</t>
  </si>
  <si>
    <t>IC5x_11_03_312_1SS</t>
  </si>
  <si>
    <t>IC5x_11_05_112_1SS</t>
  </si>
  <si>
    <t>IC5x_11_05_212_1SS</t>
  </si>
  <si>
    <t>IC5x_11_05_312_1SS</t>
  </si>
  <si>
    <t>IC5x_11_09_112_1SS</t>
  </si>
  <si>
    <t>IC5x_11_09_212_1SS</t>
  </si>
  <si>
    <t>IC5x_11_09_312_1SS</t>
  </si>
  <si>
    <t>IC5x_12_02_112_1SS</t>
  </si>
  <si>
    <t>IC5x_12_02_132_1SS</t>
  </si>
  <si>
    <t>IC5x_12_02_152_1SS</t>
  </si>
  <si>
    <t>IC5x_12_02_212_1SS</t>
  </si>
  <si>
    <t>IC5x_12_02_232_1SS</t>
  </si>
  <si>
    <t>IC5x_12_02_252_1SS</t>
  </si>
  <si>
    <t>IC5x_12_02_312_1SS</t>
  </si>
  <si>
    <t>IC5x_12_02_332_1SS</t>
  </si>
  <si>
    <t>IC5x_12_02_352_1SS</t>
  </si>
  <si>
    <t>IC5x_12_03_112_1SS</t>
  </si>
  <si>
    <t>IC5x_12_03_132_1SS</t>
  </si>
  <si>
    <t>IC5x_12_03_152_1SS</t>
  </si>
  <si>
    <t>IC5x_12_03_212_1SS</t>
  </si>
  <si>
    <t>IC5x_12_03_232_1SS</t>
  </si>
  <si>
    <t>IC5x_12_03_252_1SS</t>
  </si>
  <si>
    <t>IC5x_12_03_312_1SS</t>
  </si>
  <si>
    <t>IC5x_12_03_332_1SS</t>
  </si>
  <si>
    <t>IC5x_12_03_352_1SS</t>
  </si>
  <si>
    <t>IC5x_12_05_112_1SS</t>
  </si>
  <si>
    <t>IC5x_12_05_132_1SS</t>
  </si>
  <si>
    <t>IC5x_12_05_152_1SS</t>
  </si>
  <si>
    <t>IC5x_12_05_212_1SS</t>
  </si>
  <si>
    <t>IC5x_12_05_232_1SS</t>
  </si>
  <si>
    <t>IC5x_12_05_252_1SS</t>
  </si>
  <si>
    <t>IC5x_12_05_312_1SS</t>
  </si>
  <si>
    <t>IC5x_12_05_332_1SS</t>
  </si>
  <si>
    <t>IC5x_12_05_352_1SS</t>
  </si>
  <si>
    <t>IC5x_12_09_112_1SS</t>
  </si>
  <si>
    <t>IC5x_12_09_132_1SS</t>
  </si>
  <si>
    <t>IC5x_12_09_152_1SS</t>
  </si>
  <si>
    <t>IC5x_12_09_212_1SS</t>
  </si>
  <si>
    <t>IC5x_12_09_232_1SS</t>
  </si>
  <si>
    <t>IC5x_12_09_252_1SS</t>
  </si>
  <si>
    <t>IC5x_12_09_312_1SS</t>
  </si>
  <si>
    <t>IC5x_12_09_332_1SS</t>
  </si>
  <si>
    <t>IC5x_12_09_352_1SS</t>
  </si>
  <si>
    <t>IC6x_11_02_112_1SS</t>
  </si>
  <si>
    <t>IC6x_11_02_212_1SS</t>
  </si>
  <si>
    <t>IC6x_11_02_312_1SS</t>
  </si>
  <si>
    <t>IC6x_11_03_112_1SS</t>
  </si>
  <si>
    <t>IC6x_11_03_212_1SS</t>
  </si>
  <si>
    <t>IC6x_11_03_312_1SS</t>
  </si>
  <si>
    <t>IC6x_11_05_112_1SS</t>
  </si>
  <si>
    <t>IC6x_11_05_212_1SS</t>
  </si>
  <si>
    <t>IC6x_11_05_312_1SS</t>
  </si>
  <si>
    <t>IC6x_11_09_112_1SS</t>
  </si>
  <si>
    <t>IC6x_11_09_212_1SS</t>
  </si>
  <si>
    <t>IC6x_11_09_312_1SS</t>
  </si>
  <si>
    <t>IC6x_12_02_112_1SS</t>
  </si>
  <si>
    <t>IC6x_12_02_132_1SS</t>
  </si>
  <si>
    <t>IC6x_12_02_152_1SS</t>
  </si>
  <si>
    <t>IC6x_12_02_212_1SS</t>
  </si>
  <si>
    <t>IC6x_12_02_232_1SS</t>
  </si>
  <si>
    <t>IC6x_12_02_252_1SS</t>
  </si>
  <si>
    <t>IC6x_12_02_312_1SS</t>
  </si>
  <si>
    <t>IC6x_12_02_332_1SS</t>
  </si>
  <si>
    <t>IC6x_12_02_352_1SS</t>
  </si>
  <si>
    <t>IC6x_12_03_112_1SS</t>
  </si>
  <si>
    <t>IC6x_12_03_132_1SS</t>
  </si>
  <si>
    <t>IC6x_12_03_152_1SS</t>
  </si>
  <si>
    <t>IC6x_12_03_212_1SS</t>
  </si>
  <si>
    <t>IC6x_12_03_232_1SS</t>
  </si>
  <si>
    <t>IC6x_12_03_252_1SS</t>
  </si>
  <si>
    <t>IC6x_12_03_312_1SS</t>
  </si>
  <si>
    <t>IC6x_12_03_332_1SS</t>
  </si>
  <si>
    <t>IC6x_12_03_352_1SS</t>
  </si>
  <si>
    <t>IC6x_12_05_112_1SS</t>
  </si>
  <si>
    <t>IC6x_12_05_132_1SS</t>
  </si>
  <si>
    <t>IC6x_12_05_152_1SS</t>
  </si>
  <si>
    <t>IC6x_12_05_212_1SS</t>
  </si>
  <si>
    <t>IC6x_12_05_232_1SS</t>
  </si>
  <si>
    <t>IC6x_12_05_252_1SS</t>
  </si>
  <si>
    <t>IC6x_12_05_312_1SS</t>
  </si>
  <si>
    <t>IC6x_12_05_332_1SS</t>
  </si>
  <si>
    <t>IC6x_12_05_352_1SS</t>
  </si>
  <si>
    <t>IC6x_12_09_112_1SS</t>
  </si>
  <si>
    <t>IC6x_12_09_132_1SS</t>
  </si>
  <si>
    <t>IC6x_12_09_152_1SS</t>
  </si>
  <si>
    <t>IC6x_12_09_212_1SS</t>
  </si>
  <si>
    <t>IC6x_12_09_232_1SS</t>
  </si>
  <si>
    <t>IC6x_12_09_252_1SS</t>
  </si>
  <si>
    <t>IC6x_12_09_312_1SS</t>
  </si>
  <si>
    <t>IC6x_12_09_332_1SS</t>
  </si>
  <si>
    <t>IC6x_12_09_352_1SS</t>
  </si>
  <si>
    <t>IC7x_11_02_112_1SS</t>
  </si>
  <si>
    <t>IC7x_11_02_212_1SS</t>
  </si>
  <si>
    <t>IC7x_11_02_312_1SS</t>
  </si>
  <si>
    <t>IC7x_11_03_112_1SS</t>
  </si>
  <si>
    <t>IC7x_11_03_212_1SS</t>
  </si>
  <si>
    <t>IC7x_11_03_312_1SS</t>
  </si>
  <si>
    <t>IC7x_11_05_112_1SS</t>
  </si>
  <si>
    <t>IC7x_11_05_212_1SS</t>
  </si>
  <si>
    <t>IC7x_11_05_312_1SS</t>
  </si>
  <si>
    <t>IC7x_11_09_112_1SS</t>
  </si>
  <si>
    <t>IC7x_11_09_212_1SS</t>
  </si>
  <si>
    <t>IC7x_11_09_312_1SS</t>
  </si>
  <si>
    <t>IC7x_12_02_112_1SS</t>
  </si>
  <si>
    <t>IC7x_12_02_132_1SS</t>
  </si>
  <si>
    <t>IC7x_12_02_152_1SS</t>
  </si>
  <si>
    <t>IC7x_12_02_212_1SS</t>
  </si>
  <si>
    <t>IC7x_12_02_232_1SS</t>
  </si>
  <si>
    <t>IC7x_12_02_252_1SS</t>
  </si>
  <si>
    <t>IC7x_12_02_312_1SS</t>
  </si>
  <si>
    <t>IC7x_12_02_332_1SS</t>
  </si>
  <si>
    <t>IC7x_12_02_352_1SS</t>
  </si>
  <si>
    <t>IC7x_12_03_112_1SS</t>
  </si>
  <si>
    <t>IC7x_12_03_132_1SS</t>
  </si>
  <si>
    <t>IC7x_12_03_152_1SS</t>
  </si>
  <si>
    <t>IC7x_12_03_212_1SS</t>
  </si>
  <si>
    <t>IC7x_12_03_232_1SS</t>
  </si>
  <si>
    <t>IC7x_12_03_252_1SS</t>
  </si>
  <si>
    <t>IC7x_12_03_312_1SS</t>
  </si>
  <si>
    <t>IC7x_12_03_332_1SS</t>
  </si>
  <si>
    <t>IC7x_12_03_352_1SS</t>
  </si>
  <si>
    <t>IC7x_12_05_112_1SS</t>
  </si>
  <si>
    <t>IC7x_12_05_132_1SS</t>
  </si>
  <si>
    <t>IC7x_12_05_152_1SS</t>
  </si>
  <si>
    <t>IC7x_12_05_212_1SS</t>
  </si>
  <si>
    <t>IC7x_12_05_232_1SS</t>
  </si>
  <si>
    <t>IC7x_12_05_252_1SS</t>
  </si>
  <si>
    <t>IC7x_12_05_312_1SS</t>
  </si>
  <si>
    <t>IC7x_12_05_332_1SS</t>
  </si>
  <si>
    <t>IC7x_12_05_352_1SS</t>
  </si>
  <si>
    <t>IC7x_12_09_112_1SS</t>
  </si>
  <si>
    <t>IC7x_12_09_132_1SS</t>
  </si>
  <si>
    <t>IC7x_12_09_152_1SS</t>
  </si>
  <si>
    <t>IC7x_12_09_212_1SS</t>
  </si>
  <si>
    <t>IC7x_12_09_232_1SS</t>
  </si>
  <si>
    <t>IC7x_12_09_252_1SS</t>
  </si>
  <si>
    <t>IC7x_12_09_312_1SS</t>
  </si>
  <si>
    <t>IC7x_12_09_332_1SS</t>
  </si>
  <si>
    <t>IC7x_12_09_352_1SS</t>
  </si>
  <si>
    <t>IC8x_11_02_112_1SS</t>
  </si>
  <si>
    <t>IC8x_11_02_212_1SS</t>
  </si>
  <si>
    <t>IC8x_11_02_312_1SS</t>
  </si>
  <si>
    <t>IC8x_11_03_112_1SS</t>
  </si>
  <si>
    <t>IC8x_11_03_212_1SS</t>
  </si>
  <si>
    <t>IC8x_11_03_312_1SS</t>
  </si>
  <si>
    <t>IC8x_11_05_112_1SS</t>
  </si>
  <si>
    <t>IC8x_11_05_212_1SS</t>
  </si>
  <si>
    <t>IC8x_11_05_312_1SS</t>
  </si>
  <si>
    <t>IC8x_11_09_112_1SS</t>
  </si>
  <si>
    <t>IC8x_11_09_212_1SS</t>
  </si>
  <si>
    <t>IC8x_11_09_312_1SS</t>
  </si>
  <si>
    <t>IC8x_12_02_112_1SS</t>
  </si>
  <si>
    <t>IC8x_12_02_132_1SS</t>
  </si>
  <si>
    <t>IC8x_12_02_152_1SS</t>
  </si>
  <si>
    <t>IC8x_12_02_212_1SS</t>
  </si>
  <si>
    <t>IC8x_12_02_232_1SS</t>
  </si>
  <si>
    <t>IC8x_12_02_252_1SS</t>
  </si>
  <si>
    <t>IC8x_12_02_312_1SS</t>
  </si>
  <si>
    <t>IC8x_12_02_332_1SS</t>
  </si>
  <si>
    <t>IC8x_12_02_352_1SS</t>
  </si>
  <si>
    <t>IC8x_12_03_112_1SS</t>
  </si>
  <si>
    <t>IC8x_12_03_132_1SS</t>
  </si>
  <si>
    <t>IC8x_12_03_152_1SS</t>
  </si>
  <si>
    <t>IC8x_12_03_212_1SS</t>
  </si>
  <si>
    <t>IC8x_12_03_232_1SS</t>
  </si>
  <si>
    <t>IC8x_12_03_252_1SS</t>
  </si>
  <si>
    <t>IC8x_12_03_312_1SS</t>
  </si>
  <si>
    <t>IC8x_12_03_332_1SS</t>
  </si>
  <si>
    <t>IC8x_12_03_352_1SS</t>
  </si>
  <si>
    <t>IC8x_12_05_112_1SS</t>
  </si>
  <si>
    <t>IC8x_12_05_132_1SS</t>
  </si>
  <si>
    <t>IC8x_12_05_152_1SS</t>
  </si>
  <si>
    <t>IC8x_12_05_212_1SS</t>
  </si>
  <si>
    <t>IC8x_12_05_232_1SS</t>
  </si>
  <si>
    <t>IC8x_12_05_252_1SS</t>
  </si>
  <si>
    <t>IC8x_12_05_312_1SS</t>
  </si>
  <si>
    <t>IC8x_12_05_332_1SS</t>
  </si>
  <si>
    <t>IC8x_12_05_352_1SS</t>
  </si>
  <si>
    <t>IC8x_12_09_112_1SS</t>
  </si>
  <si>
    <t>IC8x_12_09_132_1SS</t>
  </si>
  <si>
    <t>IC8x_12_09_152_1SS</t>
  </si>
  <si>
    <t>IC8x_12_09_212_1SS</t>
  </si>
  <si>
    <t>IC8x_12_09_232_1SS</t>
  </si>
  <si>
    <t>IC8x_12_09_252_1SS</t>
  </si>
  <si>
    <t>IC8x_12_09_312_1SS</t>
  </si>
  <si>
    <t>IC8x_12_09_332_1SS</t>
  </si>
  <si>
    <t>IC8x_12_09_352_1SS</t>
  </si>
  <si>
    <t>IH1x_11_02_112_1SS</t>
  </si>
  <si>
    <t>IH1x_11_02_112_2SS</t>
  </si>
  <si>
    <t>IH1x_11_02_212_1SS</t>
  </si>
  <si>
    <t>IH1x_11_02_212_2SS</t>
  </si>
  <si>
    <t>IH1x_11_02_312_1SS</t>
  </si>
  <si>
    <t>IH1x_11_02_312_2SS</t>
  </si>
  <si>
    <t>IH1x_11_03_112_1SS</t>
  </si>
  <si>
    <t>IH1x_11_03_112_2SS</t>
  </si>
  <si>
    <t>IH1x_11_03_212_1SS</t>
  </si>
  <si>
    <t>IH1x_11_03_212_2SS</t>
  </si>
  <si>
    <t>IH1x_11_03_312_1SS</t>
  </si>
  <si>
    <t>IH1x_11_03_312_2SS</t>
  </si>
  <si>
    <t>IH1x_11_04_112_1SS</t>
  </si>
  <si>
    <t>IH1x_11_04_112_2SS</t>
  </si>
  <si>
    <t>IH1x_11_04_212_1SS</t>
  </si>
  <si>
    <t>IH1x_11_04_212_2SS</t>
  </si>
  <si>
    <t>IH1x_11_04_312_1SS</t>
  </si>
  <si>
    <t>IH1x_11_04_312_2SS</t>
  </si>
  <si>
    <t>IH1x_11_05_112_1SS</t>
  </si>
  <si>
    <t>IH1x_11_05_112_2SS</t>
  </si>
  <si>
    <t>IH1x_11_05_212_1SS</t>
  </si>
  <si>
    <t>IH1x_11_05_212_2SS</t>
  </si>
  <si>
    <t>IH1x_11_05_312_1SS</t>
  </si>
  <si>
    <t>IH1x_11_05_312_2SS</t>
  </si>
  <si>
    <t>IH1x_11_07_112_1SS</t>
  </si>
  <si>
    <t>IH1x_11_07_112_2SS</t>
  </si>
  <si>
    <t>IH1x_11_07_212_1SS</t>
  </si>
  <si>
    <t>IH1x_11_07_212_2SS</t>
  </si>
  <si>
    <t>IH1x_11_07_312_1SS</t>
  </si>
  <si>
    <t>IH1x_11_07_312_2SS</t>
  </si>
  <si>
    <t>IH1x_11_09_112_1SS</t>
  </si>
  <si>
    <t>IH1x_11_09_112_2SS</t>
  </si>
  <si>
    <t>IH1x_11_09_212_1SS</t>
  </si>
  <si>
    <t>IH1x_11_09_212_2SS</t>
  </si>
  <si>
    <t>IH1x_11_09_312_1SS</t>
  </si>
  <si>
    <t>IH1x_11_09_312_2SS</t>
  </si>
  <si>
    <t>IH1x_11_11_112_1SS</t>
  </si>
  <si>
    <t>IH1x_11_11_112_2SS</t>
  </si>
  <si>
    <t>IH1x_11_11_212_1SS</t>
  </si>
  <si>
    <t>IH1x_11_11_212_2SS</t>
  </si>
  <si>
    <t>IH1x_11_11_312_1SS</t>
  </si>
  <si>
    <t>IH1x_11_11_312_2SS</t>
  </si>
  <si>
    <t>IH1x_12_02_112_1SS</t>
  </si>
  <si>
    <t>IH1x_12_02_112_2SS</t>
  </si>
  <si>
    <t>IH1x_12_02_212_1SS</t>
  </si>
  <si>
    <t>IH1x_12_02_212_2SS</t>
  </si>
  <si>
    <t>IH1x_12_02_312_1SS</t>
  </si>
  <si>
    <t>IH1x_12_02_312_2SS</t>
  </si>
  <si>
    <t>IH1x_12_03_112_1SS</t>
  </si>
  <si>
    <t>IH1x_12_03_112_2SS</t>
  </si>
  <si>
    <t>IH1x_12_03_212_1SS</t>
  </si>
  <si>
    <t>IH1x_12_03_212_2SS</t>
  </si>
  <si>
    <t>IH1x_12_03_312_1SS</t>
  </si>
  <si>
    <t>IH1x_12_03_312_2SS</t>
  </si>
  <si>
    <t>IH1x_12_04_112_1SS</t>
  </si>
  <si>
    <t>IH1x_12_04_112_2SS</t>
  </si>
  <si>
    <t>IH1x_12_04_212_1SS</t>
  </si>
  <si>
    <t>IH1x_12_04_212_2SS</t>
  </si>
  <si>
    <t>IH1x_12_04_312_1SS</t>
  </si>
  <si>
    <t>IH1x_12_04_312_2SS</t>
  </si>
  <si>
    <t>IH1x_12_05_112_1SS</t>
  </si>
  <si>
    <t>IH1x_12_05_112_2SS</t>
  </si>
  <si>
    <t>IH1x_12_05_212_1SS</t>
  </si>
  <si>
    <t>IH1x_12_05_212_2SS</t>
  </si>
  <si>
    <t>IH1x_12_05_312_1SS</t>
  </si>
  <si>
    <t>IH1x_12_05_312_2SS</t>
  </si>
  <si>
    <t>IH1x_12_07_112_1SS</t>
  </si>
  <si>
    <t>IH1x_12_07_112_2SS</t>
  </si>
  <si>
    <t>IH1x_12_07_212_1SS</t>
  </si>
  <si>
    <t>IH1x_12_07_212_2SS</t>
  </si>
  <si>
    <t>IH1x_12_07_312_1SS</t>
  </si>
  <si>
    <t>IH1x_12_07_312_2SS</t>
  </si>
  <si>
    <t>IH1x_12_09_112_1SS</t>
  </si>
  <si>
    <t>IH1x_12_09_112_2SS</t>
  </si>
  <si>
    <t>IH1x_12_09_212_1SS</t>
  </si>
  <si>
    <t>IH1x_12_09_212_2SS</t>
  </si>
  <si>
    <t>IH1x_12_09_312_1SS</t>
  </si>
  <si>
    <t>IH1x_12_09_312_2SS</t>
  </si>
  <si>
    <t>IH1x_12_11_112_1SS</t>
  </si>
  <si>
    <t>IH1x_12_11_112_2SS</t>
  </si>
  <si>
    <t>IH1x_12_11_212_1SS</t>
  </si>
  <si>
    <t>IH1x_12_11_212_2SS</t>
  </si>
  <si>
    <t>IH1x_12_11_312_1SS</t>
  </si>
  <si>
    <t>IH1x_12_11_312_2SS</t>
  </si>
  <si>
    <t>IH1x_13_02_112_1SS</t>
  </si>
  <si>
    <t>IH1x_13_02_112_2SS</t>
  </si>
  <si>
    <t>IH1x_13_02_212_1SS</t>
  </si>
  <si>
    <t>IH1x_13_02_212_2SS</t>
  </si>
  <si>
    <t>IH1x_13_02_312_1SS</t>
  </si>
  <si>
    <t>IH1x_13_02_312_2SS</t>
  </si>
  <si>
    <t>IH1x_13_03_112_1SS</t>
  </si>
  <si>
    <t>IH1x_13_03_112_2SS</t>
  </si>
  <si>
    <t>IH1x_13_03_212_1SS</t>
  </si>
  <si>
    <t>IH1x_13_03_212_2SS</t>
  </si>
  <si>
    <t>IH1x_13_03_312_1SS</t>
  </si>
  <si>
    <t>IH1x_13_03_312_2SS</t>
  </si>
  <si>
    <t>IH1x_13_04_112_1SS</t>
  </si>
  <si>
    <t>IH1x_13_04_112_2SS</t>
  </si>
  <si>
    <t>IH1x_13_04_212_1SS</t>
  </si>
  <si>
    <t>IH1x_13_04_212_2SS</t>
  </si>
  <si>
    <t>IH1x_13_04_312_1SS</t>
  </si>
  <si>
    <t>IH1x_13_04_312_2SS</t>
  </si>
  <si>
    <t>IH1x_13_05_112_1SS</t>
  </si>
  <si>
    <t>IH1x_13_05_112_2SS</t>
  </si>
  <si>
    <t>IH1x_13_05_212_1SS</t>
  </si>
  <si>
    <t>IH1x_13_05_212_2SS</t>
  </si>
  <si>
    <t>IH1x_13_05_312_1SS</t>
  </si>
  <si>
    <t>IH1x_13_05_312_2SS</t>
  </si>
  <si>
    <t>IH1x_13_07_112_1SS</t>
  </si>
  <si>
    <t>IH1x_13_07_112_2SS</t>
  </si>
  <si>
    <t>IH1x_13_07_212_1SS</t>
  </si>
  <si>
    <t>IH1x_13_07_212_2SS</t>
  </si>
  <si>
    <t>IH1x_13_07_312_1SS</t>
  </si>
  <si>
    <t>IH1x_13_07_312_2SS</t>
  </si>
  <si>
    <t>IH1x_13_09_112_1SS</t>
  </si>
  <si>
    <t>IH1x_13_09_112_2SS</t>
  </si>
  <si>
    <t>IH1x_13_09_212_1SS</t>
  </si>
  <si>
    <t>IH1x_13_09_212_2SS</t>
  </si>
  <si>
    <t>IH1x_13_09_312_1SS</t>
  </si>
  <si>
    <t>IH1x_13_09_312_2SS</t>
  </si>
  <si>
    <t>IH1x_13_11_112_1SS</t>
  </si>
  <si>
    <t>IH1x_13_11_112_2SS</t>
  </si>
  <si>
    <t>IH1x_13_11_212_1SS</t>
  </si>
  <si>
    <t>IH1x_13_11_212_2SS</t>
  </si>
  <si>
    <t>IH1x_13_11_312_1SS</t>
  </si>
  <si>
    <t>IH1x_13_11_312_2SS</t>
  </si>
  <si>
    <t>IH1x_15_02_112_1SS</t>
  </si>
  <si>
    <t>IH1x_15_02_112_2SS</t>
  </si>
  <si>
    <t>IH1x_15_02_212_1SS</t>
  </si>
  <si>
    <t>IH1x_15_02_212_2SS</t>
  </si>
  <si>
    <t>IH1x_15_02_312_1SS</t>
  </si>
  <si>
    <t>IH1x_15_02_312_2SS</t>
  </si>
  <si>
    <t>IH1x_15_03_112_1SS</t>
  </si>
  <si>
    <t>IH1x_15_03_112_2SS</t>
  </si>
  <si>
    <t>IH1x_15_03_212_1SS</t>
  </si>
  <si>
    <t>IH1x_15_03_212_2SS</t>
  </si>
  <si>
    <t>IH1x_15_03_312_1SS</t>
  </si>
  <si>
    <t>IH1x_15_03_312_2SS</t>
  </si>
  <si>
    <t>IH1x_15_04_112_1SS</t>
  </si>
  <si>
    <t>IH1x_15_04_112_2SS</t>
  </si>
  <si>
    <t>IH1x_15_04_212_1SS</t>
  </si>
  <si>
    <t>IH1x_15_04_212_2SS</t>
  </si>
  <si>
    <t>IH1x_15_04_312_1SS</t>
  </si>
  <si>
    <t>IH1x_15_04_312_2SS</t>
  </si>
  <si>
    <t>IH1x_15_05_112_1SS</t>
  </si>
  <si>
    <t>IH1x_15_05_112_2SS</t>
  </si>
  <si>
    <t>IH1x_15_05_212_1SS</t>
  </si>
  <si>
    <t>IH1x_15_05_212_2SS</t>
  </si>
  <si>
    <t>IH1x_15_05_312_1SS</t>
  </si>
  <si>
    <t>IH1x_15_05_312_2SS</t>
  </si>
  <si>
    <t>IH1x_15_07_112_1SS</t>
  </si>
  <si>
    <t>IH1x_15_07_112_2SS</t>
  </si>
  <si>
    <t>IH1x_15_07_212_1SS</t>
  </si>
  <si>
    <t>IH1x_15_07_212_2SS</t>
  </si>
  <si>
    <t>IH1x_15_07_312_1SS</t>
  </si>
  <si>
    <t>IH1x_15_07_312_2SS</t>
  </si>
  <si>
    <t>IH1x_15_09_112_1SS</t>
  </si>
  <si>
    <t>IH1x_15_09_112_2SS</t>
  </si>
  <si>
    <t>IH1x_15_09_212_1SS</t>
  </si>
  <si>
    <t>IH1x_15_09_212_2SS</t>
  </si>
  <si>
    <t>IH1x_15_09_312_1SS</t>
  </si>
  <si>
    <t>IH1x_15_09_312_2SS</t>
  </si>
  <si>
    <t>IH1x_15_11_112_1SS</t>
  </si>
  <si>
    <t>IH1x_15_11_112_2SS</t>
  </si>
  <si>
    <t>IH1x_15_11_212_1SS</t>
  </si>
  <si>
    <t>IH1x_15_11_212_2SS</t>
  </si>
  <si>
    <t>IH1x_15_11_312_1SS</t>
  </si>
  <si>
    <t>IH1x_15_11_312_2SS</t>
  </si>
  <si>
    <t>IH1x_16_02_112_1SS</t>
  </si>
  <si>
    <t>IH1x_16_02_112_2SS</t>
  </si>
  <si>
    <t>IH1x_16_02_212_1SS</t>
  </si>
  <si>
    <t>IH1x_16_02_212_2SS</t>
  </si>
  <si>
    <t>IH1x_16_02_312_1SS</t>
  </si>
  <si>
    <t>IH1x_16_02_312_2SS</t>
  </si>
  <si>
    <t>IH1x_16_03_112_1SS</t>
  </si>
  <si>
    <t>IH1x_16_03_112_2SS</t>
  </si>
  <si>
    <t>IH1x_16_03_212_1SS</t>
  </si>
  <si>
    <t>IH1x_16_03_212_2SS</t>
  </si>
  <si>
    <t>IH1x_16_03_312_1SS</t>
  </si>
  <si>
    <t>IH1x_16_03_312_2SS</t>
  </si>
  <si>
    <t>IH1x_16_04_112_1SS</t>
  </si>
  <si>
    <t>IH1x_16_04_112_2SS</t>
  </si>
  <si>
    <t>IH1x_16_04_212_1SS</t>
  </si>
  <si>
    <t>IH1x_16_04_212_2SS</t>
  </si>
  <si>
    <t>IH1x_16_04_312_1SS</t>
  </si>
  <si>
    <t>IH1x_16_04_312_2SS</t>
  </si>
  <si>
    <t>IH1x_16_05_112_1SS</t>
  </si>
  <si>
    <t>IH1x_16_05_112_2SS</t>
  </si>
  <si>
    <t>IH1x_16_05_212_1SS</t>
  </si>
  <si>
    <t>IH1x_16_05_212_2SS</t>
  </si>
  <si>
    <t>IH1x_16_05_312_1SS</t>
  </si>
  <si>
    <t>IH1x_16_05_312_2SS</t>
  </si>
  <si>
    <t>IH1x_16_07_112_1SS</t>
  </si>
  <si>
    <t>IH1x_16_07_112_2SS</t>
  </si>
  <si>
    <t>IH1x_16_07_212_1SS</t>
  </si>
  <si>
    <t>IH1x_16_07_212_2SS</t>
  </si>
  <si>
    <t>IH1x_16_07_312_1SS</t>
  </si>
  <si>
    <t>IH1x_16_07_312_2SS</t>
  </si>
  <si>
    <t>IH1x_16_09_112_1SS</t>
  </si>
  <si>
    <t>IH1x_16_09_112_2SS</t>
  </si>
  <si>
    <t>IH1x_16_09_212_1SS</t>
  </si>
  <si>
    <t>IH1x_16_09_212_2SS</t>
  </si>
  <si>
    <t>IH1x_16_09_312_1SS</t>
  </si>
  <si>
    <t>IH1x_16_09_312_2SS</t>
  </si>
  <si>
    <t>IH1x_16_11_112_1SS</t>
  </si>
  <si>
    <t>IH1x_16_11_112_2SS</t>
  </si>
  <si>
    <t>IH1x_16_11_212_1SS</t>
  </si>
  <si>
    <t>IH1x_16_11_212_2SS</t>
  </si>
  <si>
    <t>IH1x_16_11_312_1SS</t>
  </si>
  <si>
    <t>IH1x_16_11_312_2SS</t>
  </si>
  <si>
    <t>IH2x_11_02_112_1SS</t>
  </si>
  <si>
    <t>IH2x_11_02_112_2SS</t>
  </si>
  <si>
    <t>IH2x_11_02_212_1SS</t>
  </si>
  <si>
    <t>IH2x_11_02_212_2SS</t>
  </si>
  <si>
    <t>IH2x_11_02_312_1SS</t>
  </si>
  <si>
    <t>IH2x_11_02_312_2SS</t>
  </si>
  <si>
    <t>IH2x_11_03_112_1SS</t>
  </si>
  <si>
    <t>IH2x_11_03_112_2SS</t>
  </si>
  <si>
    <t>IH2x_11_03_212_1SS</t>
  </si>
  <si>
    <t>IH2x_11_03_212_2SS</t>
  </si>
  <si>
    <t>IH2x_11_03_312_1SS</t>
  </si>
  <si>
    <t>IH2x_11_03_312_2SS</t>
  </si>
  <si>
    <t>IH2x_11_04_112_1SS</t>
  </si>
  <si>
    <t>IH2x_11_04_112_2SS</t>
  </si>
  <si>
    <t>IH2x_11_04_212_1SS</t>
  </si>
  <si>
    <t>IH2x_11_04_212_2SS</t>
  </si>
  <si>
    <t>IH2x_11_04_312_1SS</t>
  </si>
  <si>
    <t>IH2x_11_04_312_2SS</t>
  </si>
  <si>
    <t>IH2x_11_05_112_1SS</t>
  </si>
  <si>
    <t>IH2x_11_05_112_2SS</t>
  </si>
  <si>
    <t>IH2x_11_05_212_1SS</t>
  </si>
  <si>
    <t>IH2x_11_05_212_2SS</t>
  </si>
  <si>
    <t>IH2x_11_05_312_1SS</t>
  </si>
  <si>
    <t>IH2x_11_05_312_2SS</t>
  </si>
  <si>
    <t>IH2x_11_07_112_1SS</t>
  </si>
  <si>
    <t>IH2x_11_07_112_2SS</t>
  </si>
  <si>
    <t>IH2x_11_07_212_1SS</t>
  </si>
  <si>
    <t>IH2x_11_07_212_2SS</t>
  </si>
  <si>
    <t>IH2x_11_07_312_1SS</t>
  </si>
  <si>
    <t>IH2x_11_07_312_2SS</t>
  </si>
  <si>
    <t>IH2x_11_09_112_1SS</t>
  </si>
  <si>
    <t>IH2x_11_09_112_2SS</t>
  </si>
  <si>
    <t>IH2x_11_09_212_1SS</t>
  </si>
  <si>
    <t>IH2x_11_09_212_2SS</t>
  </si>
  <si>
    <t>IH2x_11_09_312_1SS</t>
  </si>
  <si>
    <t>IH2x_11_09_312_2SS</t>
  </si>
  <si>
    <t>IH2x_11_11_112_1SS</t>
  </si>
  <si>
    <t>IH2x_11_11_112_2SS</t>
  </si>
  <si>
    <t>IH2x_11_11_212_1SS</t>
  </si>
  <si>
    <t>IH2x_11_11_212_2SS</t>
  </si>
  <si>
    <t>IH2x_11_11_312_1SS</t>
  </si>
  <si>
    <t>IH2x_11_11_312_2SS</t>
  </si>
  <si>
    <t>IH2x_12_02_112_1SS</t>
  </si>
  <si>
    <t>IH2x_12_02_112_2SS</t>
  </si>
  <si>
    <t>IH2x_12_02_212_1SS</t>
  </si>
  <si>
    <t>IH2x_12_02_212_2SS</t>
  </si>
  <si>
    <t>IH2x_12_02_312_1SS</t>
  </si>
  <si>
    <t>IH2x_12_02_312_2SS</t>
  </si>
  <si>
    <t>IH2x_12_03_112_1SS</t>
  </si>
  <si>
    <t>IH2x_12_03_112_2SS</t>
  </si>
  <si>
    <t>IH2x_12_03_212_1SS</t>
  </si>
  <si>
    <t>IH2x_12_03_212_2SS</t>
  </si>
  <si>
    <t>IH2x_12_03_312_1SS</t>
  </si>
  <si>
    <t>IH2x_12_03_312_2SS</t>
  </si>
  <si>
    <t>IH2x_12_04_112_1SS</t>
  </si>
  <si>
    <t>IH2x_12_04_112_2SS</t>
  </si>
  <si>
    <t>IH2x_12_04_212_1SS</t>
  </si>
  <si>
    <t>IH2x_12_04_212_2SS</t>
  </si>
  <si>
    <t>IH2x_12_04_312_1SS</t>
  </si>
  <si>
    <t>IH2x_12_04_312_2SS</t>
  </si>
  <si>
    <t>IH2x_12_05_112_1SS</t>
  </si>
  <si>
    <t>IH2x_12_05_112_2SS</t>
  </si>
  <si>
    <t>IH2x_12_05_212_1SS</t>
  </si>
  <si>
    <t>IH2x_12_05_212_2SS</t>
  </si>
  <si>
    <t>IH2x_12_05_312_1SS</t>
  </si>
  <si>
    <t>IH2x_12_05_312_2SS</t>
  </si>
  <si>
    <t>IH2x_12_07_112_1SS</t>
  </si>
  <si>
    <t>IH2x_12_07_112_2SS</t>
  </si>
  <si>
    <t>IH2x_12_07_212_1SS</t>
  </si>
  <si>
    <t>IH2x_12_07_212_2SS</t>
  </si>
  <si>
    <t>IH2x_12_07_312_1SS</t>
  </si>
  <si>
    <t>IH2x_12_07_312_2SS</t>
  </si>
  <si>
    <t>IH2x_12_09_112_1SS</t>
  </si>
  <si>
    <t>IH2x_12_09_112_2SS</t>
  </si>
  <si>
    <t>IH2x_12_09_212_1SS</t>
  </si>
  <si>
    <t>IH2x_12_09_212_2SS</t>
  </si>
  <si>
    <t>IH2x_12_09_312_1SS</t>
  </si>
  <si>
    <t>IH2x_12_09_312_2SS</t>
  </si>
  <si>
    <t>IH2x_12_11_112_1SS</t>
  </si>
  <si>
    <t>IH2x_12_11_112_2SS</t>
  </si>
  <si>
    <t>IH2x_12_11_212_1SS</t>
  </si>
  <si>
    <t>IH2x_12_11_212_2SS</t>
  </si>
  <si>
    <t>IH2x_12_11_312_1SS</t>
  </si>
  <si>
    <t>IH2x_12_11_312_2SS</t>
  </si>
  <si>
    <t>IH2x_13_02_112_1SS</t>
  </si>
  <si>
    <t>IH2x_13_02_112_2SS</t>
  </si>
  <si>
    <t>IH2x_13_02_212_1SS</t>
  </si>
  <si>
    <t>IH2x_13_02_212_2SS</t>
  </si>
  <si>
    <t>IH2x_13_02_312_1SS</t>
  </si>
  <si>
    <t>IH2x_13_02_312_2SS</t>
  </si>
  <si>
    <t>IH2x_13_03_112_1SS</t>
  </si>
  <si>
    <t>IH2x_13_03_112_2SS</t>
  </si>
  <si>
    <t>IH2x_13_03_212_1SS</t>
  </si>
  <si>
    <t>IH2x_13_03_212_2SS</t>
  </si>
  <si>
    <t>IH2x_13_03_312_1SS</t>
  </si>
  <si>
    <t>IH2x_13_03_312_2SS</t>
  </si>
  <si>
    <t>IH2x_13_04_112_1SS</t>
  </si>
  <si>
    <t>IH2x_13_04_112_2SS</t>
  </si>
  <si>
    <t>IH2x_13_04_212_1SS</t>
  </si>
  <si>
    <t>IH2x_13_04_212_2SS</t>
  </si>
  <si>
    <t>IH2x_13_04_312_1SS</t>
  </si>
  <si>
    <t>IH2x_13_04_312_2SS</t>
  </si>
  <si>
    <t>IH2x_13_05_112_1SS</t>
  </si>
  <si>
    <t>IH2x_13_05_112_2SS</t>
  </si>
  <si>
    <t>IH2x_13_05_212_1SS</t>
  </si>
  <si>
    <t>IH2x_13_05_212_2SS</t>
  </si>
  <si>
    <t>IH2x_13_05_312_1SS</t>
  </si>
  <si>
    <t>IH2x_13_05_312_2SS</t>
  </si>
  <si>
    <t>IH2x_13_07_112_1SS</t>
  </si>
  <si>
    <t>IH2x_13_07_112_2SS</t>
  </si>
  <si>
    <t>IH2x_13_07_212_1SS</t>
  </si>
  <si>
    <t>IH2x_13_07_212_2SS</t>
  </si>
  <si>
    <t>IH2x_13_07_312_1SS</t>
  </si>
  <si>
    <t>IH2x_13_07_312_2SS</t>
  </si>
  <si>
    <t>IH2x_13_09_112_1SS</t>
  </si>
  <si>
    <t>IH2x_13_09_112_2SS</t>
  </si>
  <si>
    <t>IH2x_13_09_212_1SS</t>
  </si>
  <si>
    <t>IH2x_13_09_212_2SS</t>
  </si>
  <si>
    <t>IH2x_13_09_312_1SS</t>
  </si>
  <si>
    <t>IH2x_13_09_312_2SS</t>
  </si>
  <si>
    <t>IH2x_13_11_112_1SS</t>
  </si>
  <si>
    <t>IH2x_13_11_112_2SS</t>
  </si>
  <si>
    <t>IH2x_13_11_212_1SS</t>
  </si>
  <si>
    <t>IH2x_13_11_212_2SS</t>
  </si>
  <si>
    <t>IH2x_13_11_312_1SS</t>
  </si>
  <si>
    <t>IH2x_13_11_312_2SS</t>
  </si>
  <si>
    <t>IH2x_15_02_112_1SS</t>
  </si>
  <si>
    <t>IH2x_15_02_112_2SS</t>
  </si>
  <si>
    <t>IH2x_15_02_212_1SS</t>
  </si>
  <si>
    <t>IH2x_15_02_212_2SS</t>
  </si>
  <si>
    <t>IH2x_15_02_312_1SS</t>
  </si>
  <si>
    <t>IH2x_15_02_312_2SS</t>
  </si>
  <si>
    <t>IH2x_15_03_112_1SS</t>
  </si>
  <si>
    <t>IH2x_15_03_112_2SS</t>
  </si>
  <si>
    <t>IH2x_15_03_212_1SS</t>
  </si>
  <si>
    <t>IH2x_15_03_212_2SS</t>
  </si>
  <si>
    <t>IH2x_15_03_312_1SS</t>
  </si>
  <si>
    <t>IH2x_15_03_312_2SS</t>
  </si>
  <si>
    <t>IH2x_15_04_112_1SS</t>
  </si>
  <si>
    <t>IH2x_15_04_112_2SS</t>
  </si>
  <si>
    <t>IH2x_15_04_212_1SS</t>
  </si>
  <si>
    <t>IH2x_15_04_212_2SS</t>
  </si>
  <si>
    <t>IH2x_15_04_312_1SS</t>
  </si>
  <si>
    <t>IH2x_15_04_312_2SS</t>
  </si>
  <si>
    <t>IH2x_15_05_112_1SS</t>
  </si>
  <si>
    <t>IH2x_15_05_112_2SS</t>
  </si>
  <si>
    <t>IH2x_15_05_212_1SS</t>
  </si>
  <si>
    <t>IH2x_15_05_212_2SS</t>
  </si>
  <si>
    <t>IH2x_15_05_312_1SS</t>
  </si>
  <si>
    <t>IH2x_15_05_312_2SS</t>
  </si>
  <si>
    <t>IH2x_15_07_112_1SS</t>
  </si>
  <si>
    <t>IH2x_15_07_112_2SS</t>
  </si>
  <si>
    <t>IH2x_15_07_212_1SS</t>
  </si>
  <si>
    <t>IH2x_15_07_212_2SS</t>
  </si>
  <si>
    <t>IH2x_15_07_312_1SS</t>
  </si>
  <si>
    <t>IH2x_15_07_312_2SS</t>
  </si>
  <si>
    <t>IH2x_15_09_112_1SS</t>
  </si>
  <si>
    <t>IH2x_15_09_112_2SS</t>
  </si>
  <si>
    <t>IH2x_15_09_212_1SS</t>
  </si>
  <si>
    <t>IH2x_15_09_212_2SS</t>
  </si>
  <si>
    <t>IH2x_15_09_312_1SS</t>
  </si>
  <si>
    <t>IH2x_15_09_312_2SS</t>
  </si>
  <si>
    <t>IH2x_15_11_112_1SS</t>
  </si>
  <si>
    <t>IH2x_15_11_112_2SS</t>
  </si>
  <si>
    <t>IH2x_15_11_212_1SS</t>
  </si>
  <si>
    <t>IH2x_15_11_212_2SS</t>
  </si>
  <si>
    <t>IH2x_15_11_312_1SS</t>
  </si>
  <si>
    <t>IH2x_15_11_312_2SS</t>
  </si>
  <si>
    <t>IH2x_16_02_112_1SS</t>
  </si>
  <si>
    <t>IH2x_16_02_112_2SS</t>
  </si>
  <si>
    <t>IH2x_16_02_212_1SS</t>
  </si>
  <si>
    <t>IH2x_16_02_212_2SS</t>
  </si>
  <si>
    <t>IH2x_16_02_312_1SS</t>
  </si>
  <si>
    <t>IH2x_16_02_312_2SS</t>
  </si>
  <si>
    <t>IH2x_16_03_112_1SS</t>
  </si>
  <si>
    <t>IH2x_16_03_112_2SS</t>
  </si>
  <si>
    <t>IH2x_16_03_212_1SS</t>
  </si>
  <si>
    <t>IH2x_16_03_212_2SS</t>
  </si>
  <si>
    <t>IH2x_16_03_312_1SS</t>
  </si>
  <si>
    <t>IH2x_16_03_312_2SS</t>
  </si>
  <si>
    <t>IH2x_16_04_112_1SS</t>
  </si>
  <si>
    <t>IH2x_16_04_112_2SS</t>
  </si>
  <si>
    <t>IH2x_16_04_212_1SS</t>
  </si>
  <si>
    <t>IH2x_16_04_212_2SS</t>
  </si>
  <si>
    <t>IH2x_16_04_312_1SS</t>
  </si>
  <si>
    <t>IH2x_16_04_312_2SS</t>
  </si>
  <si>
    <t>IH2x_16_05_112_1SS</t>
  </si>
  <si>
    <t>IH2x_16_05_112_2SS</t>
  </si>
  <si>
    <t>IH2x_16_05_212_1SS</t>
  </si>
  <si>
    <t>IH2x_16_05_212_2SS</t>
  </si>
  <si>
    <t>IH2x_16_05_312_1SS</t>
  </si>
  <si>
    <t>IH2x_16_05_312_2SS</t>
  </si>
  <si>
    <t>IH2x_16_07_112_1SS</t>
  </si>
  <si>
    <t>IH2x_16_07_112_2SS</t>
  </si>
  <si>
    <t>IH2x_16_07_212_1SS</t>
  </si>
  <si>
    <t>IH2x_16_07_212_2SS</t>
  </si>
  <si>
    <t>IH2x_16_07_312_1SS</t>
  </si>
  <si>
    <t>IH2x_16_07_312_2SS</t>
  </si>
  <si>
    <t>IH2x_16_09_112_1SS</t>
  </si>
  <si>
    <t>IH2x_16_09_112_2SS</t>
  </si>
  <si>
    <t>IH2x_16_09_212_1SS</t>
  </si>
  <si>
    <t>IH2x_16_09_212_2SS</t>
  </si>
  <si>
    <t>IH2x_16_09_312_1SS</t>
  </si>
  <si>
    <t>IH2x_16_09_312_2SS</t>
  </si>
  <si>
    <t>IH2x_16_11_112_1SS</t>
  </si>
  <si>
    <t>IH2x_16_11_112_2SS</t>
  </si>
  <si>
    <t>IH2x_16_11_212_1SS</t>
  </si>
  <si>
    <t>IH2x_16_11_212_2SS</t>
  </si>
  <si>
    <t>IH2x_16_11_312_1SS</t>
  </si>
  <si>
    <t>IH2x_16_11_312_2SS</t>
  </si>
  <si>
    <t>IH3x_11_02_112_1SS</t>
  </si>
  <si>
    <t>IH3x_11_02_112_2SS</t>
  </si>
  <si>
    <t>IH3x_11_02_212_1SS</t>
  </si>
  <si>
    <t>IH3x_11_02_212_2SS</t>
  </si>
  <si>
    <t>IH3x_11_02_312_1SS</t>
  </si>
  <si>
    <t>IH3x_11_02_312_2SS</t>
  </si>
  <si>
    <t>IH3x_11_03_112_1SS</t>
  </si>
  <si>
    <t>IH3x_11_03_112_2SS</t>
  </si>
  <si>
    <t>IH3x_11_03_212_1SS</t>
  </si>
  <si>
    <t>IH3x_11_03_212_2SS</t>
  </si>
  <si>
    <t>IH3x_11_03_312_1SS</t>
  </si>
  <si>
    <t>IH3x_11_03_312_2SS</t>
  </si>
  <si>
    <t>IH3x_11_04_112_1SS</t>
  </si>
  <si>
    <t>IH3x_11_04_112_2SS</t>
  </si>
  <si>
    <t>IH3x_11_04_212_1SS</t>
  </si>
  <si>
    <t>IH3x_11_04_212_2SS</t>
  </si>
  <si>
    <t>IH3x_11_04_312_1SS</t>
  </si>
  <si>
    <t>IH3x_11_04_312_2SS</t>
  </si>
  <si>
    <t>IH3x_11_05_112_1SS</t>
  </si>
  <si>
    <t>IH3x_11_05_112_2SS</t>
  </si>
  <si>
    <t>IH3x_11_05_212_1SS</t>
  </si>
  <si>
    <t>IH3x_11_05_212_2SS</t>
  </si>
  <si>
    <t>IH3x_11_05_312_1SS</t>
  </si>
  <si>
    <t>IH3x_11_05_312_2SS</t>
  </si>
  <si>
    <t>IH3x_11_07_112_1SS</t>
  </si>
  <si>
    <t>IH3x_11_07_112_2SS</t>
  </si>
  <si>
    <t>IH3x_11_07_212_1SS</t>
  </si>
  <si>
    <t>IH3x_11_07_212_2SS</t>
  </si>
  <si>
    <t>IH3x_11_07_312_1SS</t>
  </si>
  <si>
    <t>IH3x_11_07_312_2SS</t>
  </si>
  <si>
    <t>IH3x_11_09_112_1SS</t>
  </si>
  <si>
    <t>IH3x_11_09_112_2SS</t>
  </si>
  <si>
    <t>IH3x_11_09_212_1SS</t>
  </si>
  <si>
    <t>IH3x_11_09_212_2SS</t>
  </si>
  <si>
    <t>IH3x_11_09_312_1SS</t>
  </si>
  <si>
    <t>IH3x_11_09_312_2SS</t>
  </si>
  <si>
    <t>IH3x_11_11_112_1SS</t>
  </si>
  <si>
    <t>IH3x_11_11_112_2SS</t>
  </si>
  <si>
    <t>IH3x_11_11_212_1SS</t>
  </si>
  <si>
    <t>IH3x_11_11_212_2SS</t>
  </si>
  <si>
    <t>IH3x_11_11_312_1SS</t>
  </si>
  <si>
    <t>IH3x_11_11_312_2SS</t>
  </si>
  <si>
    <t>IH3x_12_02_112_1SS</t>
  </si>
  <si>
    <t>IH3x_12_02_112_2SS</t>
  </si>
  <si>
    <t>IH3x_12_02_212_1SS</t>
  </si>
  <si>
    <t>IH3x_12_02_212_2SS</t>
  </si>
  <si>
    <t>IH3x_12_02_312_1SS</t>
  </si>
  <si>
    <t>IH3x_12_02_312_2SS</t>
  </si>
  <si>
    <t>IH3x_12_03_112_1SS</t>
  </si>
  <si>
    <t>IH3x_12_03_112_2SS</t>
  </si>
  <si>
    <t>IH3x_12_03_212_1SS</t>
  </si>
  <si>
    <t>IH3x_12_03_212_2SS</t>
  </si>
  <si>
    <t>IH3x_12_03_312_1SS</t>
  </si>
  <si>
    <t>IH3x_12_03_312_2SS</t>
  </si>
  <si>
    <t>IH3x_12_04_112_1SS</t>
  </si>
  <si>
    <t>IH3x_12_04_112_2SS</t>
  </si>
  <si>
    <t>IH3x_12_04_212_1SS</t>
  </si>
  <si>
    <t>IH3x_12_04_212_2SS</t>
  </si>
  <si>
    <t>IH3x_12_04_312_1SS</t>
  </si>
  <si>
    <t>IH3x_12_04_312_2SS</t>
  </si>
  <si>
    <t>IH3x_12_05_112_1SS</t>
  </si>
  <si>
    <t>IH3x_12_05_112_2SS</t>
  </si>
  <si>
    <t>IH3x_12_05_212_1SS</t>
  </si>
  <si>
    <t>IH3x_12_05_212_2SS</t>
  </si>
  <si>
    <t>IH3x_12_05_312_1SS</t>
  </si>
  <si>
    <t>IH3x_12_05_312_2SS</t>
  </si>
  <si>
    <t>IH3x_12_07_112_1SS</t>
  </si>
  <si>
    <t>IH3x_12_07_112_2SS</t>
  </si>
  <si>
    <t>IH3x_12_07_212_1SS</t>
  </si>
  <si>
    <t>IH3x_12_07_212_2SS</t>
  </si>
  <si>
    <t>IH3x_12_07_312_1SS</t>
  </si>
  <si>
    <t>IH3x_12_07_312_2SS</t>
  </si>
  <si>
    <t>IH3x_12_09_112_1SS</t>
  </si>
  <si>
    <t>IH3x_12_09_112_2SS</t>
  </si>
  <si>
    <t>IH3x_12_09_212_1SS</t>
  </si>
  <si>
    <t>IH3x_12_09_212_2SS</t>
  </si>
  <si>
    <t>IH3x_12_09_312_1SS</t>
  </si>
  <si>
    <t>IH3x_12_09_312_2SS</t>
  </si>
  <si>
    <t>IH3x_12_11_112_1SS</t>
  </si>
  <si>
    <t>IH3x_12_11_112_2SS</t>
  </si>
  <si>
    <t>IH3x_12_11_212_1SS</t>
  </si>
  <si>
    <t>IH3x_12_11_212_2SS</t>
  </si>
  <si>
    <t>IH3x_12_11_312_1SS</t>
  </si>
  <si>
    <t>IH3x_12_11_312_2SS</t>
  </si>
  <si>
    <t>IH3x_13_02_112_1SS</t>
  </si>
  <si>
    <t>IH3x_13_02_112_2SS</t>
  </si>
  <si>
    <t>IH3x_13_02_212_1SS</t>
  </si>
  <si>
    <t>IH3x_13_02_212_2SS</t>
  </si>
  <si>
    <t>IH3x_13_02_312_1SS</t>
  </si>
  <si>
    <t>IH3x_13_02_312_2SS</t>
  </si>
  <si>
    <t>IH3x_13_03_112_1SS</t>
  </si>
  <si>
    <t>IH3x_13_03_112_2SS</t>
  </si>
  <si>
    <t>IH3x_13_03_212_1SS</t>
  </si>
  <si>
    <t>IH3x_13_03_212_2SS</t>
  </si>
  <si>
    <t>IH3x_13_03_312_1SS</t>
  </si>
  <si>
    <t>IH3x_13_03_312_2SS</t>
  </si>
  <si>
    <t>IH3x_13_04_112_1SS</t>
  </si>
  <si>
    <t>IH3x_13_04_112_2SS</t>
  </si>
  <si>
    <t>IH3x_13_04_212_1SS</t>
  </si>
  <si>
    <t>IH3x_13_04_212_2SS</t>
  </si>
  <si>
    <t>IH3x_13_04_312_1SS</t>
  </si>
  <si>
    <t>IH3x_13_04_312_2SS</t>
  </si>
  <si>
    <t>IH3x_13_05_112_1SS</t>
  </si>
  <si>
    <t>IH3x_13_05_112_2SS</t>
  </si>
  <si>
    <t>IH3x_13_05_212_1SS</t>
  </si>
  <si>
    <t>IH3x_13_05_212_2SS</t>
  </si>
  <si>
    <t>IH3x_13_05_312_1SS</t>
  </si>
  <si>
    <t>IH3x_13_05_312_2SS</t>
  </si>
  <si>
    <t>IH3x_13_07_112_1SS</t>
  </si>
  <si>
    <t>IH3x_13_07_112_2SS</t>
  </si>
  <si>
    <t>IH3x_13_07_212_1SS</t>
  </si>
  <si>
    <t>IH3x_13_07_212_2SS</t>
  </si>
  <si>
    <t>IH3x_13_07_312_1SS</t>
  </si>
  <si>
    <t>IH3x_13_07_312_2SS</t>
  </si>
  <si>
    <t>IH3x_13_09_112_1SS</t>
  </si>
  <si>
    <t>IH3x_13_09_112_2SS</t>
  </si>
  <si>
    <t>IH3x_13_09_212_1SS</t>
  </si>
  <si>
    <t>IH3x_13_09_212_2SS</t>
  </si>
  <si>
    <t>IH3x_13_09_312_1SS</t>
  </si>
  <si>
    <t>IH3x_13_09_312_2SS</t>
  </si>
  <si>
    <t>IH3x_13_11_112_1SS</t>
  </si>
  <si>
    <t>IH3x_13_11_112_2SS</t>
  </si>
  <si>
    <t>IH3x_13_11_212_1SS</t>
  </si>
  <si>
    <t>IH3x_13_11_212_2SS</t>
  </si>
  <si>
    <t>IH3x_13_11_312_1SS</t>
  </si>
  <si>
    <t>IH3x_13_11_312_2SS</t>
  </si>
  <si>
    <t>IH3x_15_02_112_1SS</t>
  </si>
  <si>
    <t>IH3x_15_02_112_2SS</t>
  </si>
  <si>
    <t>IH3x_15_02_212_1SS</t>
  </si>
  <si>
    <t>IH3x_15_02_212_2SS</t>
  </si>
  <si>
    <t>IH3x_15_02_312_1SS</t>
  </si>
  <si>
    <t>IH3x_15_02_312_2SS</t>
  </si>
  <si>
    <t>IH3x_15_03_112_1SS</t>
  </si>
  <si>
    <t>IH3x_15_03_112_2SS</t>
  </si>
  <si>
    <t>IH3x_15_03_212_1SS</t>
  </si>
  <si>
    <t>IH3x_15_03_212_2SS</t>
  </si>
  <si>
    <t>IH3x_15_03_312_1SS</t>
  </si>
  <si>
    <t>IH3x_15_03_312_2SS</t>
  </si>
  <si>
    <t>IH3x_15_04_112_1SS</t>
  </si>
  <si>
    <t>IH3x_15_04_112_2SS</t>
  </si>
  <si>
    <t>IH3x_15_04_212_1SS</t>
  </si>
  <si>
    <t>IH3x_15_04_212_2SS</t>
  </si>
  <si>
    <t>IH3x_15_04_312_1SS</t>
  </si>
  <si>
    <t>IH3x_15_04_312_2SS</t>
  </si>
  <si>
    <t>IH3x_15_05_112_1SS</t>
  </si>
  <si>
    <t>IH3x_15_05_112_2SS</t>
  </si>
  <si>
    <t>IH3x_15_05_212_1SS</t>
  </si>
  <si>
    <t>IH3x_15_05_212_2SS</t>
  </si>
  <si>
    <t>IH3x_15_05_312_1SS</t>
  </si>
  <si>
    <t>IH3x_15_05_312_2SS</t>
  </si>
  <si>
    <t>IH3x_15_07_112_1SS</t>
  </si>
  <si>
    <t>IH3x_15_07_112_2SS</t>
  </si>
  <si>
    <t>IH3x_15_07_212_1SS</t>
  </si>
  <si>
    <t>IH3x_15_07_212_2SS</t>
  </si>
  <si>
    <t>IH3x_15_07_312_1SS</t>
  </si>
  <si>
    <t>IH3x_15_07_312_2SS</t>
  </si>
  <si>
    <t>IH3x_15_09_112_1SS</t>
  </si>
  <si>
    <t>IH3x_15_09_112_2SS</t>
  </si>
  <si>
    <t>IH3x_15_09_212_1SS</t>
  </si>
  <si>
    <t>IH3x_15_09_212_2SS</t>
  </si>
  <si>
    <t>IH3x_15_09_312_1SS</t>
  </si>
  <si>
    <t>IH3x_15_09_312_2SS</t>
  </si>
  <si>
    <t>IH3x_15_11_112_1SS</t>
  </si>
  <si>
    <t>IH3x_15_11_112_2SS</t>
  </si>
  <si>
    <t>IH3x_15_11_212_1SS</t>
  </si>
  <si>
    <t>IH3x_15_11_212_2SS</t>
  </si>
  <si>
    <t>IH3x_15_11_312_1SS</t>
  </si>
  <si>
    <t>IH3x_15_11_312_2SS</t>
  </si>
  <si>
    <t>IH3x_16_02_112_1SS</t>
  </si>
  <si>
    <t>IH3x_16_02_112_2SS</t>
  </si>
  <si>
    <t>IH3x_16_02_212_1SS</t>
  </si>
  <si>
    <t>IH3x_16_02_212_2SS</t>
  </si>
  <si>
    <t>IH3x_16_02_312_1SS</t>
  </si>
  <si>
    <t>IH3x_16_02_312_2SS</t>
  </si>
  <si>
    <t>IH3x_16_03_112_1SS</t>
  </si>
  <si>
    <t>IH3x_16_03_112_2SS</t>
  </si>
  <si>
    <t>IH3x_16_03_212_1SS</t>
  </si>
  <si>
    <t>IH3x_16_03_212_2SS</t>
  </si>
  <si>
    <t>IH3x_16_03_312_1SS</t>
  </si>
  <si>
    <t>IH3x_16_03_312_2SS</t>
  </si>
  <si>
    <t>IH3x_16_04_112_1SS</t>
  </si>
  <si>
    <t>IH3x_16_04_112_2SS</t>
  </si>
  <si>
    <t>IH3x_16_04_212_1SS</t>
  </si>
  <si>
    <t>IH3x_16_04_212_2SS</t>
  </si>
  <si>
    <t>IH3x_16_04_312_1SS</t>
  </si>
  <si>
    <t>IH3x_16_04_312_2SS</t>
  </si>
  <si>
    <t>IH3x_16_05_112_1SS</t>
  </si>
  <si>
    <t>IH3x_16_05_112_2SS</t>
  </si>
  <si>
    <t>IH3x_16_05_212_1SS</t>
  </si>
  <si>
    <t>IH3x_16_05_212_2SS</t>
  </si>
  <si>
    <t>IH3x_16_05_312_1SS</t>
  </si>
  <si>
    <t>IH3x_16_05_312_2SS</t>
  </si>
  <si>
    <t>IH3x_16_07_112_1SS</t>
  </si>
  <si>
    <t>IH3x_16_07_112_2SS</t>
  </si>
  <si>
    <t>IH3x_16_07_212_1SS</t>
  </si>
  <si>
    <t>IH3x_16_07_212_2SS</t>
  </si>
  <si>
    <t>IH3x_16_07_312_1SS</t>
  </si>
  <si>
    <t>IH3x_16_07_312_2SS</t>
  </si>
  <si>
    <t>IH3x_16_09_112_1SS</t>
  </si>
  <si>
    <t>IH3x_16_09_112_2SS</t>
  </si>
  <si>
    <t>IH3x_16_09_212_1SS</t>
  </si>
  <si>
    <t>IH3x_16_09_212_2SS</t>
  </si>
  <si>
    <t>IH3x_16_09_312_1SS</t>
  </si>
  <si>
    <t>IH3x_16_09_312_2SS</t>
  </si>
  <si>
    <t>IH3x_16_11_112_1SS</t>
  </si>
  <si>
    <t>IH3x_16_11_112_2SS</t>
  </si>
  <si>
    <t>IH3x_16_11_212_1SS</t>
  </si>
  <si>
    <t>IH3x_16_11_212_2SS</t>
  </si>
  <si>
    <t>IH3x_16_11_312_1SS</t>
  </si>
  <si>
    <t>IH3x_16_11_312_2SS</t>
  </si>
  <si>
    <t>IH4x_11_02_112_1SS</t>
  </si>
  <si>
    <t>IH4x_11_02_112_2SS</t>
  </si>
  <si>
    <t>IH4x_11_02_212_1SS</t>
  </si>
  <si>
    <t>IH4x_11_02_212_2SS</t>
  </si>
  <si>
    <t>IH4x_11_02_312_1SS</t>
  </si>
  <si>
    <t>IH4x_11_02_312_2SS</t>
  </si>
  <si>
    <t>IH4x_11_03_112_1SS</t>
  </si>
  <si>
    <t>IH4x_11_03_112_2SS</t>
  </si>
  <si>
    <t>IH4x_11_03_212_1SS</t>
  </si>
  <si>
    <t>IH4x_11_03_212_2SS</t>
  </si>
  <si>
    <t>IH4x_11_03_312_1SS</t>
  </si>
  <si>
    <t>IH4x_11_03_312_2SS</t>
  </si>
  <si>
    <t>IH4x_11_04_112_1SS</t>
  </si>
  <si>
    <t>IH4x_11_04_112_2SS</t>
  </si>
  <si>
    <t>IH4x_11_04_212_1SS</t>
  </si>
  <si>
    <t>IH4x_11_04_212_2SS</t>
  </si>
  <si>
    <t>IH4x_11_04_312_1SS</t>
  </si>
  <si>
    <t>IH4x_11_04_312_2SS</t>
  </si>
  <si>
    <t>IH4x_11_05_112_1SS</t>
  </si>
  <si>
    <t>IH4x_11_05_112_2SS</t>
  </si>
  <si>
    <t>IH4x_11_05_212_1SS</t>
  </si>
  <si>
    <t>IH4x_11_05_212_2SS</t>
  </si>
  <si>
    <t>IH4x_11_05_312_1SS</t>
  </si>
  <si>
    <t>IH4x_11_05_312_2SS</t>
  </si>
  <si>
    <t>IH4x_11_07_112_1SS</t>
  </si>
  <si>
    <t>IH4x_11_07_112_2SS</t>
  </si>
  <si>
    <t>IH4x_11_07_212_1SS</t>
  </si>
  <si>
    <t>IH4x_11_07_212_2SS</t>
  </si>
  <si>
    <t>IH4x_11_07_312_1SS</t>
  </si>
  <si>
    <t>IH4x_11_07_312_2SS</t>
  </si>
  <si>
    <t>IH4x_11_09_112_1SS</t>
  </si>
  <si>
    <t>IH4x_11_09_112_2SS</t>
  </si>
  <si>
    <t>IH4x_11_09_212_1SS</t>
  </si>
  <si>
    <t>IH4x_11_09_212_2SS</t>
  </si>
  <si>
    <t>IH4x_11_09_312_1SS</t>
  </si>
  <si>
    <t>IH4x_11_09_312_2SS</t>
  </si>
  <si>
    <t>IH4x_11_11_112_1SS</t>
  </si>
  <si>
    <t>IH4x_11_11_112_2SS</t>
  </si>
  <si>
    <t>IH4x_11_11_212_1SS</t>
  </si>
  <si>
    <t>IH4x_11_11_212_2SS</t>
  </si>
  <si>
    <t>IH4x_11_11_312_1SS</t>
  </si>
  <si>
    <t>IH4x_11_11_312_2SS</t>
  </si>
  <si>
    <t>IH4x_12_02_112_1SS</t>
  </si>
  <si>
    <t>IH4x_12_02_112_2SS</t>
  </si>
  <si>
    <t>IH4x_12_02_212_1SS</t>
  </si>
  <si>
    <t>IH4x_12_02_212_2SS</t>
  </si>
  <si>
    <t>IH4x_12_02_312_1SS</t>
  </si>
  <si>
    <t>IH4x_12_02_312_2SS</t>
  </si>
  <si>
    <t>IH4x_12_03_112_1SS</t>
  </si>
  <si>
    <t>IH4x_12_03_112_2SS</t>
  </si>
  <si>
    <t>IH4x_12_03_212_1SS</t>
  </si>
  <si>
    <t>IH4x_12_03_212_2SS</t>
  </si>
  <si>
    <t>IH4x_12_03_312_1SS</t>
  </si>
  <si>
    <t>IH4x_12_03_312_2SS</t>
  </si>
  <si>
    <t>IH4x_12_04_112_1SS</t>
  </si>
  <si>
    <t>IH4x_12_04_112_2SS</t>
  </si>
  <si>
    <t>IH4x_12_04_212_1SS</t>
  </si>
  <si>
    <t>IH4x_12_04_212_2SS</t>
  </si>
  <si>
    <t>IH4x_12_04_312_1SS</t>
  </si>
  <si>
    <t>IH4x_12_04_312_2SS</t>
  </si>
  <si>
    <t>IH4x_12_05_112_1SS</t>
  </si>
  <si>
    <t>IH4x_12_05_112_2SS</t>
  </si>
  <si>
    <t>IH4x_12_05_212_1SS</t>
  </si>
  <si>
    <t>IH4x_12_05_212_2SS</t>
  </si>
  <si>
    <t>IH4x_12_05_312_1SS</t>
  </si>
  <si>
    <t>IH4x_12_05_312_2SS</t>
  </si>
  <si>
    <t>IH4x_12_07_112_1SS</t>
  </si>
  <si>
    <t>IH4x_12_07_112_2SS</t>
  </si>
  <si>
    <t>IH4x_12_07_212_1SS</t>
  </si>
  <si>
    <t>IH4x_12_07_212_2SS</t>
  </si>
  <si>
    <t>IH4x_12_07_312_1SS</t>
  </si>
  <si>
    <t>IH4x_12_07_312_2SS</t>
  </si>
  <si>
    <t>IH4x_12_09_112_1SS</t>
  </si>
  <si>
    <t>IH4x_12_09_112_2SS</t>
  </si>
  <si>
    <t>IH4x_12_09_212_1SS</t>
  </si>
  <si>
    <t>IH4x_12_09_212_2SS</t>
  </si>
  <si>
    <t>IH4x_12_09_312_1SS</t>
  </si>
  <si>
    <t>IH4x_12_09_312_2SS</t>
  </si>
  <si>
    <t>IH4x_12_11_112_1SS</t>
  </si>
  <si>
    <t>IH4x_12_11_112_2SS</t>
  </si>
  <si>
    <t>IH4x_12_11_212_1SS</t>
  </si>
  <si>
    <t>IH4x_12_11_212_2SS</t>
  </si>
  <si>
    <t>IH4x_12_11_312_1SS</t>
  </si>
  <si>
    <t>IH4x_12_11_312_2SS</t>
  </si>
  <si>
    <t>IH4x_13_02_112_1SS</t>
  </si>
  <si>
    <t>IH4x_13_02_112_2SS</t>
  </si>
  <si>
    <t>IH4x_13_02_212_1SS</t>
  </si>
  <si>
    <t>IH4x_13_02_212_2SS</t>
  </si>
  <si>
    <t>IH4x_13_02_312_1SS</t>
  </si>
  <si>
    <t>IH4x_13_02_312_2SS</t>
  </si>
  <si>
    <t>IH4x_13_03_112_1SS</t>
  </si>
  <si>
    <t>IH4x_13_03_112_2SS</t>
  </si>
  <si>
    <t>IH4x_13_03_212_1SS</t>
  </si>
  <si>
    <t>IH4x_13_03_212_2SS</t>
  </si>
  <si>
    <t>IH4x_13_03_312_1SS</t>
  </si>
  <si>
    <t>IH4x_13_03_312_2SS</t>
  </si>
  <si>
    <t>IH4x_13_04_112_1SS</t>
  </si>
  <si>
    <t>IH4x_13_04_112_2SS</t>
  </si>
  <si>
    <t>IH4x_13_04_212_1SS</t>
  </si>
  <si>
    <t>IH4x_13_04_212_2SS</t>
  </si>
  <si>
    <t>IH4x_13_04_312_1SS</t>
  </si>
  <si>
    <t>IH4x_13_04_312_2SS</t>
  </si>
  <si>
    <t>IH4x_13_05_112_1SS</t>
  </si>
  <si>
    <t>IH4x_13_05_112_2SS</t>
  </si>
  <si>
    <t>IH4x_13_05_212_1SS</t>
  </si>
  <si>
    <t>IH4x_13_05_212_2SS</t>
  </si>
  <si>
    <t>IH4x_13_05_312_1SS</t>
  </si>
  <si>
    <t>IH4x_13_05_312_2SS</t>
  </si>
  <si>
    <t>IH4x_13_07_112_1SS</t>
  </si>
  <si>
    <t>IH4x_13_07_112_2SS</t>
  </si>
  <si>
    <t>IH4x_13_07_212_1SS</t>
  </si>
  <si>
    <t>IH4x_13_07_212_2SS</t>
  </si>
  <si>
    <t>IH4x_13_07_312_1SS</t>
  </si>
  <si>
    <t>IH4x_13_07_312_2SS</t>
  </si>
  <si>
    <t>IH4x_13_09_112_1SS</t>
  </si>
  <si>
    <t>IH4x_13_09_112_2SS</t>
  </si>
  <si>
    <t>IH4x_13_09_212_1SS</t>
  </si>
  <si>
    <t>IH4x_13_09_212_2SS</t>
  </si>
  <si>
    <t>IH4x_13_09_312_1SS</t>
  </si>
  <si>
    <t>IH4x_13_09_312_2SS</t>
  </si>
  <si>
    <t>IH4x_13_11_112_1SS</t>
  </si>
  <si>
    <t>IH4x_13_11_112_2SS</t>
  </si>
  <si>
    <t>IH4x_13_11_212_1SS</t>
  </si>
  <si>
    <t>IH4x_13_11_212_2SS</t>
  </si>
  <si>
    <t>IH4x_13_11_312_1SS</t>
  </si>
  <si>
    <t>IH4x_13_11_312_2SS</t>
  </si>
  <si>
    <t>IH4x_15_02_112_1SS</t>
  </si>
  <si>
    <t>IH4x_15_02_112_2SS</t>
  </si>
  <si>
    <t>IH4x_15_02_212_1SS</t>
  </si>
  <si>
    <t>IH4x_15_02_212_2SS</t>
  </si>
  <si>
    <t>IH4x_15_02_312_1SS</t>
  </si>
  <si>
    <t>IH4x_15_02_312_2SS</t>
  </si>
  <si>
    <t>IH4x_15_03_112_1SS</t>
  </si>
  <si>
    <t>IH4x_15_03_112_2SS</t>
  </si>
  <si>
    <t>IH4x_15_03_212_1SS</t>
  </si>
  <si>
    <t>IH4x_15_03_212_2SS</t>
  </si>
  <si>
    <t>IH4x_15_03_312_1SS</t>
  </si>
  <si>
    <t>IH4x_15_03_312_2SS</t>
  </si>
  <si>
    <t>IH4x_15_04_112_1SS</t>
  </si>
  <si>
    <t>IH4x_15_04_112_2SS</t>
  </si>
  <si>
    <t>IH4x_15_04_212_1SS</t>
  </si>
  <si>
    <t>IH4x_15_04_212_2SS</t>
  </si>
  <si>
    <t>IH4x_15_04_312_1SS</t>
  </si>
  <si>
    <t>IH4x_15_04_312_2SS</t>
  </si>
  <si>
    <t>IH4x_15_05_112_1SS</t>
  </si>
  <si>
    <t>IH4x_15_05_112_2SS</t>
  </si>
  <si>
    <t>IH4x_15_05_212_1SS</t>
  </si>
  <si>
    <t>IH4x_15_05_212_2SS</t>
  </si>
  <si>
    <t>IH4x_15_05_312_1SS</t>
  </si>
  <si>
    <t>IH4x_15_05_312_2SS</t>
  </si>
  <si>
    <t>IH4x_15_07_112_1SS</t>
  </si>
  <si>
    <t>IH4x_15_07_112_2SS</t>
  </si>
  <si>
    <t>IH4x_15_07_212_1SS</t>
  </si>
  <si>
    <t>IH4x_15_07_212_2SS</t>
  </si>
  <si>
    <t>IH4x_15_07_312_1SS</t>
  </si>
  <si>
    <t>IH4x_15_07_312_2SS</t>
  </si>
  <si>
    <t>IH4x_15_09_112_1SS</t>
  </si>
  <si>
    <t>IH4x_15_09_112_2SS</t>
  </si>
  <si>
    <t>IH4x_15_09_212_1SS</t>
  </si>
  <si>
    <t>IH4x_15_09_212_2SS</t>
  </si>
  <si>
    <t>IH4x_15_09_312_1SS</t>
  </si>
  <si>
    <t>IH4x_15_09_312_2SS</t>
  </si>
  <si>
    <t>IH4x_15_11_112_1SS</t>
  </si>
  <si>
    <t>IH4x_15_11_112_2SS</t>
  </si>
  <si>
    <t>IH4x_15_11_212_1SS</t>
  </si>
  <si>
    <t>IH4x_15_11_212_2SS</t>
  </si>
  <si>
    <t>IH4x_15_11_312_1SS</t>
  </si>
  <si>
    <t>IH4x_15_11_312_2SS</t>
  </si>
  <si>
    <t>IH4x_16_02_112_1SS</t>
  </si>
  <si>
    <t>IH4x_16_02_112_2SS</t>
  </si>
  <si>
    <t>IH4x_16_02_212_1SS</t>
  </si>
  <si>
    <t>IH4x_16_02_212_2SS</t>
  </si>
  <si>
    <t>IH4x_16_02_312_1SS</t>
  </si>
  <si>
    <t>IH4x_16_02_312_2SS</t>
  </si>
  <si>
    <t>IH4x_16_03_112_1SS</t>
  </si>
  <si>
    <t>IH4x_16_03_112_2SS</t>
  </si>
  <si>
    <t>IH4x_16_03_212_1SS</t>
  </si>
  <si>
    <t>IH4x_16_03_212_2SS</t>
  </si>
  <si>
    <t>IH4x_16_03_312_1SS</t>
  </si>
  <si>
    <t>IH4x_16_03_312_2SS</t>
  </si>
  <si>
    <t>IH4x_16_04_112_1SS</t>
  </si>
  <si>
    <t>IH4x_16_04_112_2SS</t>
  </si>
  <si>
    <t>IH4x_16_04_212_1SS</t>
  </si>
  <si>
    <t>IH4x_16_04_212_2SS</t>
  </si>
  <si>
    <t>IH4x_16_04_312_1SS</t>
  </si>
  <si>
    <t>IH4x_16_04_312_2SS</t>
  </si>
  <si>
    <t>IH4x_16_05_112_1SS</t>
  </si>
  <si>
    <t>IH4x_16_05_112_2SS</t>
  </si>
  <si>
    <t>IH4x_16_05_212_1SS</t>
  </si>
  <si>
    <t>IH4x_16_05_212_2SS</t>
  </si>
  <si>
    <t>IH4x_16_05_312_1SS</t>
  </si>
  <si>
    <t>IH4x_16_05_312_2SS</t>
  </si>
  <si>
    <t>IH4x_16_07_112_1SS</t>
  </si>
  <si>
    <t>IH4x_16_07_112_2SS</t>
  </si>
  <si>
    <t>IH4x_16_07_212_1SS</t>
  </si>
  <si>
    <t>IH4x_16_07_212_2SS</t>
  </si>
  <si>
    <t>IH4x_16_07_312_1SS</t>
  </si>
  <si>
    <t>IH4x_16_07_312_2SS</t>
  </si>
  <si>
    <t>IH4x_16_09_112_1SS</t>
  </si>
  <si>
    <t>IH4x_16_09_112_2SS</t>
  </si>
  <si>
    <t>IH4x_16_09_212_1SS</t>
  </si>
  <si>
    <t>IH4x_16_09_212_2SS</t>
  </si>
  <si>
    <t>IH4x_16_09_312_1SS</t>
  </si>
  <si>
    <t>IH4x_16_09_312_2SS</t>
  </si>
  <si>
    <t>IH4x_16_11_112_1SS</t>
  </si>
  <si>
    <t>IH4x_16_11_112_2SS</t>
  </si>
  <si>
    <t>IH4x_16_11_212_1SS</t>
  </si>
  <si>
    <t>IH4x_16_11_212_2SS</t>
  </si>
  <si>
    <t>IH4x_16_11_312_1SS</t>
  </si>
  <si>
    <t>IH4x_16_11_312_2SS</t>
  </si>
  <si>
    <t>IH5x_11_02_112_1SS</t>
  </si>
  <si>
    <t>IH5x_11_02_112_2SS</t>
  </si>
  <si>
    <t>IH5x_11_02_212_1SS</t>
  </si>
  <si>
    <t>IH5x_11_02_212_2SS</t>
  </si>
  <si>
    <t>IH5x_11_02_312_1SS</t>
  </si>
  <si>
    <t>IH5x_11_02_312_2SS</t>
  </si>
  <si>
    <t>IH5x_11_03_112_1SS</t>
  </si>
  <si>
    <t>IH5x_11_03_112_2SS</t>
  </si>
  <si>
    <t>IH5x_11_03_212_1SS</t>
  </si>
  <si>
    <t>IH5x_11_03_212_2SS</t>
  </si>
  <si>
    <t>IH5x_11_03_312_1SS</t>
  </si>
  <si>
    <t>IH5x_11_03_312_2SS</t>
  </si>
  <si>
    <t>IH5x_11_04_112_1SS</t>
  </si>
  <si>
    <t>IH5x_11_04_112_2SS</t>
  </si>
  <si>
    <t>IH5x_11_04_212_1SS</t>
  </si>
  <si>
    <t>IH5x_11_04_212_2SS</t>
  </si>
  <si>
    <t>IH5x_11_04_312_1SS</t>
  </si>
  <si>
    <t>IH5x_11_04_312_2SS</t>
  </si>
  <si>
    <t>IH5x_11_05_112_1SS</t>
  </si>
  <si>
    <t>IH5x_11_05_112_2SS</t>
  </si>
  <si>
    <t>IH5x_11_05_212_1SS</t>
  </si>
  <si>
    <t>IH5x_11_05_212_2SS</t>
  </si>
  <si>
    <t>IH5x_11_05_312_1SS</t>
  </si>
  <si>
    <t>IH5x_11_05_312_2SS</t>
  </si>
  <si>
    <t>IH5x_11_07_112_1SS</t>
  </si>
  <si>
    <t>IH5x_11_07_112_2SS</t>
  </si>
  <si>
    <t>IH5x_11_07_212_1SS</t>
  </si>
  <si>
    <t>IH5x_11_07_212_2SS</t>
  </si>
  <si>
    <t>IH5x_11_07_312_1SS</t>
  </si>
  <si>
    <t>IH5x_11_07_312_2SS</t>
  </si>
  <si>
    <t>IH5x_11_09_112_1SS</t>
  </si>
  <si>
    <t>IH5x_11_09_112_2SS</t>
  </si>
  <si>
    <t>IH5x_11_09_212_1SS</t>
  </si>
  <si>
    <t>IH5x_11_09_212_2SS</t>
  </si>
  <si>
    <t>IH5x_11_09_312_1SS</t>
  </si>
  <si>
    <t>IH5x_11_09_312_2SS</t>
  </si>
  <si>
    <t>IH5x_11_11_112_1SS</t>
  </si>
  <si>
    <t>IH5x_11_11_112_2SS</t>
  </si>
  <si>
    <t>IH5x_11_11_212_1SS</t>
  </si>
  <si>
    <t>IH5x_11_11_212_2SS</t>
  </si>
  <si>
    <t>IH5x_11_11_312_1SS</t>
  </si>
  <si>
    <t>IH5x_11_11_312_2SS</t>
  </si>
  <si>
    <t>IH5x_12_02_112_1SS</t>
  </si>
  <si>
    <t>IH5x_12_02_112_2SS</t>
  </si>
  <si>
    <t>IH5x_12_02_212_1SS</t>
  </si>
  <si>
    <t>IH5x_12_02_212_2SS</t>
  </si>
  <si>
    <t>IH5x_12_02_312_1SS</t>
  </si>
  <si>
    <t>IH5x_12_02_312_2SS</t>
  </si>
  <si>
    <t>IH5x_12_03_112_1SS</t>
  </si>
  <si>
    <t>IH5x_12_03_112_2SS</t>
  </si>
  <si>
    <t>IH5x_12_03_212_1SS</t>
  </si>
  <si>
    <t>IH5x_12_03_212_2SS</t>
  </si>
  <si>
    <t>IH5x_12_03_312_1SS</t>
  </si>
  <si>
    <t>IH5x_12_03_312_2SS</t>
  </si>
  <si>
    <t>IH5x_12_04_112_1SS</t>
  </si>
  <si>
    <t>IH5x_12_04_112_2SS</t>
  </si>
  <si>
    <t>IH5x_12_04_212_1SS</t>
  </si>
  <si>
    <t>IH5x_12_04_212_2SS</t>
  </si>
  <si>
    <t>IH5x_12_04_312_1SS</t>
  </si>
  <si>
    <t>IH5x_12_04_312_2SS</t>
  </si>
  <si>
    <t>IH5x_12_05_112_1SS</t>
  </si>
  <si>
    <t>IH5x_12_05_112_2SS</t>
  </si>
  <si>
    <t>IH5x_12_05_212_1SS</t>
  </si>
  <si>
    <t>IH5x_12_05_212_2SS</t>
  </si>
  <si>
    <t>IH5x_12_05_312_1SS</t>
  </si>
  <si>
    <t>IH5x_12_05_312_2SS</t>
  </si>
  <si>
    <t>IH5x_12_07_112_1SS</t>
  </si>
  <si>
    <t>IH5x_12_07_112_2SS</t>
  </si>
  <si>
    <t>IH5x_12_07_212_1SS</t>
  </si>
  <si>
    <t>IH5x_12_07_212_2SS</t>
  </si>
  <si>
    <t>IH5x_12_07_312_1SS</t>
  </si>
  <si>
    <t>IH5x_12_07_312_2SS</t>
  </si>
  <si>
    <t>IH5x_12_09_112_1SS</t>
  </si>
  <si>
    <t>IH5x_12_09_112_2SS</t>
  </si>
  <si>
    <t>IH5x_12_09_212_1SS</t>
  </si>
  <si>
    <t>IH5x_12_09_212_2SS</t>
  </si>
  <si>
    <t>IH5x_12_09_312_1SS</t>
  </si>
  <si>
    <t>IH5x_12_09_312_2SS</t>
  </si>
  <si>
    <t>IH5x_12_11_112_1SS</t>
  </si>
  <si>
    <t>IH5x_12_11_112_2SS</t>
  </si>
  <si>
    <t>IH5x_12_11_212_1SS</t>
  </si>
  <si>
    <t>IH5x_12_11_212_2SS</t>
  </si>
  <si>
    <t>IH5x_12_11_312_1SS</t>
  </si>
  <si>
    <t>IH5x_12_11_312_2SS</t>
  </si>
  <si>
    <t>IH5x_13_02_112_1SS</t>
  </si>
  <si>
    <t>IH5x_13_02_112_2SS</t>
  </si>
  <si>
    <t>IH5x_13_02_212_1SS</t>
  </si>
  <si>
    <t>IH5x_13_02_212_2SS</t>
  </si>
  <si>
    <t>IH5x_13_02_312_1SS</t>
  </si>
  <si>
    <t>IH5x_13_02_312_2SS</t>
  </si>
  <si>
    <t>IH5x_13_03_112_1SS</t>
  </si>
  <si>
    <t>IH5x_13_03_112_2SS</t>
  </si>
  <si>
    <t>IH5x_13_03_212_1SS</t>
  </si>
  <si>
    <t>IH5x_13_03_212_2SS</t>
  </si>
  <si>
    <t>IH5x_13_03_312_1SS</t>
  </si>
  <si>
    <t>IH5x_13_03_312_2SS</t>
  </si>
  <si>
    <t>IH5x_13_04_112_1SS</t>
  </si>
  <si>
    <t>IH5x_13_04_112_2SS</t>
  </si>
  <si>
    <t>IH5x_13_04_212_1SS</t>
  </si>
  <si>
    <t>IH5x_13_04_212_2SS</t>
  </si>
  <si>
    <t>IH5x_13_04_312_1SS</t>
  </si>
  <si>
    <t>IH5x_13_04_312_2SS</t>
  </si>
  <si>
    <t>IH5x_13_05_112_1SS</t>
  </si>
  <si>
    <t>IH5x_13_05_112_2SS</t>
  </si>
  <si>
    <t>IH5x_13_05_212_1SS</t>
  </si>
  <si>
    <t>IH5x_13_05_212_2SS</t>
  </si>
  <si>
    <t>IH5x_13_05_312_1SS</t>
  </si>
  <si>
    <t>IH5x_13_05_312_2SS</t>
  </si>
  <si>
    <t>IH5x_13_07_112_1SS</t>
  </si>
  <si>
    <t>IH5x_13_07_112_2SS</t>
  </si>
  <si>
    <t>IH5x_13_07_212_1SS</t>
  </si>
  <si>
    <t>IH5x_13_07_212_2SS</t>
  </si>
  <si>
    <t>IH5x_13_07_312_1SS</t>
  </si>
  <si>
    <t>IH5x_13_07_312_2SS</t>
  </si>
  <si>
    <t>IH5x_13_09_112_1SS</t>
  </si>
  <si>
    <t>IH5x_13_09_112_2SS</t>
  </si>
  <si>
    <t>IH5x_13_09_212_1SS</t>
  </si>
  <si>
    <t>IH5x_13_09_212_2SS</t>
  </si>
  <si>
    <t>IH5x_13_09_312_1SS</t>
  </si>
  <si>
    <t>IH5x_13_09_312_2SS</t>
  </si>
  <si>
    <t>IH5x_13_11_112_1SS</t>
  </si>
  <si>
    <t>IH5x_13_11_112_2SS</t>
  </si>
  <si>
    <t>IH5x_13_11_212_1SS</t>
  </si>
  <si>
    <t>IH5x_13_11_212_2SS</t>
  </si>
  <si>
    <t>IH5x_13_11_312_1SS</t>
  </si>
  <si>
    <t>IH5x_13_11_312_2SS</t>
  </si>
  <si>
    <t>IH5x_15_02_112_1SS</t>
  </si>
  <si>
    <t>IH5x_15_02_112_2SS</t>
  </si>
  <si>
    <t>IH5x_15_02_212_1SS</t>
  </si>
  <si>
    <t>IH5x_15_02_212_2SS</t>
  </si>
  <si>
    <t>IH5x_15_02_312_1SS</t>
  </si>
  <si>
    <t>IH5x_15_02_312_2SS</t>
  </si>
  <si>
    <t>IH5x_15_03_112_1SS</t>
  </si>
  <si>
    <t>IH5x_15_03_112_2SS</t>
  </si>
  <si>
    <t>IH5x_15_03_212_1SS</t>
  </si>
  <si>
    <t>IH5x_15_03_212_2SS</t>
  </si>
  <si>
    <t>IH5x_15_03_312_1SS</t>
  </si>
  <si>
    <t>IH5x_15_03_312_2SS</t>
  </si>
  <si>
    <t>IH5x_15_04_112_1SS</t>
  </si>
  <si>
    <t>IH5x_15_04_112_2SS</t>
  </si>
  <si>
    <t>IH5x_15_04_212_1SS</t>
  </si>
  <si>
    <t>IH5x_15_04_212_2SS</t>
  </si>
  <si>
    <t>IH5x_15_04_312_1SS</t>
  </si>
  <si>
    <t>IH5x_15_04_312_2SS</t>
  </si>
  <si>
    <t>IH5x_15_05_112_1SS</t>
  </si>
  <si>
    <t>IH5x_15_05_112_2SS</t>
  </si>
  <si>
    <t>IH5x_15_05_212_1SS</t>
  </si>
  <si>
    <t>IH5x_15_05_212_2SS</t>
  </si>
  <si>
    <t>IH5x_15_05_312_1SS</t>
  </si>
  <si>
    <t>IH5x_15_05_312_2SS</t>
  </si>
  <si>
    <t>IH5x_15_07_112_1SS</t>
  </si>
  <si>
    <t>IH5x_15_07_112_2SS</t>
  </si>
  <si>
    <t>IH5x_15_07_212_1SS</t>
  </si>
  <si>
    <t>IH5x_15_07_212_2SS</t>
  </si>
  <si>
    <t>IH5x_15_07_312_1SS</t>
  </si>
  <si>
    <t>IH5x_15_07_312_2SS</t>
  </si>
  <si>
    <t>IH5x_15_09_112_1SS</t>
  </si>
  <si>
    <t>IH5x_15_09_112_2SS</t>
  </si>
  <si>
    <t>IH5x_15_09_212_1SS</t>
  </si>
  <si>
    <t>IH5x_15_09_212_2SS</t>
  </si>
  <si>
    <t>IH5x_15_09_312_1SS</t>
  </si>
  <si>
    <t>IH5x_15_09_312_2SS</t>
  </si>
  <si>
    <t>IH5x_15_11_112_1SS</t>
  </si>
  <si>
    <t>IH5x_15_11_112_2SS</t>
  </si>
  <si>
    <t>IH5x_15_11_212_1SS</t>
  </si>
  <si>
    <t>IH5x_15_11_212_2SS</t>
  </si>
  <si>
    <t>IH5x_15_11_312_1SS</t>
  </si>
  <si>
    <t>IH5x_15_11_312_2SS</t>
  </si>
  <si>
    <t>IH5x_16_02_112_1SS</t>
  </si>
  <si>
    <t>IH5x_16_02_112_2SS</t>
  </si>
  <si>
    <t>IH5x_16_02_212_1SS</t>
  </si>
  <si>
    <t>IH5x_16_02_212_2SS</t>
  </si>
  <si>
    <t>IH5x_16_02_312_1SS</t>
  </si>
  <si>
    <t>IH5x_16_02_312_2SS</t>
  </si>
  <si>
    <t>IH5x_16_03_112_1SS</t>
  </si>
  <si>
    <t>IH5x_16_03_112_2SS</t>
  </si>
  <si>
    <t>IH5x_16_03_212_1SS</t>
  </si>
  <si>
    <t>IH5x_16_03_212_2SS</t>
  </si>
  <si>
    <t>IH5x_16_03_312_1SS</t>
  </si>
  <si>
    <t>IH5x_16_03_312_2SS</t>
  </si>
  <si>
    <t>IH5x_16_04_112_1SS</t>
  </si>
  <si>
    <t>IH5x_16_04_112_2SS</t>
  </si>
  <si>
    <t>IH5x_16_04_212_1SS</t>
  </si>
  <si>
    <t>IH5x_16_04_212_2SS</t>
  </si>
  <si>
    <t>IH5x_16_04_312_1SS</t>
  </si>
  <si>
    <t>IH5x_16_04_312_2SS</t>
  </si>
  <si>
    <t>IH5x_16_05_112_1SS</t>
  </si>
  <si>
    <t>IH5x_16_05_112_2SS</t>
  </si>
  <si>
    <t>IH5x_16_05_212_1SS</t>
  </si>
  <si>
    <t>IH5x_16_05_212_2SS</t>
  </si>
  <si>
    <t>IH5x_16_05_312_1SS</t>
  </si>
  <si>
    <t>IH5x_16_05_312_2SS</t>
  </si>
  <si>
    <t>IH5x_16_07_112_1SS</t>
  </si>
  <si>
    <t>IH5x_16_07_112_2SS</t>
  </si>
  <si>
    <t>IH5x_16_07_212_1SS</t>
  </si>
  <si>
    <t>IH5x_16_07_212_2SS</t>
  </si>
  <si>
    <t>IH5x_16_07_312_1SS</t>
  </si>
  <si>
    <t>IH5x_16_07_312_2SS</t>
  </si>
  <si>
    <t>IH5x_16_09_112_1SS</t>
  </si>
  <si>
    <t>IH5x_16_09_112_2SS</t>
  </si>
  <si>
    <t>IH5x_16_09_212_1SS</t>
  </si>
  <si>
    <t>IH5x_16_09_212_2SS</t>
  </si>
  <si>
    <t>IH5x_16_09_312_1SS</t>
  </si>
  <si>
    <t>IH5x_16_09_312_2SS</t>
  </si>
  <si>
    <t>IH5x_16_11_112_1SS</t>
  </si>
  <si>
    <t>IH5x_16_11_112_2SS</t>
  </si>
  <si>
    <t>IH5x_16_11_212_1SS</t>
  </si>
  <si>
    <t>IH5x_16_11_212_2SS</t>
  </si>
  <si>
    <t>IH5x_16_11_312_1SS</t>
  </si>
  <si>
    <t>IH5x_16_11_312_2SS</t>
  </si>
  <si>
    <t>IH6x_11_02_112_1SS</t>
  </si>
  <si>
    <t>IH6x_11_02_112_2SS</t>
  </si>
  <si>
    <t>IH6x_11_02_212_1SS</t>
  </si>
  <si>
    <t>IH6x_11_02_212_2SS</t>
  </si>
  <si>
    <t>IH6x_11_02_312_1SS</t>
  </si>
  <si>
    <t>IH6x_11_02_312_2SS</t>
  </si>
  <si>
    <t>IH6x_11_03_112_1SS</t>
  </si>
  <si>
    <t>IH6x_11_03_112_2SS</t>
  </si>
  <si>
    <t>IH6x_11_03_212_1SS</t>
  </si>
  <si>
    <t>IH6x_11_03_212_2SS</t>
  </si>
  <si>
    <t>IH6x_11_03_312_1SS</t>
  </si>
  <si>
    <t>IH6x_11_03_312_2SS</t>
  </si>
  <si>
    <t>IH6x_11_04_112_1SS</t>
  </si>
  <si>
    <t>IH6x_11_04_112_2SS</t>
  </si>
  <si>
    <t>IH6x_11_04_212_1SS</t>
  </si>
  <si>
    <t>IH6x_11_04_212_2SS</t>
  </si>
  <si>
    <t>IH6x_11_04_312_1SS</t>
  </si>
  <si>
    <t>IH6x_11_04_312_2SS</t>
  </si>
  <si>
    <t>IH6x_11_05_112_1SS</t>
  </si>
  <si>
    <t>IH6x_11_05_112_2SS</t>
  </si>
  <si>
    <t>IH6x_11_05_212_1SS</t>
  </si>
  <si>
    <t>IH6x_11_05_212_2SS</t>
  </si>
  <si>
    <t>IH6x_11_05_312_1SS</t>
  </si>
  <si>
    <t>IH6x_11_05_312_2SS</t>
  </si>
  <si>
    <t>IH6x_11_07_112_1SS</t>
  </si>
  <si>
    <t>IH6x_11_07_112_2SS</t>
  </si>
  <si>
    <t>IH6x_11_07_212_1SS</t>
  </si>
  <si>
    <t>IH6x_11_07_212_2SS</t>
  </si>
  <si>
    <t>IH6x_11_07_312_1SS</t>
  </si>
  <si>
    <t>IH6x_11_07_312_2SS</t>
  </si>
  <si>
    <t>IH6x_11_09_112_1SS</t>
  </si>
  <si>
    <t>IH6x_11_09_112_2SS</t>
  </si>
  <si>
    <t>IH6x_11_09_212_1SS</t>
  </si>
  <si>
    <t>IH6x_11_09_212_2SS</t>
  </si>
  <si>
    <t>IH6x_11_09_312_1SS</t>
  </si>
  <si>
    <t>IH6x_11_09_312_2SS</t>
  </si>
  <si>
    <t>IH6x_11_11_112_1SS</t>
  </si>
  <si>
    <t>IH6x_11_11_112_2SS</t>
  </si>
  <si>
    <t>IH6x_11_11_212_1SS</t>
  </si>
  <si>
    <t>IH6x_11_11_212_2SS</t>
  </si>
  <si>
    <t>IH6x_11_11_312_1SS</t>
  </si>
  <si>
    <t>IH6x_11_11_312_2SS</t>
  </si>
  <si>
    <t>IH6x_12_02_112_1SS</t>
  </si>
  <si>
    <t>IH6x_12_02_112_2SS</t>
  </si>
  <si>
    <t>IH6x_12_02_212_1SS</t>
  </si>
  <si>
    <t>IH6x_12_02_212_2SS</t>
  </si>
  <si>
    <t>IH6x_12_02_312_1SS</t>
  </si>
  <si>
    <t>IH6x_12_02_312_2SS</t>
  </si>
  <si>
    <t>IH6x_12_03_112_1SS</t>
  </si>
  <si>
    <t>IH6x_12_03_112_2SS</t>
  </si>
  <si>
    <t>IH6x_12_03_212_1SS</t>
  </si>
  <si>
    <t>IH6x_12_03_212_2SS</t>
  </si>
  <si>
    <t>IH6x_12_03_312_1SS</t>
  </si>
  <si>
    <t>IH6x_12_03_312_2SS</t>
  </si>
  <si>
    <t>IH6x_12_04_112_1SS</t>
  </si>
  <si>
    <t>IH6x_12_04_112_2SS</t>
  </si>
  <si>
    <t>IH6x_12_04_212_1SS</t>
  </si>
  <si>
    <t>IH6x_12_04_212_2SS</t>
  </si>
  <si>
    <t>IH6x_12_04_312_1SS</t>
  </si>
  <si>
    <t>IH6x_12_04_312_2SS</t>
  </si>
  <si>
    <t>IH6x_12_05_112_1SS</t>
  </si>
  <si>
    <t>IH6x_12_05_112_2SS</t>
  </si>
  <si>
    <t>IH6x_12_05_212_1SS</t>
  </si>
  <si>
    <t>IH6x_12_05_212_2SS</t>
  </si>
  <si>
    <t>IH6x_12_05_312_1SS</t>
  </si>
  <si>
    <t>IH6x_12_05_312_2SS</t>
  </si>
  <si>
    <t>IH6x_12_07_112_1SS</t>
  </si>
  <si>
    <t>IH6x_12_07_112_2SS</t>
  </si>
  <si>
    <t>IH6x_12_07_212_1SS</t>
  </si>
  <si>
    <t>IH6x_12_07_212_2SS</t>
  </si>
  <si>
    <t>IH6x_12_07_312_1SS</t>
  </si>
  <si>
    <t>IH6x_12_07_312_2SS</t>
  </si>
  <si>
    <t>IH6x_12_09_112_1SS</t>
  </si>
  <si>
    <t>IH6x_12_09_112_2SS</t>
  </si>
  <si>
    <t>IH6x_12_09_212_1SS</t>
  </si>
  <si>
    <t>IH6x_12_09_212_2SS</t>
  </si>
  <si>
    <t>IH6x_12_09_312_1SS</t>
  </si>
  <si>
    <t>IH6x_12_09_312_2SS</t>
  </si>
  <si>
    <t>IH6x_12_11_112_1SS</t>
  </si>
  <si>
    <t>IH6x_12_11_112_2SS</t>
  </si>
  <si>
    <t>IH6x_12_11_212_1SS</t>
  </si>
  <si>
    <t>IH6x_12_11_212_2SS</t>
  </si>
  <si>
    <t>IH6x_12_11_312_1SS</t>
  </si>
  <si>
    <t>IH6x_12_11_312_2SS</t>
  </si>
  <si>
    <t>IH6x_13_02_112_1SS</t>
  </si>
  <si>
    <t>IH6x_13_02_112_2SS</t>
  </si>
  <si>
    <t>IH6x_13_02_212_1SS</t>
  </si>
  <si>
    <t>IH6x_13_02_212_2SS</t>
  </si>
  <si>
    <t>IH6x_13_02_312_1SS</t>
  </si>
  <si>
    <t>IH6x_13_02_312_2SS</t>
  </si>
  <si>
    <t>IH6x_13_03_112_1SS</t>
  </si>
  <si>
    <t>IH6x_13_03_112_2SS</t>
  </si>
  <si>
    <t>IH6x_13_03_212_1SS</t>
  </si>
  <si>
    <t>IH6x_13_03_212_2SS</t>
  </si>
  <si>
    <t>IH6x_13_03_312_1SS</t>
  </si>
  <si>
    <t>IH6x_13_03_312_2SS</t>
  </si>
  <si>
    <t>IH6x_13_04_112_1SS</t>
  </si>
  <si>
    <t>IH6x_13_04_112_2SS</t>
  </si>
  <si>
    <t>IH6x_13_04_212_1SS</t>
  </si>
  <si>
    <t>IH6x_13_04_212_2SS</t>
  </si>
  <si>
    <t>IH6x_13_04_312_1SS</t>
  </si>
  <si>
    <t>IH6x_13_04_312_2SS</t>
  </si>
  <si>
    <t>IH6x_13_05_112_1SS</t>
  </si>
  <si>
    <t>IH6x_13_05_112_2SS</t>
  </si>
  <si>
    <t>IH6x_13_05_212_1SS</t>
  </si>
  <si>
    <t>IH6x_13_05_212_2SS</t>
  </si>
  <si>
    <t>IH6x_13_05_312_1SS</t>
  </si>
  <si>
    <t>IH6x_13_05_312_2SS</t>
  </si>
  <si>
    <t>IH6x_13_07_112_1SS</t>
  </si>
  <si>
    <t>IH6x_13_07_112_2SS</t>
  </si>
  <si>
    <t>IH6x_13_07_212_1SS</t>
  </si>
  <si>
    <t>IH6x_13_07_212_2SS</t>
  </si>
  <si>
    <t>IH6x_13_07_312_1SS</t>
  </si>
  <si>
    <t>IH6x_13_07_312_2SS</t>
  </si>
  <si>
    <t>IH6x_13_09_112_1SS</t>
  </si>
  <si>
    <t>IH6x_13_09_112_2SS</t>
  </si>
  <si>
    <t>IH6x_13_09_212_1SS</t>
  </si>
  <si>
    <t>IH6x_13_09_212_2SS</t>
  </si>
  <si>
    <t>IH6x_13_09_312_1SS</t>
  </si>
  <si>
    <t>IH6x_13_09_312_2SS</t>
  </si>
  <si>
    <t>IH6x_13_11_112_1SS</t>
  </si>
  <si>
    <t>IH6x_13_11_112_2SS</t>
  </si>
  <si>
    <t>IH6x_13_11_212_1SS</t>
  </si>
  <si>
    <t>IH6x_13_11_212_2SS</t>
  </si>
  <si>
    <t>IH6x_13_11_312_1SS</t>
  </si>
  <si>
    <t>IH6x_13_11_312_2SS</t>
  </si>
  <si>
    <t>IH6x_15_02_112_1SS</t>
  </si>
  <si>
    <t>IH6x_15_02_112_2SS</t>
  </si>
  <si>
    <t>IH6x_15_02_212_1SS</t>
  </si>
  <si>
    <t>IH6x_15_02_212_2SS</t>
  </si>
  <si>
    <t>IH6x_15_02_312_1SS</t>
  </si>
  <si>
    <t>IH6x_15_02_312_2SS</t>
  </si>
  <si>
    <t>IH6x_15_03_112_1SS</t>
  </si>
  <si>
    <t>IH6x_15_03_112_2SS</t>
  </si>
  <si>
    <t>IH6x_15_03_212_1SS</t>
  </si>
  <si>
    <t>IH6x_15_03_212_2SS</t>
  </si>
  <si>
    <t>IH6x_15_03_312_1SS</t>
  </si>
  <si>
    <t>IH6x_15_03_312_2SS</t>
  </si>
  <si>
    <t>IH6x_15_04_112_1SS</t>
  </si>
  <si>
    <t>IH6x_15_04_112_2SS</t>
  </si>
  <si>
    <t>IH6x_15_04_212_1SS</t>
  </si>
  <si>
    <t>IH6x_15_04_212_2SS</t>
  </si>
  <si>
    <t>IH6x_15_04_312_1SS</t>
  </si>
  <si>
    <t>IH6x_15_04_312_2SS</t>
  </si>
  <si>
    <t>IH6x_15_05_112_1SS</t>
  </si>
  <si>
    <t>IH6x_15_05_112_2SS</t>
  </si>
  <si>
    <t>IH6x_15_05_212_1SS</t>
  </si>
  <si>
    <t>IH6x_15_05_212_2SS</t>
  </si>
  <si>
    <t>IH6x_15_05_312_1SS</t>
  </si>
  <si>
    <t>IH6x_15_05_312_2SS</t>
  </si>
  <si>
    <t>IH6x_15_07_112_1SS</t>
  </si>
  <si>
    <t>IH6x_15_07_112_2SS</t>
  </si>
  <si>
    <t>IH6x_15_07_212_1SS</t>
  </si>
  <si>
    <t>IH6x_15_07_212_2SS</t>
  </si>
  <si>
    <t>IH6x_15_07_312_1SS</t>
  </si>
  <si>
    <t>IH6x_15_07_312_2SS</t>
  </si>
  <si>
    <t>IH6x_15_09_112_1SS</t>
  </si>
  <si>
    <t>IH6x_15_09_112_2SS</t>
  </si>
  <si>
    <t>IH6x_15_09_212_1SS</t>
  </si>
  <si>
    <t>IH6x_15_09_212_2SS</t>
  </si>
  <si>
    <t>IH6x_15_09_312_1SS</t>
  </si>
  <si>
    <t>IH6x_15_09_312_2SS</t>
  </si>
  <si>
    <t>IH6x_15_11_112_1SS</t>
  </si>
  <si>
    <t>IH6x_15_11_112_2SS</t>
  </si>
  <si>
    <t>IH6x_15_11_212_1SS</t>
  </si>
  <si>
    <t>IH6x_15_11_212_2SS</t>
  </si>
  <si>
    <t>IH6x_15_11_312_1SS</t>
  </si>
  <si>
    <t>IH6x_15_11_312_2SS</t>
  </si>
  <si>
    <t>IH6x_16_02_112_1SS</t>
  </si>
  <si>
    <t>IH6x_16_02_112_2SS</t>
  </si>
  <si>
    <t>IH6x_16_02_212_1SS</t>
  </si>
  <si>
    <t>IH6x_16_02_212_2SS</t>
  </si>
  <si>
    <t>IH6x_16_02_312_1SS</t>
  </si>
  <si>
    <t>IH6x_16_02_312_2SS</t>
  </si>
  <si>
    <t>IH6x_16_03_112_1SS</t>
  </si>
  <si>
    <t>IH6x_16_03_112_2SS</t>
  </si>
  <si>
    <t>IH6x_16_03_212_1SS</t>
  </si>
  <si>
    <t>IH6x_16_03_212_2SS</t>
  </si>
  <si>
    <t>IH6x_16_03_312_1SS</t>
  </si>
  <si>
    <t>IH6x_16_03_312_2SS</t>
  </si>
  <si>
    <t>IH6x_16_04_112_1SS</t>
  </si>
  <si>
    <t>IH6x_16_04_112_2SS</t>
  </si>
  <si>
    <t>IH6x_16_04_212_1SS</t>
  </si>
  <si>
    <t>IH6x_16_04_212_2SS</t>
  </si>
  <si>
    <t>IH6x_16_04_312_1SS</t>
  </si>
  <si>
    <t>IH6x_16_04_312_2SS</t>
  </si>
  <si>
    <t>IH6x_16_05_112_1SS</t>
  </si>
  <si>
    <t>IH6x_16_05_112_2SS</t>
  </si>
  <si>
    <t>IH6x_16_05_212_1SS</t>
  </si>
  <si>
    <t>IH6x_16_05_212_2SS</t>
  </si>
  <si>
    <t>IH6x_16_05_312_1SS</t>
  </si>
  <si>
    <t>IH6x_16_05_312_2SS</t>
  </si>
  <si>
    <t>IH6x_16_07_112_1SS</t>
  </si>
  <si>
    <t>IH6x_16_07_112_2SS</t>
  </si>
  <si>
    <t>IH6x_16_07_212_1SS</t>
  </si>
  <si>
    <t>IH6x_16_07_212_2SS</t>
  </si>
  <si>
    <t>IH6x_16_07_312_1SS</t>
  </si>
  <si>
    <t>IH6x_16_07_312_2SS</t>
  </si>
  <si>
    <t>IH6x_16_09_112_1SS</t>
  </si>
  <si>
    <t>IH6x_16_09_112_2SS</t>
  </si>
  <si>
    <t>IH6x_16_09_212_1SS</t>
  </si>
  <si>
    <t>IH6x_16_09_212_2SS</t>
  </si>
  <si>
    <t>IH6x_16_09_312_1SS</t>
  </si>
  <si>
    <t>IH6x_16_09_312_2SS</t>
  </si>
  <si>
    <t>IH6x_16_11_112_1SS</t>
  </si>
  <si>
    <t>IH6x_16_11_112_2SS</t>
  </si>
  <si>
    <t>IH6x_16_11_212_1SS</t>
  </si>
  <si>
    <t>IH6x_16_11_212_2SS</t>
  </si>
  <si>
    <t>IH6x_16_11_312_1SS</t>
  </si>
  <si>
    <t>IH6x_16_11_312_2SS</t>
  </si>
  <si>
    <t>IH7x_11_02_112_1SS</t>
  </si>
  <si>
    <t>IH7x_11_02_112_2SS</t>
  </si>
  <si>
    <t>IH7x_11_02_212_1SS</t>
  </si>
  <si>
    <t>IH7x_11_02_212_2SS</t>
  </si>
  <si>
    <t>IH7x_11_02_312_1SS</t>
  </si>
  <si>
    <t>IH7x_11_02_312_2SS</t>
  </si>
  <si>
    <t>IH7x_11_03_112_1SS</t>
  </si>
  <si>
    <t>IH7x_11_03_112_2SS</t>
  </si>
  <si>
    <t>IH7x_11_03_212_1SS</t>
  </si>
  <si>
    <t>IH7x_11_03_212_2SS</t>
  </si>
  <si>
    <t>IH7x_11_03_312_1SS</t>
  </si>
  <si>
    <t>IH7x_11_03_312_2SS</t>
  </si>
  <si>
    <t>IH7x_11_05_112_1SS</t>
  </si>
  <si>
    <t>IH7x_11_05_112_2SS</t>
  </si>
  <si>
    <t>IH7x_11_05_212_1SS</t>
  </si>
  <si>
    <t>IH7x_11_05_212_2SS</t>
  </si>
  <si>
    <t>IH7x_11_05_312_1SS</t>
  </si>
  <si>
    <t>IH7x_11_05_312_2SS</t>
  </si>
  <si>
    <t>IH7x_11_09_112_1SS</t>
  </si>
  <si>
    <t>IH7x_11_09_112_2SS</t>
  </si>
  <si>
    <t>IH7x_11_09_212_1SS</t>
  </si>
  <si>
    <t>IH7x_11_09_212_2SS</t>
  </si>
  <si>
    <t>IH7x_11_09_312_1SS</t>
  </si>
  <si>
    <t>IH7x_11_09_312_2SS</t>
  </si>
  <si>
    <t>IH7x_12_02_112_1SS</t>
  </si>
  <si>
    <t>IH7x_12_02_112_2SS</t>
  </si>
  <si>
    <t>IH7x_12_02_212_1SS</t>
  </si>
  <si>
    <t>IH7x_12_02_212_2SS</t>
  </si>
  <si>
    <t>IH7x_12_02_312_1SS</t>
  </si>
  <si>
    <t>IH7x_12_02_312_2SS</t>
  </si>
  <si>
    <t>IH7x_12_03_112_1SS</t>
  </si>
  <si>
    <t>IH7x_12_03_112_2SS</t>
  </si>
  <si>
    <t>IH7x_12_03_212_1SS</t>
  </si>
  <si>
    <t>IH7x_12_03_212_2SS</t>
  </si>
  <si>
    <t>IH7x_12_03_312_1SS</t>
  </si>
  <si>
    <t>IH7x_12_03_312_2SS</t>
  </si>
  <si>
    <t>IH7x_12_05_112_1SS</t>
  </si>
  <si>
    <t>IH7x_12_05_112_2SS</t>
  </si>
  <si>
    <t>IH7x_12_05_212_1SS</t>
  </si>
  <si>
    <t>IH7x_12_05_212_2SS</t>
  </si>
  <si>
    <t>IH7x_12_05_312_1SS</t>
  </si>
  <si>
    <t>IH7x_12_05_312_2SS</t>
  </si>
  <si>
    <t>IH7x_12_09_112_1SS</t>
  </si>
  <si>
    <t>IH7x_12_09_112_2SS</t>
  </si>
  <si>
    <t>IH7x_12_09_212_1SS</t>
  </si>
  <si>
    <t>IH7x_12_09_212_2SS</t>
  </si>
  <si>
    <t>IH7x_12_09_312_1SS</t>
  </si>
  <si>
    <t>IH7x_12_09_312_2SS</t>
  </si>
  <si>
    <t>IH7x_13_02_112_1SS</t>
  </si>
  <si>
    <t>IH7x_13_02_112_2SS</t>
  </si>
  <si>
    <t>IH7x_13_02_212_1SS</t>
  </si>
  <si>
    <t>IH7x_13_02_212_2SS</t>
  </si>
  <si>
    <t>IH7x_13_02_312_1SS</t>
  </si>
  <si>
    <t>IH7x_13_02_312_2SS</t>
  </si>
  <si>
    <t>IH7x_13_03_112_1SS</t>
  </si>
  <si>
    <t>IH7x_13_03_112_2SS</t>
  </si>
  <si>
    <t>IH7x_13_03_212_1SS</t>
  </si>
  <si>
    <t>IH7x_13_03_212_2SS</t>
  </si>
  <si>
    <t>IH7x_13_03_312_1SS</t>
  </si>
  <si>
    <t>IH7x_13_03_312_2SS</t>
  </si>
  <si>
    <t>IH7x_13_05_112_1SS</t>
  </si>
  <si>
    <t>IH7x_13_05_112_2SS</t>
  </si>
  <si>
    <t>IH7x_13_05_212_1SS</t>
  </si>
  <si>
    <t>IH7x_13_05_212_2SS</t>
  </si>
  <si>
    <t>IH7x_13_05_312_1SS</t>
  </si>
  <si>
    <t>IH7x_13_05_312_2SS</t>
  </si>
  <si>
    <t>IH7x_13_09_112_1SS</t>
  </si>
  <si>
    <t>IH7x_13_09_112_2SS</t>
  </si>
  <si>
    <t>IH7x_13_09_212_1SS</t>
  </si>
  <si>
    <t>IH7x_13_09_212_2SS</t>
  </si>
  <si>
    <t>IH7x_13_09_312_1SS</t>
  </si>
  <si>
    <t>IH7x_13_09_312_2SS</t>
  </si>
  <si>
    <t>IH7x_15_02_112_1SS</t>
  </si>
  <si>
    <t>IH7x_15_02_112_2SS</t>
  </si>
  <si>
    <t>IH7x_15_02_212_1SS</t>
  </si>
  <si>
    <t>IH7x_15_02_212_2SS</t>
  </si>
  <si>
    <t>IH7x_15_02_312_1SS</t>
  </si>
  <si>
    <t>IH7x_15_02_312_2SS</t>
  </si>
  <si>
    <t>IH7x_15_03_112_1SS</t>
  </si>
  <si>
    <t>IH7x_15_03_112_2SS</t>
  </si>
  <si>
    <t>IH7x_15_03_212_1SS</t>
  </si>
  <si>
    <t>IH7x_15_03_212_2SS</t>
  </si>
  <si>
    <t>IH7x_15_03_312_1SS</t>
  </si>
  <si>
    <t>IH7x_15_03_312_2SS</t>
  </si>
  <si>
    <t>IH7x_15_05_112_1SS</t>
  </si>
  <si>
    <t>IH7x_15_05_112_2SS</t>
  </si>
  <si>
    <t>IH7x_15_05_212_1SS</t>
  </si>
  <si>
    <t>IH7x_15_05_212_2SS</t>
  </si>
  <si>
    <t>IH7x_15_05_312_1SS</t>
  </si>
  <si>
    <t>IH7x_15_05_312_2SS</t>
  </si>
  <si>
    <t>IH7x_15_09_112_1SS</t>
  </si>
  <si>
    <t>IH7x_15_09_112_2SS</t>
  </si>
  <si>
    <t>IH7x_15_09_212_1SS</t>
  </si>
  <si>
    <t>IH7x_15_09_212_2SS</t>
  </si>
  <si>
    <t>IH7x_15_09_312_1SS</t>
  </si>
  <si>
    <t>IH7x_15_09_312_2SS</t>
  </si>
  <si>
    <t>IH7x_16_02_112_1SS</t>
  </si>
  <si>
    <t>IH7x_16_02_112_2SS</t>
  </si>
  <si>
    <t>IH7x_16_02_212_1SS</t>
  </si>
  <si>
    <t>IH7x_16_02_212_2SS</t>
  </si>
  <si>
    <t>IH7x_16_02_312_1SS</t>
  </si>
  <si>
    <t>IH7x_16_02_312_2SS</t>
  </si>
  <si>
    <t>IH7x_16_03_112_1SS</t>
  </si>
  <si>
    <t>IH7x_16_03_112_2SS</t>
  </si>
  <si>
    <t>IH7x_16_03_212_1SS</t>
  </si>
  <si>
    <t>IH7x_16_03_212_2SS</t>
  </si>
  <si>
    <t>IH7x_16_03_312_1SS</t>
  </si>
  <si>
    <t>IH7x_16_03_312_2SS</t>
  </si>
  <si>
    <t>IH7x_16_05_112_1SS</t>
  </si>
  <si>
    <t>IH7x_16_05_112_2SS</t>
  </si>
  <si>
    <t>IH7x_16_05_212_1SS</t>
  </si>
  <si>
    <t>IH7x_16_05_212_2SS</t>
  </si>
  <si>
    <t>IH7x_16_05_312_1SS</t>
  </si>
  <si>
    <t>IH7x_16_05_312_2SS</t>
  </si>
  <si>
    <t>IH7x_16_09_112_1SS</t>
  </si>
  <si>
    <t>IH7x_16_09_112_2SS</t>
  </si>
  <si>
    <t>IH7x_16_09_212_1SS</t>
  </si>
  <si>
    <t>IH7x_16_09_212_2SS</t>
  </si>
  <si>
    <t>IH7x_16_09_312_1SS</t>
  </si>
  <si>
    <t>IH7x_16_09_312_2SS</t>
  </si>
  <si>
    <t>japanese</t>
  </si>
  <si>
    <t>ld</t>
  </si>
  <si>
    <t>kitchen</t>
  </si>
  <si>
    <t>bath</t>
  </si>
  <si>
    <t>wc_1f</t>
  </si>
  <si>
    <t>washroom</t>
  </si>
  <si>
    <t>hall_1f</t>
  </si>
  <si>
    <t>closet</t>
  </si>
  <si>
    <t>main_bed</t>
  </si>
  <si>
    <t>child_1</t>
  </si>
  <si>
    <t>child_2</t>
  </si>
  <si>
    <t>hall_2f</t>
  </si>
  <si>
    <t>kaima</t>
  </si>
  <si>
    <t>wc_2f</t>
  </si>
  <si>
    <t>全館連続運転 schedule_zenkan_renzoku.xlsx</t>
    <phoneticPr fontId="2"/>
  </si>
  <si>
    <t>_zenkan_renzoku</t>
    <phoneticPr fontId="2"/>
  </si>
  <si>
    <t>居室間歇運転 schedule_kyoshitsu_kanketsu.xlsx</t>
    <phoneticPr fontId="2"/>
  </si>
  <si>
    <t>_kyoshitsu_kanketsu</t>
    <phoneticPr fontId="2"/>
  </si>
  <si>
    <t>居室連続運転 schedule_kyoshitsu_renzoku.xlsx</t>
    <phoneticPr fontId="2"/>
  </si>
  <si>
    <t>_kyoshitsu_renzoku</t>
    <phoneticPr fontId="2"/>
  </si>
  <si>
    <t>LDK 居室連続運転、その他居室 居室間歇運転  schedule_LDK_rendoku.xlsx</t>
    <phoneticPr fontId="2"/>
  </si>
  <si>
    <t>_LDK_rendoku</t>
    <phoneticPr fontId="2"/>
  </si>
  <si>
    <t>LDK 居室間歇運転、その他居室 居室連続運転 schedule_LDK_kanketsu.xlsx</t>
    <phoneticPr fontId="2"/>
  </si>
  <si>
    <t>_LDK_kanketsu</t>
    <phoneticPr fontId="2"/>
  </si>
  <si>
    <t>温暖地
外壁面積
[m2]</t>
    <rPh sb="0" eb="3">
      <t>オンダンチ</t>
    </rPh>
    <rPh sb="4" eb="6">
      <t>ガイヘキ</t>
    </rPh>
    <rPh sb="6" eb="8">
      <t>メンセキ</t>
    </rPh>
    <phoneticPr fontId="8"/>
  </si>
  <si>
    <t>寒冷地
外壁面積
[m2]</t>
    <rPh sb="0" eb="3">
      <t>カンレイチ</t>
    </rPh>
    <rPh sb="4" eb="6">
      <t>ガイヘキ</t>
    </rPh>
    <rPh sb="6" eb="8">
      <t>メンセキ</t>
    </rPh>
    <phoneticPr fontId="8"/>
  </si>
  <si>
    <t>温暖地
開口面積
[m2]</t>
    <rPh sb="0" eb="3">
      <t>オンダンチ</t>
    </rPh>
    <rPh sb="4" eb="6">
      <t>カイコウ</t>
    </rPh>
    <rPh sb="6" eb="8">
      <t>メンセキ</t>
    </rPh>
    <phoneticPr fontId="2"/>
  </si>
  <si>
    <t>寒冷地
開口面積
[m2]</t>
    <rPh sb="0" eb="3">
      <t>カンレイチ</t>
    </rPh>
    <rPh sb="4" eb="6">
      <t>カイコウ</t>
    </rPh>
    <rPh sb="6" eb="8">
      <t>メンセキ</t>
    </rPh>
    <phoneticPr fontId="2"/>
  </si>
  <si>
    <t>温暖地 - 寒冷地
開口面積 [m2]</t>
    <rPh sb="0" eb="3">
      <t>オンダンチ</t>
    </rPh>
    <rPh sb="6" eb="9">
      <t>カンレイチ</t>
    </rPh>
    <rPh sb="10" eb="14">
      <t>カイコウメンセキ</t>
    </rPh>
    <phoneticPr fontId="2"/>
  </si>
  <si>
    <t>備考</t>
    <rPh sb="0" eb="2">
      <t>ビコウ</t>
    </rPh>
    <phoneticPr fontId="2"/>
  </si>
  <si>
    <t>台所ドア</t>
    <rPh sb="0" eb="2">
      <t>ダイドコロ</t>
    </rPh>
    <phoneticPr fontId="2"/>
  </si>
  <si>
    <t>玄関ドア</t>
    <rPh sb="0" eb="2">
      <t>ゲンカン</t>
    </rPh>
    <phoneticPr fontId="2"/>
  </si>
  <si>
    <t>天井</t>
  </si>
  <si>
    <t>熱貫流率</t>
    <rPh sb="0" eb="3">
      <t>ネツカンリュウ</t>
    </rPh>
    <rPh sb="3" eb="4">
      <t>リツ</t>
    </rPh>
    <phoneticPr fontId="4"/>
  </si>
  <si>
    <t>Ⅰ地域</t>
    <rPh sb="1" eb="3">
      <t>チイキ</t>
    </rPh>
    <phoneticPr fontId="4"/>
  </si>
  <si>
    <t>Ⅱ地域</t>
    <rPh sb="1" eb="3">
      <t>チイキ</t>
    </rPh>
    <phoneticPr fontId="4"/>
  </si>
  <si>
    <t>Ⅲ地域</t>
    <rPh sb="1" eb="3">
      <t>チイキ</t>
    </rPh>
    <phoneticPr fontId="4"/>
  </si>
  <si>
    <t>Ⅳ地域</t>
    <rPh sb="1" eb="3">
      <t>チイキ</t>
    </rPh>
    <phoneticPr fontId="4"/>
  </si>
  <si>
    <t>Ⅴ地域</t>
    <rPh sb="1" eb="3">
      <t>チイキ</t>
    </rPh>
    <phoneticPr fontId="4"/>
  </si>
  <si>
    <t>Ⅵ地域</t>
    <rPh sb="1" eb="3">
      <t>チイキ</t>
    </rPh>
    <phoneticPr fontId="4"/>
  </si>
  <si>
    <t>H11基準超</t>
    <rPh sb="3" eb="5">
      <t>キジュン</t>
    </rPh>
    <rPh sb="5" eb="6">
      <t>チョウ</t>
    </rPh>
    <phoneticPr fontId="4"/>
  </si>
  <si>
    <t>天井</t>
    <rPh sb="0" eb="2">
      <t>テンジョウ</t>
    </rPh>
    <phoneticPr fontId="4"/>
  </si>
  <si>
    <t>外壁</t>
    <rPh sb="0" eb="2">
      <t>ガイヘキ</t>
    </rPh>
    <phoneticPr fontId="4"/>
  </si>
  <si>
    <t>床</t>
    <rPh sb="0" eb="1">
      <t>ユカ</t>
    </rPh>
    <phoneticPr fontId="4"/>
  </si>
  <si>
    <t>開口部</t>
    <rPh sb="0" eb="3">
      <t>カイコウブ</t>
    </rPh>
    <phoneticPr fontId="4"/>
  </si>
  <si>
    <t>H11基準</t>
    <rPh sb="3" eb="5">
      <t>キジュン</t>
    </rPh>
    <phoneticPr fontId="4"/>
  </si>
  <si>
    <t>H4基準</t>
    <rPh sb="2" eb="4">
      <t>キジュン</t>
    </rPh>
    <phoneticPr fontId="4"/>
  </si>
  <si>
    <t>S55基準</t>
    <rPh sb="3" eb="5">
      <t>キジュン</t>
    </rPh>
    <phoneticPr fontId="4"/>
  </si>
  <si>
    <t>断熱材以外熱抵抗</t>
    <rPh sb="0" eb="3">
      <t>ダンネツザイ</t>
    </rPh>
    <rPh sb="3" eb="5">
      <t>イガイ</t>
    </rPh>
    <rPh sb="5" eb="6">
      <t>ネツ</t>
    </rPh>
    <rPh sb="6" eb="8">
      <t>テイコウ</t>
    </rPh>
    <phoneticPr fontId="4"/>
  </si>
  <si>
    <t>（抵抗が負になるので</t>
    <rPh sb="1" eb="3">
      <t>テイコウ</t>
    </rPh>
    <rPh sb="4" eb="5">
      <t>フ</t>
    </rPh>
    <phoneticPr fontId="4"/>
  </si>
  <si>
    <t>Ⅵ地域の構成で設定）</t>
    <rPh sb="1" eb="3">
      <t>チイキ</t>
    </rPh>
    <rPh sb="4" eb="6">
      <t>コウセイ</t>
    </rPh>
    <rPh sb="7" eb="9">
      <t>セッテイ</t>
    </rPh>
    <phoneticPr fontId="4"/>
  </si>
  <si>
    <t>断熱材熱抵抗</t>
    <rPh sb="0" eb="3">
      <t>ダンネツザイ</t>
    </rPh>
    <rPh sb="3" eb="4">
      <t>ネツ</t>
    </rPh>
    <rPh sb="4" eb="6">
      <t>テイコウ</t>
    </rPh>
    <phoneticPr fontId="4"/>
  </si>
  <si>
    <t>断熱材厚さ（開口部はU値）</t>
    <rPh sb="0" eb="3">
      <t>ダンネツザイ</t>
    </rPh>
    <rPh sb="3" eb="4">
      <t>アツ</t>
    </rPh>
    <rPh sb="6" eb="9">
      <t>カイコウブ</t>
    </rPh>
    <rPh sb="11" eb="12">
      <t>チ</t>
    </rPh>
    <phoneticPr fontId="4"/>
  </si>
  <si>
    <t>断熱材厚さ（開口部はU値）</t>
    <rPh sb="0" eb="3">
      <t>ダンネツザイ</t>
    </rPh>
    <rPh sb="3" eb="4">
      <t>アツ</t>
    </rPh>
    <rPh sb="6" eb="9">
      <t>カイコウブ</t>
    </rPh>
    <rPh sb="11" eb="12">
      <t>チ</t>
    </rPh>
    <phoneticPr fontId="1"/>
  </si>
  <si>
    <t>Ⅰ地域</t>
    <rPh sb="1" eb="3">
      <t>チイキ</t>
    </rPh>
    <phoneticPr fontId="1"/>
  </si>
  <si>
    <t>Ⅱ地域</t>
    <rPh sb="1" eb="3">
      <t>チイキ</t>
    </rPh>
    <phoneticPr fontId="1"/>
  </si>
  <si>
    <t>Ⅲ地域</t>
    <rPh sb="1" eb="3">
      <t>チイキ</t>
    </rPh>
    <phoneticPr fontId="1"/>
  </si>
  <si>
    <t>Ⅳ地域</t>
    <rPh sb="1" eb="3">
      <t>チイキ</t>
    </rPh>
    <phoneticPr fontId="1"/>
  </si>
  <si>
    <t>Ⅴ地域</t>
    <rPh sb="1" eb="3">
      <t>チイキ</t>
    </rPh>
    <phoneticPr fontId="1"/>
  </si>
  <si>
    <t>Ⅵ地域</t>
    <rPh sb="1" eb="3">
      <t>チイキ</t>
    </rPh>
    <phoneticPr fontId="1"/>
  </si>
  <si>
    <t>(η値 単板ガラス)</t>
    <rPh sb="1" eb="3">
      <t>イータチ</t>
    </rPh>
    <rPh sb="4" eb="6">
      <t>タンパン</t>
    </rPh>
    <phoneticPr fontId="2"/>
  </si>
  <si>
    <t>U値</t>
    <rPh sb="1" eb="2">
      <t>チ</t>
    </rPh>
    <phoneticPr fontId="2"/>
  </si>
  <si>
    <t>η値</t>
    <rPh sb="1" eb="2">
      <t>チ</t>
    </rPh>
    <phoneticPr fontId="2"/>
  </si>
  <si>
    <t>SCR</t>
    <phoneticPr fontId="2"/>
  </si>
  <si>
    <t>SCC</t>
    <phoneticPr fontId="2"/>
  </si>
  <si>
    <t>S55基準</t>
    <rPh sb="3" eb="5">
      <t>キジュン</t>
    </rPh>
    <phoneticPr fontId="1"/>
  </si>
  <si>
    <t>開口部仕様</t>
    <rPh sb="0" eb="3">
      <t>カイコウブ</t>
    </rPh>
    <rPh sb="3" eb="5">
      <t>シヨウ</t>
    </rPh>
    <phoneticPr fontId="1"/>
  </si>
  <si>
    <t>普通複層ガラス（空気層12）</t>
    <rPh sb="0" eb="2">
      <t>フツウ</t>
    </rPh>
    <rPh sb="2" eb="4">
      <t>フクソウ</t>
    </rPh>
    <rPh sb="8" eb="10">
      <t>クウキ</t>
    </rPh>
    <rPh sb="10" eb="11">
      <t>ソウ</t>
    </rPh>
    <phoneticPr fontId="2"/>
  </si>
  <si>
    <t>普通複層ガラス（空気層6）</t>
    <rPh sb="0" eb="2">
      <t>フツウ</t>
    </rPh>
    <rPh sb="2" eb="4">
      <t>フクソウ</t>
    </rPh>
    <rPh sb="8" eb="10">
      <t>クウキ</t>
    </rPh>
    <rPh sb="10" eb="11">
      <t>ソウ</t>
    </rPh>
    <phoneticPr fontId="2"/>
  </si>
  <si>
    <t>単坂ガラス</t>
    <rPh sb="0" eb="1">
      <t>タン</t>
    </rPh>
    <rPh sb="1" eb="2">
      <t>バン</t>
    </rPh>
    <phoneticPr fontId="2"/>
  </si>
  <si>
    <t>なし</t>
    <phoneticPr fontId="1"/>
  </si>
  <si>
    <t>レースカーテン</t>
    <phoneticPr fontId="1"/>
  </si>
  <si>
    <t>障子</t>
    <rPh sb="0" eb="2">
      <t>ショウジ</t>
    </rPh>
    <phoneticPr fontId="1"/>
  </si>
  <si>
    <t>H4基準</t>
    <rPh sb="2" eb="4">
      <t>キジュン</t>
    </rPh>
    <phoneticPr fontId="1"/>
  </si>
  <si>
    <t>H11基準</t>
    <rPh sb="3" eb="5">
      <t>キジュン</t>
    </rPh>
    <phoneticPr fontId="1"/>
  </si>
  <si>
    <t>H11基準超</t>
    <rPh sb="3" eb="5">
      <t>キジュン</t>
    </rPh>
    <rPh sb="5" eb="6">
      <t>チョウ</t>
    </rPh>
    <phoneticPr fontId="1"/>
  </si>
  <si>
    <t>低放射複層ガラス（ガス入り空気層12）</t>
    <rPh sb="0" eb="3">
      <t>テイホウシャ</t>
    </rPh>
    <rPh sb="3" eb="5">
      <t>フクソウ</t>
    </rPh>
    <rPh sb="11" eb="12">
      <t>イ</t>
    </rPh>
    <rPh sb="13" eb="15">
      <t>クウキ</t>
    </rPh>
    <rPh sb="15" eb="16">
      <t>ソウ</t>
    </rPh>
    <phoneticPr fontId="2"/>
  </si>
  <si>
    <t>熱線反射ガラス2種（外付けブラインド）</t>
    <rPh sb="0" eb="2">
      <t>ネッセン</t>
    </rPh>
    <rPh sb="2" eb="4">
      <t>ハンシャ</t>
    </rPh>
    <rPh sb="8" eb="9">
      <t>シュ</t>
    </rPh>
    <rPh sb="10" eb="11">
      <t>ソト</t>
    </rPh>
    <rPh sb="11" eb="12">
      <t>ヅ</t>
    </rPh>
    <phoneticPr fontId="2"/>
  </si>
  <si>
    <t>床下</t>
    <rPh sb="0" eb="2">
      <t>ユカシタ</t>
    </rPh>
    <phoneticPr fontId="2"/>
  </si>
  <si>
    <t>found</t>
    <phoneticPr fontId="2"/>
  </si>
  <si>
    <t>土間床</t>
    <rPh sb="0" eb="2">
      <t>ドマ</t>
    </rPh>
    <rPh sb="2" eb="3">
      <t>ユカ</t>
    </rPh>
    <phoneticPr fontId="2"/>
  </si>
  <si>
    <t>外ブラインド(付属部材なし)</t>
    <rPh sb="0" eb="1">
      <t>ソト</t>
    </rPh>
    <rPh sb="7" eb="11">
      <t>フゾクブザイ</t>
    </rPh>
    <phoneticPr fontId="2"/>
  </si>
  <si>
    <t>外ブラインド(レースカーテン)</t>
    <rPh sb="0" eb="1">
      <t>ソト</t>
    </rPh>
    <phoneticPr fontId="2"/>
  </si>
  <si>
    <t>外ブラインド(障子)</t>
    <rPh sb="0" eb="1">
      <t>ソト</t>
    </rPh>
    <rPh sb="7" eb="9">
      <t>ショウジ</t>
    </rPh>
    <phoneticPr fontId="2"/>
  </si>
  <si>
    <t>低放射複層ガラス（空気層12 枠：樹脂）</t>
    <rPh sb="0" eb="3">
      <t>テイホウシャ</t>
    </rPh>
    <rPh sb="3" eb="5">
      <t>フクソウ</t>
    </rPh>
    <rPh sb="9" eb="11">
      <t>クウキ</t>
    </rPh>
    <rPh sb="11" eb="12">
      <t>ソウ</t>
    </rPh>
    <rPh sb="15" eb="16">
      <t>ワク</t>
    </rPh>
    <rPh sb="17" eb="19">
      <t>ジュシ</t>
    </rPh>
    <phoneticPr fontId="2"/>
  </si>
  <si>
    <t>低放射複層ガラス（空気層12 枠：金属製熱遮断）</t>
    <rPh sb="0" eb="3">
      <t>テイホウシャ</t>
    </rPh>
    <rPh sb="3" eb="5">
      <t>フクソウ</t>
    </rPh>
    <rPh sb="9" eb="11">
      <t>クウキ</t>
    </rPh>
    <rPh sb="11" eb="12">
      <t>ソウ</t>
    </rPh>
    <rPh sb="15" eb="16">
      <t>ワク</t>
    </rPh>
    <rPh sb="17" eb="20">
      <t>キンゾクセイ</t>
    </rPh>
    <rPh sb="20" eb="21">
      <t>ネツ</t>
    </rPh>
    <rPh sb="21" eb="23">
      <t>シャダン</t>
    </rPh>
    <phoneticPr fontId="2"/>
  </si>
  <si>
    <t>間仕切</t>
    <rPh sb="0" eb="3">
      <t>マジキリ</t>
    </rPh>
    <phoneticPr fontId="2"/>
  </si>
  <si>
    <t>horizontal</t>
    <phoneticPr fontId="2"/>
  </si>
  <si>
    <t>外壁床</t>
    <rPh sb="0" eb="2">
      <t>ガイヘキ</t>
    </rPh>
    <rPh sb="2" eb="3">
      <t>ユカ</t>
    </rPh>
    <phoneticPr fontId="2"/>
  </si>
  <si>
    <t>2F床</t>
    <rPh sb="2" eb="3">
      <t>ユカ</t>
    </rPh>
    <phoneticPr fontId="2"/>
  </si>
  <si>
    <t>小屋裏2</t>
    <rPh sb="0" eb="3">
      <t>コヤウラ</t>
    </rPh>
    <phoneticPr fontId="2"/>
  </si>
  <si>
    <t>屋根</t>
    <rPh sb="0" eb="2">
      <t>ヤネ</t>
    </rPh>
    <phoneticPr fontId="2"/>
  </si>
  <si>
    <t>小屋裏1</t>
    <rPh sb="0" eb="3">
      <t>コヤウラ</t>
    </rPh>
    <phoneticPr fontId="2"/>
  </si>
  <si>
    <t>外壁</t>
    <rPh sb="0" eb="2">
      <t>ガイヘキ</t>
    </rPh>
    <phoneticPr fontId="2"/>
  </si>
  <si>
    <t>小屋裏3</t>
    <rPh sb="0" eb="3">
      <t>コヤウラ</t>
    </rPh>
    <phoneticPr fontId="2"/>
  </si>
  <si>
    <t>階間(L4)</t>
    <rPh sb="0" eb="2">
      <t>カイマ</t>
    </rPh>
    <phoneticPr fontId="2"/>
  </si>
  <si>
    <t>階間床</t>
    <rPh sb="0" eb="2">
      <t>カイマ</t>
    </rPh>
    <rPh sb="2" eb="3">
      <t>ユカ</t>
    </rPh>
    <phoneticPr fontId="2"/>
  </si>
  <si>
    <t>value56</t>
  </si>
  <si>
    <t>value57</t>
  </si>
  <si>
    <t>value58</t>
  </si>
  <si>
    <t>value59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</si>
  <si>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</si>
  <si>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</si>
  <si>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</si>
  <si>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</si>
  <si>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</si>
  <si>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</si>
  <si>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</si>
  <si>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</si>
  <si>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upward</t>
  </si>
  <si>
    <t>downward</t>
  </si>
  <si>
    <t>upward</t>
    <phoneticPr fontId="2"/>
  </si>
  <si>
    <t>和室上 片流れ(4)</t>
    <rPh sb="0" eb="2">
      <t>ワシツ</t>
    </rPh>
    <rPh sb="2" eb="3">
      <t>ウエ</t>
    </rPh>
    <rPh sb="4" eb="6">
      <t>カタナガ</t>
    </rPh>
    <phoneticPr fontId="2"/>
  </si>
  <si>
    <t>水回り上 片流れ(3)</t>
    <rPh sb="0" eb="1">
      <t>ミズ</t>
    </rPh>
    <rPh sb="1" eb="2">
      <t>マワ</t>
    </rPh>
    <rPh sb="3" eb="4">
      <t>ウエ</t>
    </rPh>
    <rPh sb="5" eb="7">
      <t>カタナガ</t>
    </rPh>
    <phoneticPr fontId="2"/>
  </si>
  <si>
    <t>2階上 切妻(横)</t>
    <rPh sb="1" eb="2">
      <t>カイ</t>
    </rPh>
    <rPh sb="2" eb="3">
      <t>ウエ</t>
    </rPh>
    <rPh sb="4" eb="5">
      <t>キ</t>
    </rPh>
    <rPh sb="5" eb="6">
      <t>ツマ</t>
    </rPh>
    <rPh sb="7" eb="8">
      <t>ヨコ</t>
    </rPh>
    <phoneticPr fontId="2"/>
  </si>
  <si>
    <t>南</t>
    <rPh sb="0" eb="1">
      <t>ミナミ</t>
    </rPh>
    <phoneticPr fontId="2"/>
  </si>
  <si>
    <t>西</t>
    <rPh sb="0" eb="1">
      <t>ニシ</t>
    </rPh>
    <phoneticPr fontId="2"/>
  </si>
  <si>
    <t>北</t>
    <rPh sb="0" eb="1">
      <t>キタ</t>
    </rPh>
    <phoneticPr fontId="2"/>
  </si>
  <si>
    <t>東</t>
    <rPh sb="0" eb="1">
      <t>ヒガシ</t>
    </rPh>
    <phoneticPr fontId="2"/>
  </si>
  <si>
    <t>天井</t>
    <rPh sb="0" eb="2">
      <t>テンジョウ</t>
    </rPh>
    <phoneticPr fontId="2"/>
  </si>
  <si>
    <t>床</t>
    <rPh sb="0" eb="1">
      <t>ユカ</t>
    </rPh>
    <phoneticPr fontId="2"/>
  </si>
  <si>
    <t>ドア</t>
    <phoneticPr fontId="2"/>
  </si>
  <si>
    <t>窓</t>
    <rPh sb="0" eb="1">
      <t>マド</t>
    </rPh>
    <phoneticPr fontId="2"/>
  </si>
  <si>
    <t>温度差係数</t>
    <rPh sb="0" eb="5">
      <t>オンドサケイスウ</t>
    </rPh>
    <phoneticPr fontId="2"/>
  </si>
  <si>
    <t>外皮総面積</t>
    <rPh sb="0" eb="2">
      <t>ガイヒ</t>
    </rPh>
    <rPh sb="2" eb="5">
      <t>ソウメンセキ</t>
    </rPh>
    <phoneticPr fontId="2"/>
  </si>
  <si>
    <t>面積</t>
    <rPh sb="0" eb="2">
      <t>メンセキ</t>
    </rPh>
    <phoneticPr fontId="2"/>
  </si>
  <si>
    <t>方位係数</t>
    <rPh sb="0" eb="4">
      <t>ホウイケイスウ</t>
    </rPh>
    <phoneticPr fontId="2"/>
  </si>
  <si>
    <t>冷房</t>
    <rPh sb="0" eb="2">
      <t>レイボウ</t>
    </rPh>
    <phoneticPr fontId="2"/>
  </si>
  <si>
    <t>暖房</t>
    <rPh sb="0" eb="2">
      <t>ダンボウ</t>
    </rPh>
    <phoneticPr fontId="2"/>
  </si>
  <si>
    <t>ガラスの仕様：2層</t>
    <rPh sb="4" eb="6">
      <t>シヨウ</t>
    </rPh>
    <rPh sb="8" eb="9">
      <t>ソウ</t>
    </rPh>
    <phoneticPr fontId="2"/>
  </si>
  <si>
    <t>水平</t>
    <rPh sb="0" eb="2">
      <t>スイヘイ</t>
    </rPh>
    <phoneticPr fontId="2"/>
  </si>
  <si>
    <t>外壁総面積</t>
    <rPh sb="0" eb="2">
      <t>ガイヘキ</t>
    </rPh>
    <rPh sb="2" eb="5">
      <t>ソウメンセキ</t>
    </rPh>
    <phoneticPr fontId="2"/>
  </si>
  <si>
    <t>天井総面積</t>
    <rPh sb="0" eb="2">
      <t>テンジョウ</t>
    </rPh>
    <phoneticPr fontId="2"/>
  </si>
  <si>
    <t>床総面積</t>
    <rPh sb="0" eb="1">
      <t>ユカ</t>
    </rPh>
    <phoneticPr fontId="2"/>
  </si>
  <si>
    <t>ドア総面積</t>
    <phoneticPr fontId="2"/>
  </si>
  <si>
    <t>窓総面積</t>
    <rPh sb="0" eb="1">
      <t>マド</t>
    </rPh>
    <phoneticPr fontId="2"/>
  </si>
  <si>
    <t>←緑本　28.69(温暖地)</t>
    <rPh sb="1" eb="2">
      <t>ミドリ</t>
    </rPh>
    <rPh sb="2" eb="3">
      <t>ボン</t>
    </rPh>
    <rPh sb="10" eb="13">
      <t>オンダンチ</t>
    </rPh>
    <phoneticPr fontId="2"/>
  </si>
  <si>
    <t>←緑本 312.80(温暖地)</t>
    <rPh sb="1" eb="3">
      <t>ミドリボン</t>
    </rPh>
    <rPh sb="11" eb="14">
      <t>オンダンチ</t>
    </rPh>
    <phoneticPr fontId="2"/>
  </si>
  <si>
    <t>←緑本 144.79(温暖地)</t>
    <rPh sb="1" eb="3">
      <t>ミドリボン</t>
    </rPh>
    <rPh sb="11" eb="14">
      <t>オンダンチ</t>
    </rPh>
    <phoneticPr fontId="2"/>
  </si>
  <si>
    <t>UA値</t>
    <rPh sb="2" eb="3">
      <t>チ</t>
    </rPh>
    <phoneticPr fontId="2"/>
  </si>
  <si>
    <t>一般部</t>
    <rPh sb="0" eb="2">
      <t>イッパン</t>
    </rPh>
    <rPh sb="2" eb="3">
      <t>ブ</t>
    </rPh>
    <phoneticPr fontId="12"/>
  </si>
  <si>
    <t>外壁</t>
    <rPh sb="0" eb="2">
      <t>ガイヘキ</t>
    </rPh>
    <phoneticPr fontId="12"/>
  </si>
  <si>
    <t>和室</t>
    <rPh sb="0" eb="2">
      <t>ワシツ</t>
    </rPh>
    <phoneticPr fontId="12"/>
  </si>
  <si>
    <t>LD1</t>
  </si>
  <si>
    <t>LD2</t>
  </si>
  <si>
    <t>寝室</t>
    <rPh sb="0" eb="2">
      <t>シンシツ</t>
    </rPh>
    <phoneticPr fontId="12"/>
  </si>
  <si>
    <t>子供室1</t>
    <rPh sb="0" eb="2">
      <t>コドモ</t>
    </rPh>
    <rPh sb="2" eb="3">
      <t>シツ</t>
    </rPh>
    <phoneticPr fontId="12"/>
  </si>
  <si>
    <t>子供室2</t>
    <rPh sb="0" eb="2">
      <t>コドモ</t>
    </rPh>
    <rPh sb="2" eb="3">
      <t>シツ</t>
    </rPh>
    <phoneticPr fontId="12"/>
  </si>
  <si>
    <t>南</t>
    <rPh sb="0" eb="1">
      <t>ミナミ</t>
    </rPh>
    <phoneticPr fontId="12"/>
  </si>
  <si>
    <t>部屋名称</t>
    <rPh sb="0" eb="2">
      <t>ヘヤ</t>
    </rPh>
    <rPh sb="2" eb="4">
      <t>メイショウ</t>
    </rPh>
    <phoneticPr fontId="2"/>
  </si>
  <si>
    <t>部分名称</t>
    <rPh sb="0" eb="2">
      <t>ブブン</t>
    </rPh>
    <rPh sb="2" eb="4">
      <t>メイショウ</t>
    </rPh>
    <phoneticPr fontId="2"/>
  </si>
  <si>
    <t>方位</t>
    <rPh sb="0" eb="2">
      <t>ホウイ</t>
    </rPh>
    <phoneticPr fontId="2"/>
  </si>
  <si>
    <t>開口部面積</t>
    <rPh sb="0" eb="3">
      <t>カイコウブ</t>
    </rPh>
    <rPh sb="3" eb="5">
      <t>メンセキ</t>
    </rPh>
    <phoneticPr fontId="2"/>
  </si>
  <si>
    <t>部位面積
(開口部面積含む)</t>
    <rPh sb="0" eb="4">
      <t>ブイメンセキ</t>
    </rPh>
    <rPh sb="6" eb="11">
      <t>カイコウブメンセキ</t>
    </rPh>
    <rPh sb="11" eb="12">
      <t>フク</t>
    </rPh>
    <phoneticPr fontId="2"/>
  </si>
  <si>
    <t>部位面積
(開口部面積含まない)</t>
    <rPh sb="0" eb="4">
      <t>ブイメンセキ</t>
    </rPh>
    <rPh sb="6" eb="11">
      <t>カイコウブメンセキ</t>
    </rPh>
    <rPh sb="11" eb="12">
      <t>フク</t>
    </rPh>
    <phoneticPr fontId="2"/>
  </si>
  <si>
    <t>浴室</t>
    <rPh sb="0" eb="2">
      <t>ヨクシツ</t>
    </rPh>
    <phoneticPr fontId="12"/>
  </si>
  <si>
    <t>玄関ドア</t>
    <rPh sb="0" eb="2">
      <t>ゲンカン</t>
    </rPh>
    <phoneticPr fontId="12"/>
  </si>
  <si>
    <t>ｸﾛｰｾﾞｯﾄ</t>
  </si>
  <si>
    <t>西</t>
    <rPh sb="0" eb="1">
      <t>ニシ</t>
    </rPh>
    <phoneticPr fontId="12"/>
  </si>
  <si>
    <t>下屋</t>
    <rPh sb="0" eb="2">
      <t>ゲヤ</t>
    </rPh>
    <phoneticPr fontId="12"/>
  </si>
  <si>
    <t>台所</t>
    <rPh sb="0" eb="2">
      <t>ダイドコロ</t>
    </rPh>
    <phoneticPr fontId="12"/>
  </si>
  <si>
    <t>勝手口ドア</t>
    <rPh sb="0" eb="3">
      <t>カッテグチ</t>
    </rPh>
    <phoneticPr fontId="12"/>
  </si>
  <si>
    <t>トイレ</t>
  </si>
  <si>
    <t>洗面所</t>
    <rPh sb="0" eb="2">
      <t>センメン</t>
    </rPh>
    <rPh sb="2" eb="3">
      <t>ジョ</t>
    </rPh>
    <phoneticPr fontId="12"/>
  </si>
  <si>
    <t>2Fトイレ</t>
  </si>
  <si>
    <t>北</t>
    <rPh sb="0" eb="1">
      <t>キタ</t>
    </rPh>
    <phoneticPr fontId="12"/>
  </si>
  <si>
    <t>東</t>
    <rPh sb="0" eb="1">
      <t>ヒガシ</t>
    </rPh>
    <phoneticPr fontId="12"/>
  </si>
  <si>
    <t>天井</t>
    <rPh sb="0" eb="2">
      <t>テンジョウ</t>
    </rPh>
    <phoneticPr fontId="12"/>
  </si>
  <si>
    <t>2Fホール1</t>
  </si>
  <si>
    <t>2Fホール2</t>
  </si>
  <si>
    <t>床</t>
    <rPh sb="0" eb="1">
      <t>ユカ</t>
    </rPh>
    <phoneticPr fontId="12"/>
  </si>
  <si>
    <t>土間</t>
    <rPh sb="0" eb="2">
      <t>ドマ</t>
    </rPh>
    <phoneticPr fontId="12"/>
  </si>
  <si>
    <t>ηAC値</t>
    <rPh sb="3" eb="4">
      <t>チ</t>
    </rPh>
    <phoneticPr fontId="2"/>
  </si>
  <si>
    <r>
      <t>高さ
y</t>
    </r>
    <r>
      <rPr>
        <vertAlign val="subscript"/>
        <sz val="11"/>
        <rFont val="ＭＳ Ｐゴシック"/>
        <family val="3"/>
        <charset val="128"/>
      </rPr>
      <t>2</t>
    </r>
    <rPh sb="0" eb="1">
      <t>タカ</t>
    </rPh>
    <phoneticPr fontId="12"/>
  </si>
  <si>
    <r>
      <t xml:space="preserve">間隔
</t>
    </r>
    <r>
      <rPr>
        <sz val="11"/>
        <color theme="1"/>
        <rFont val="游ゴシック"/>
        <family val="2"/>
        <charset val="128"/>
        <scheme val="minor"/>
      </rPr>
      <t>y</t>
    </r>
    <r>
      <rPr>
        <vertAlign val="subscript"/>
        <sz val="11"/>
        <rFont val="ＭＳ Ｐゴシック"/>
        <family val="3"/>
        <charset val="128"/>
      </rPr>
      <t>1</t>
    </r>
    <rPh sb="0" eb="2">
      <t>カンカク</t>
    </rPh>
    <phoneticPr fontId="12"/>
  </si>
  <si>
    <r>
      <t xml:space="preserve">間隔
</t>
    </r>
    <r>
      <rPr>
        <sz val="11"/>
        <color theme="1"/>
        <rFont val="游ゴシック"/>
        <family val="2"/>
        <charset val="128"/>
        <scheme val="minor"/>
      </rPr>
      <t>y</t>
    </r>
    <r>
      <rPr>
        <vertAlign val="subscript"/>
        <sz val="11"/>
        <rFont val="ＭＳ Ｐゴシック"/>
        <family val="3"/>
        <charset val="128"/>
      </rPr>
      <t>1</t>
    </r>
    <r>
      <rPr>
        <sz val="11"/>
        <color theme="1"/>
        <rFont val="游ゴシック"/>
        <family val="2"/>
        <charset val="128"/>
        <scheme val="minor"/>
      </rPr>
      <t>+y</t>
    </r>
    <r>
      <rPr>
        <vertAlign val="subscript"/>
        <sz val="11"/>
        <rFont val="ＭＳ Ｐゴシック"/>
        <family val="3"/>
        <charset val="128"/>
      </rPr>
      <t>2</t>
    </r>
    <rPh sb="0" eb="2">
      <t>カンカク</t>
    </rPh>
    <phoneticPr fontId="12"/>
  </si>
  <si>
    <t>迫出
Z</t>
    <rPh sb="0" eb="2">
      <t>セリダ</t>
    </rPh>
    <phoneticPr fontId="12"/>
  </si>
  <si>
    <t>冷房期
取得日射補正係数</t>
    <rPh sb="0" eb="2">
      <t>レイボウ</t>
    </rPh>
    <rPh sb="2" eb="3">
      <t>キ</t>
    </rPh>
    <rPh sb="4" eb="6">
      <t>シュトク</t>
    </rPh>
    <rPh sb="6" eb="8">
      <t>ニッシャ</t>
    </rPh>
    <rPh sb="8" eb="10">
      <t>ホセイ</t>
    </rPh>
    <rPh sb="10" eb="12">
      <t>ケイスウ</t>
    </rPh>
    <phoneticPr fontId="2"/>
  </si>
  <si>
    <t>暖房期
取得日射補正係数</t>
    <rPh sb="0" eb="2">
      <t>ダンボウ</t>
    </rPh>
    <rPh sb="2" eb="3">
      <t>キ</t>
    </rPh>
    <rPh sb="4" eb="6">
      <t>シュトク</t>
    </rPh>
    <rPh sb="6" eb="8">
      <t>ニッシャ</t>
    </rPh>
    <rPh sb="8" eb="10">
      <t>ホセイ</t>
    </rPh>
    <rPh sb="10" eb="12">
      <t>ケイスウ</t>
    </rPh>
    <phoneticPr fontId="2"/>
  </si>
  <si>
    <t>m_c_wall</t>
    <phoneticPr fontId="2"/>
  </si>
  <si>
    <t>m_c</t>
    <phoneticPr fontId="2"/>
  </si>
  <si>
    <t>窓面積*冷房期
取得日射補正係数*方位係数</t>
    <rPh sb="0" eb="1">
      <t>マド</t>
    </rPh>
    <rPh sb="1" eb="3">
      <t>メンセキ</t>
    </rPh>
    <rPh sb="4" eb="6">
      <t>レイボウ</t>
    </rPh>
    <rPh sb="17" eb="19">
      <t>ホウイ</t>
    </rPh>
    <rPh sb="19" eb="21">
      <t>ケイスウ</t>
    </rPh>
    <phoneticPr fontId="2"/>
  </si>
  <si>
    <t>窓面積*暖房期
取得日射補正係数*方位係数</t>
    <rPh sb="0" eb="1">
      <t>マド</t>
    </rPh>
    <rPh sb="1" eb="3">
      <t>メンセキ</t>
    </rPh>
    <rPh sb="4" eb="6">
      <t>ダンボウ</t>
    </rPh>
    <rPh sb="17" eb="19">
      <t>ホウイ</t>
    </rPh>
    <rPh sb="19" eb="21">
      <t>ケイスウ</t>
    </rPh>
    <phoneticPr fontId="2"/>
  </si>
  <si>
    <t>m_c_win</t>
    <phoneticPr fontId="2"/>
  </si>
  <si>
    <t>R1 [m2K/W]</t>
    <phoneticPr fontId="2"/>
  </si>
  <si>
    <t>d1 [m]</t>
    <phoneticPr fontId="2"/>
  </si>
  <si>
    <t>λ1 [W/mK]</t>
    <phoneticPr fontId="2"/>
  </si>
  <si>
    <t>R2 [m2K/W]</t>
    <phoneticPr fontId="2"/>
  </si>
  <si>
    <t>d2 [m]</t>
    <phoneticPr fontId="2"/>
  </si>
  <si>
    <t>λ2 [W/mK]</t>
    <phoneticPr fontId="2"/>
  </si>
  <si>
    <t>R3 [m2K/W]</t>
    <phoneticPr fontId="2"/>
  </si>
  <si>
    <t>d3 [m]</t>
    <phoneticPr fontId="2"/>
  </si>
  <si>
    <t>λ3 [W/mK]</t>
    <phoneticPr fontId="2"/>
  </si>
  <si>
    <t>R4 [m2K/W]</t>
    <phoneticPr fontId="2"/>
  </si>
  <si>
    <t>d4 [m]</t>
    <phoneticPr fontId="2"/>
  </si>
  <si>
    <t>λ4 [W/mK]</t>
    <phoneticPr fontId="2"/>
  </si>
  <si>
    <t>R5 [m2K/W]</t>
    <phoneticPr fontId="2"/>
  </si>
  <si>
    <t>d5 [m]</t>
    <phoneticPr fontId="2"/>
  </si>
  <si>
    <t>λ5 [W/mK]</t>
    <phoneticPr fontId="2"/>
  </si>
  <si>
    <t>U [W/m2K]</t>
    <phoneticPr fontId="2"/>
  </si>
  <si>
    <t>Ri [m2K/W]</t>
    <phoneticPr fontId="2"/>
  </si>
  <si>
    <t>Ro [m2K/W]</t>
    <phoneticPr fontId="2"/>
  </si>
  <si>
    <t>断熱材</t>
    <rPh sb="0" eb="3">
      <t>ダンネツザイ</t>
    </rPh>
    <phoneticPr fontId="2"/>
  </si>
  <si>
    <t>窓以外の方位係数</t>
    <rPh sb="0" eb="1">
      <t>マド</t>
    </rPh>
    <rPh sb="1" eb="3">
      <t>イガイ</t>
    </rPh>
    <rPh sb="4" eb="8">
      <t>ホウイケイスウ</t>
    </rPh>
    <phoneticPr fontId="2"/>
  </si>
  <si>
    <t>窓　冷房
方位係数</t>
    <rPh sb="0" eb="1">
      <t>マド</t>
    </rPh>
    <rPh sb="2" eb="4">
      <t>レイボウ</t>
    </rPh>
    <rPh sb="5" eb="9">
      <t>ホウイケイスウ</t>
    </rPh>
    <phoneticPr fontId="2"/>
  </si>
  <si>
    <t>窓　暖房
方位係数</t>
    <rPh sb="0" eb="1">
      <t>マド</t>
    </rPh>
    <rPh sb="2" eb="4">
      <t>ダンボウ</t>
    </rPh>
    <rPh sb="5" eb="9">
      <t>ホウイケイスウ</t>
    </rPh>
    <phoneticPr fontId="2"/>
  </si>
  <si>
    <t>窓以外 冷房
方位係数</t>
    <rPh sb="0" eb="1">
      <t>マド</t>
    </rPh>
    <rPh sb="1" eb="3">
      <t>イガイ</t>
    </rPh>
    <rPh sb="4" eb="6">
      <t>レイボウ</t>
    </rPh>
    <rPh sb="7" eb="9">
      <t>ホウイ</t>
    </rPh>
    <rPh sb="9" eb="11">
      <t>ケイスウ</t>
    </rPh>
    <phoneticPr fontId="2"/>
  </si>
  <si>
    <t>窓以外 暖房
方位係数</t>
    <rPh sb="0" eb="1">
      <t>マド</t>
    </rPh>
    <rPh sb="1" eb="3">
      <t>イガイ</t>
    </rPh>
    <rPh sb="4" eb="6">
      <t>ダンボウ</t>
    </rPh>
    <rPh sb="7" eb="9">
      <t>ホウイ</t>
    </rPh>
    <rPh sb="9" eb="11">
      <t>ケイスウ</t>
    </rPh>
    <phoneticPr fontId="2"/>
  </si>
  <si>
    <t>ηd(窓)</t>
    <rPh sb="3" eb="4">
      <t>マド</t>
    </rPh>
    <phoneticPr fontId="2"/>
  </si>
  <si>
    <t>ηAH値</t>
    <rPh sb="3" eb="4">
      <t>チ</t>
    </rPh>
    <phoneticPr fontId="2"/>
  </si>
  <si>
    <t>m_h</t>
    <phoneticPr fontId="2"/>
  </si>
  <si>
    <t>m_h_wall</t>
    <phoneticPr fontId="2"/>
  </si>
  <si>
    <t>m_h_win</t>
    <phoneticPr fontId="2"/>
  </si>
  <si>
    <t>地域区分</t>
    <rPh sb="0" eb="2">
      <t>チイキ</t>
    </rPh>
    <rPh sb="2" eb="4">
      <t>クブン</t>
    </rPh>
    <phoneticPr fontId="2"/>
  </si>
  <si>
    <t>暖房/冷房</t>
    <rPh sb="0" eb="2">
      <t>ダンボウ</t>
    </rPh>
    <rPh sb="3" eb="5">
      <t>レイボウ</t>
    </rPh>
    <phoneticPr fontId="2"/>
  </si>
  <si>
    <t>目標UA値</t>
    <rPh sb="0" eb="2">
      <t>モクヒョウ</t>
    </rPh>
    <rPh sb="4" eb="5">
      <t>チ</t>
    </rPh>
    <phoneticPr fontId="2"/>
  </si>
  <si>
    <t>断熱材なしのとき</t>
    <rPh sb="0" eb="3">
      <t>ダンネツザイ</t>
    </rPh>
    <phoneticPr fontId="2"/>
  </si>
  <si>
    <t>U*A*H</t>
    <phoneticPr fontId="2"/>
  </si>
  <si>
    <t>fu</t>
    <phoneticPr fontId="2"/>
  </si>
  <si>
    <t>ηd値</t>
    <rPh sb="2" eb="3">
      <t>チ</t>
    </rPh>
    <phoneticPr fontId="2"/>
  </si>
  <si>
    <t>η*A*f*ν</t>
  </si>
  <si>
    <t>η*A*f*ν</t>
    <phoneticPr fontId="2"/>
  </si>
  <si>
    <t>ドア</t>
  </si>
  <si>
    <t>←検算値</t>
    <rPh sb="1" eb="3">
      <t>ケンザン</t>
    </rPh>
    <rPh sb="3" eb="4">
      <t>チ</t>
    </rPh>
    <phoneticPr fontId="2"/>
  </si>
  <si>
    <t>multiple</t>
    <phoneticPr fontId="2"/>
  </si>
  <si>
    <t>目標ηA値</t>
    <rPh sb="0" eb="2">
      <t>モクヒョウ</t>
    </rPh>
    <rPh sb="4" eb="5">
      <t>チ</t>
    </rPh>
    <phoneticPr fontId="2"/>
  </si>
  <si>
    <t>3</t>
  </si>
  <si>
    <t>全館連続</t>
    <rPh sb="0" eb="2">
      <t>ゼンカン</t>
    </rPh>
    <rPh sb="2" eb="4">
      <t>レンゾク</t>
    </rPh>
    <phoneticPr fontId="2"/>
  </si>
  <si>
    <t>居室間歇</t>
    <rPh sb="0" eb="4">
      <t>キョシツカンケツ</t>
    </rPh>
    <phoneticPr fontId="2"/>
  </si>
  <si>
    <t>居室連続</t>
    <rPh sb="0" eb="4">
      <t>キョシツレンゾク</t>
    </rPh>
    <phoneticPr fontId="2"/>
  </si>
  <si>
    <t>LDK 居室連続運転、その他居室 居室間歇運転</t>
  </si>
  <si>
    <t>LDK 居室間歇運転、その他居室 居室連続運転</t>
    <phoneticPr fontId="2"/>
  </si>
  <si>
    <t>H28省エネ基準の仕様基準における部位の熱貫流率</t>
    <phoneticPr fontId="2"/>
  </si>
  <si>
    <t>寒冷地</t>
    <rPh sb="0" eb="3">
      <t>カンレイチ</t>
    </rPh>
    <phoneticPr fontId="2"/>
  </si>
  <si>
    <t>温暖地</t>
    <rPh sb="0" eb="3">
      <t>オンダンチ</t>
    </rPh>
    <phoneticPr fontId="2"/>
  </si>
  <si>
    <t>仕様基準 U値</t>
    <rPh sb="0" eb="4">
      <t>シヨウキジュン</t>
    </rPh>
    <rPh sb="6" eb="7">
      <t>チ</t>
    </rPh>
    <phoneticPr fontId="2"/>
  </si>
  <si>
    <t>仕様基準 U値から
計算したUA値</t>
    <rPh sb="0" eb="4">
      <t>シヨウキジュン</t>
    </rPh>
    <rPh sb="6" eb="7">
      <t>チ</t>
    </rPh>
    <rPh sb="10" eb="12">
      <t>ケイサン</t>
    </rPh>
    <rPh sb="16" eb="17">
      <t>チ</t>
    </rPh>
    <phoneticPr fontId="2"/>
  </si>
  <si>
    <t>ηd(窓)/0.88</t>
    <rPh sb="3" eb="4">
      <t>マド</t>
    </rPh>
    <phoneticPr fontId="2"/>
  </si>
  <si>
    <t>壁面積*方位係数(冷房期)</t>
    <rPh sb="0" eb="1">
      <t>カベ</t>
    </rPh>
    <rPh sb="1" eb="3">
      <t>メンセキ</t>
    </rPh>
    <rPh sb="4" eb="6">
      <t>ホウイ</t>
    </rPh>
    <rPh sb="6" eb="8">
      <t>ケイスウ</t>
    </rPh>
    <rPh sb="9" eb="11">
      <t>レイボウ</t>
    </rPh>
    <rPh sb="11" eb="12">
      <t>キ</t>
    </rPh>
    <phoneticPr fontId="2"/>
  </si>
  <si>
    <t>壁面積*方位係数(暖房期)</t>
    <rPh sb="0" eb="1">
      <t>カベ</t>
    </rPh>
    <rPh sb="1" eb="3">
      <t>メンセキ</t>
    </rPh>
    <rPh sb="4" eb="6">
      <t>ホウイ</t>
    </rPh>
    <rPh sb="6" eb="8">
      <t>ケイスウ</t>
    </rPh>
    <rPh sb="9" eb="11">
      <t>ダンボウ</t>
    </rPh>
    <rPh sb="11" eb="12">
      <t>キ</t>
    </rPh>
    <phoneticPr fontId="2"/>
  </si>
  <si>
    <t>s</t>
  </si>
  <si>
    <t>e</t>
  </si>
  <si>
    <t>n</t>
  </si>
  <si>
    <t>w</t>
  </si>
  <si>
    <t>窓ηd &gt; 0.88フラグ</t>
    <rPh sb="0" eb="1">
      <t>マド</t>
    </rPh>
    <phoneticPr fontId="2"/>
  </si>
  <si>
    <t>窓面積*冷房期
取得日射補正係数*方位係数
窓 ηd &gt;0.88の場合</t>
    <rPh sb="0" eb="1">
      <t>マド</t>
    </rPh>
    <rPh sb="1" eb="3">
      <t>メンセキ</t>
    </rPh>
    <rPh sb="4" eb="6">
      <t>レイボウ</t>
    </rPh>
    <rPh sb="17" eb="19">
      <t>ホウイ</t>
    </rPh>
    <rPh sb="19" eb="21">
      <t>ケイスウ</t>
    </rPh>
    <rPh sb="22" eb="23">
      <t>マド</t>
    </rPh>
    <phoneticPr fontId="2"/>
  </si>
  <si>
    <t>窓面積
窓ηd &gt;0.88の場合</t>
    <rPh sb="0" eb="1">
      <t>マド</t>
    </rPh>
    <rPh sb="1" eb="3">
      <t>メンセキ</t>
    </rPh>
    <rPh sb="4" eb="5">
      <t>マド</t>
    </rPh>
    <rPh sb="14" eb="16">
      <t>バアイ</t>
    </rPh>
    <phoneticPr fontId="2"/>
  </si>
  <si>
    <t>窓面積*暖房期
取得日射補正係数*方位係数
窓 ηd &gt;0.88の場合</t>
    <rPh sb="0" eb="1">
      <t>マド</t>
    </rPh>
    <rPh sb="1" eb="3">
      <t>メンセキ</t>
    </rPh>
    <rPh sb="4" eb="6">
      <t>ダンボウ</t>
    </rPh>
    <rPh sb="17" eb="19">
      <t>ホウイ</t>
    </rPh>
    <rPh sb="19" eb="21">
      <t>ケイスウ</t>
    </rPh>
    <rPh sb="22" eb="23">
      <t>マド</t>
    </rPh>
    <phoneticPr fontId="2"/>
  </si>
  <si>
    <t>U*A*H
窓 ηd &gt; 0.88の場合</t>
    <rPh sb="6" eb="7">
      <t>マド</t>
    </rPh>
    <rPh sb="18" eb="20">
      <t>バアイ</t>
    </rPh>
    <phoneticPr fontId="2"/>
  </si>
  <si>
    <t>η*A*f*ν
窓ηd &gt; 0.88の場合</t>
    <rPh sb="8" eb="9">
      <t>マド</t>
    </rPh>
    <rPh sb="19" eb="21">
      <t>バアイ</t>
    </rPh>
    <phoneticPr fontId="2"/>
  </si>
  <si>
    <t>窓 ηd &gt; 0.88の場合</t>
    <rPh sb="0" eb="1">
      <t>マド</t>
    </rPh>
    <rPh sb="12" eb="14">
      <t>バアイ</t>
    </rPh>
    <phoneticPr fontId="2"/>
  </si>
  <si>
    <t>←計算値</t>
    <rPh sb="1" eb="3">
      <t>ケイサン</t>
    </rPh>
    <rPh sb="3" eb="4">
      <t>チ</t>
    </rPh>
    <phoneticPr fontId="2"/>
  </si>
  <si>
    <t>窓 ηd &lt; 0.88の場合</t>
    <rPh sb="0" eb="1">
      <t>マド</t>
    </rPh>
    <rPh sb="12" eb="14">
      <t>バアイ</t>
    </rPh>
    <phoneticPr fontId="2"/>
  </si>
  <si>
    <t>寒冷地 窓面積[m2]</t>
    <rPh sb="0" eb="3">
      <t>カンレイチ</t>
    </rPh>
    <rPh sb="4" eb="5">
      <t>マド</t>
    </rPh>
    <rPh sb="5" eb="7">
      <t>メンセキ</t>
    </rPh>
    <phoneticPr fontId="2"/>
  </si>
  <si>
    <t>温暖地 窓面積 [m2]</t>
    <rPh sb="0" eb="3">
      <t>オンダンチ</t>
    </rPh>
    <rPh sb="4" eb="5">
      <t>マド</t>
    </rPh>
    <rPh sb="5" eb="7">
      <t>メンセキ</t>
    </rPh>
    <phoneticPr fontId="2"/>
  </si>
  <si>
    <t>最終的な窓の性能値</t>
    <rPh sb="0" eb="3">
      <t>サイシュウテキ</t>
    </rPh>
    <rPh sb="4" eb="5">
      <t>マド</t>
    </rPh>
    <rPh sb="6" eb="9">
      <t>セイノウチ</t>
    </rPh>
    <phoneticPr fontId="2"/>
  </si>
  <si>
    <t>←窓ηd 0.88を超えるときは1、超えないときは0</t>
    <rPh sb="1" eb="2">
      <t>マド</t>
    </rPh>
    <rPh sb="10" eb="11">
      <t>コ</t>
    </rPh>
    <rPh sb="18" eb="19">
      <t>コ</t>
    </rPh>
    <phoneticPr fontId="2"/>
  </si>
  <si>
    <t>←目標値</t>
    <rPh sb="1" eb="4">
      <t>モクヒョウチ</t>
    </rPh>
    <phoneticPr fontId="2"/>
  </si>
  <si>
    <t>←窓 ηdが0.88超えない場合</t>
    <rPh sb="1" eb="2">
      <t>マド</t>
    </rPh>
    <rPh sb="10" eb="11">
      <t>コ</t>
    </rPh>
    <rPh sb="14" eb="16">
      <t>バアイ</t>
    </rPh>
    <phoneticPr fontId="2"/>
  </si>
  <si>
    <t>←窓 ηdが0.88超える場合</t>
    <rPh sb="1" eb="2">
      <t>マド</t>
    </rPh>
    <rPh sb="10" eb="11">
      <t>コ</t>
    </rPh>
    <rPh sb="13" eb="15">
      <t>バアイ</t>
    </rPh>
    <phoneticPr fontId="2"/>
  </si>
  <si>
    <t>W/(m2・K)</t>
    <phoneticPr fontId="2"/>
  </si>
  <si>
    <t>－</t>
    <phoneticPr fontId="2"/>
  </si>
  <si>
    <t>UA</t>
    <phoneticPr fontId="2"/>
  </si>
  <si>
    <t>ηA</t>
    <phoneticPr fontId="2"/>
  </si>
  <si>
    <t>目標値と検算値の確認(一致:True)</t>
    <rPh sb="0" eb="2">
      <t>モクヒョウ</t>
    </rPh>
    <rPh sb="2" eb="3">
      <t>チ</t>
    </rPh>
    <rPh sb="4" eb="6">
      <t>ケンザン</t>
    </rPh>
    <rPh sb="6" eb="7">
      <t>チ</t>
    </rPh>
    <rPh sb="8" eb="10">
      <t>カクニン</t>
    </rPh>
    <rPh sb="11" eb="13">
      <t>イッチ</t>
    </rPh>
    <phoneticPr fontId="2"/>
  </si>
  <si>
    <t>土間</t>
    <rPh sb="0" eb="2">
      <t>ドマ</t>
    </rPh>
    <phoneticPr fontId="2"/>
  </si>
  <si>
    <t>mor</t>
  </si>
  <si>
    <t>mor</t>
    <phoneticPr fontId="2"/>
  </si>
  <si>
    <t>oor</t>
  </si>
  <si>
    <t>oor</t>
    <phoneticPr fontId="2"/>
  </si>
  <si>
    <t>nor</t>
  </si>
  <si>
    <t>nor</t>
    <phoneticPr fontId="2"/>
  </si>
  <si>
    <t>主たる居室</t>
    <rPh sb="0" eb="1">
      <t>シュ</t>
    </rPh>
    <rPh sb="3" eb="5">
      <t>キョシツ</t>
    </rPh>
    <phoneticPr fontId="2"/>
  </si>
  <si>
    <t>その他居室</t>
    <rPh sb="2" eb="3">
      <t>タ</t>
    </rPh>
    <rPh sb="3" eb="5">
      <t>キョシツ</t>
    </rPh>
    <phoneticPr fontId="2"/>
  </si>
  <si>
    <t>非居室</t>
    <rPh sb="0" eb="1">
      <t>ヒ</t>
    </rPh>
    <rPh sb="1" eb="3">
      <t>キョシツ</t>
    </rPh>
    <phoneticPr fontId="2"/>
  </si>
  <si>
    <t>n</t>
    <phoneticPr fontId="2"/>
  </si>
  <si>
    <t>e</t>
    <phoneticPr fontId="2"/>
  </si>
  <si>
    <t>s</t>
    <phoneticPr fontId="2"/>
  </si>
  <si>
    <t>w</t>
    <phoneticPr fontId="2"/>
  </si>
  <si>
    <t>温暖地</t>
    <rPh sb="0" eb="2">
      <t>オンダン</t>
    </rPh>
    <rPh sb="2" eb="3">
      <t>チ</t>
    </rPh>
    <phoneticPr fontId="2"/>
  </si>
  <si>
    <t>計算で使用する</t>
    <rPh sb="0" eb="2">
      <t>ケイサン</t>
    </rPh>
    <rPh sb="3" eb="5">
      <t>シヨウ</t>
    </rPh>
    <phoneticPr fontId="2"/>
  </si>
  <si>
    <t>階間(L4)</t>
    <phoneticPr fontId="2"/>
  </si>
  <si>
    <t>非居室</t>
    <rPh sb="0" eb="1">
      <t>ヒ</t>
    </rPh>
    <rPh sb="1" eb="3">
      <t>キョシツ</t>
    </rPh>
    <phoneticPr fontId="8"/>
  </si>
  <si>
    <t>その他居室</t>
    <rPh sb="2" eb="5">
      <t>タキョシツ</t>
    </rPh>
    <phoneticPr fontId="2"/>
  </si>
  <si>
    <t>downward</t>
    <phoneticPr fontId="2"/>
  </si>
  <si>
    <t>間仕切</t>
    <rPh sb="0" eb="3">
      <t>マジキ</t>
    </rPh>
    <phoneticPr fontId="2"/>
  </si>
  <si>
    <t>遅れ家具熱容量[J/K]</t>
    <rPh sb="0" eb="1">
      <t>オク</t>
    </rPh>
    <rPh sb="2" eb="4">
      <t>カグ</t>
    </rPh>
    <rPh sb="4" eb="7">
      <t>ネツヨウリョウ</t>
    </rPh>
    <phoneticPr fontId="2"/>
  </si>
  <si>
    <t>2F床</t>
    <phoneticPr fontId="2"/>
  </si>
  <si>
    <t>H</t>
    <phoneticPr fontId="2"/>
  </si>
  <si>
    <t>居室間歇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</si>
</sst>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λ=&quot;\ General\ &quot;W/mK&quot;"/>
    <numFmt numFmtId="177" formatCode="0.000"/>
    <numFmt numFmtId="178" formatCode="0.00_ "/>
    <numFmt numFmtId="179" formatCode="0.00000"/>
    <numFmt numFmtId="180" formatCode="0.000_ "/>
  </numFmts>
  <fonts count="14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color theme="1"/>
      <name val="游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.5"/>
      <color theme="1"/>
      <name val="游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bscript"/>
      <sz val="11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Border="0">
      <alignment vertical="center"/>
    </xf>
  </cellStyleXfs>
  <cellXfs count="15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2" fontId="3" fillId="0" borderId="1" xfId="0" applyNumberFormat="1" applyFont="1" applyBorder="1" applyAlignment="1">
      <alignment horizontal="center" vertical="center"/>
    </xf>
    <xf numFmtId="0" fontId="3" fillId="5" borderId="7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2" fontId="3" fillId="0" borderId="1" xfId="0" applyNumberFormat="1" applyFont="1" applyBorder="1">
      <alignment vertical="center"/>
    </xf>
    <xf numFmtId="0" fontId="3" fillId="6" borderId="2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176" fontId="3" fillId="6" borderId="4" xfId="0" applyNumberFormat="1" applyFont="1" applyFill="1" applyBorder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horizontal="centerContinuous" vertical="center"/>
    </xf>
    <xf numFmtId="0" fontId="5" fillId="7" borderId="3" xfId="0" applyFont="1" applyFill="1" applyBorder="1" applyAlignment="1">
      <alignment horizontal="centerContinuous" vertical="center"/>
    </xf>
    <xf numFmtId="2" fontId="5" fillId="7" borderId="10" xfId="0" applyNumberFormat="1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10" xfId="0" applyFont="1" applyFill="1" applyBorder="1" applyAlignment="1">
      <alignment horizontal="left" vertical="center"/>
    </xf>
    <xf numFmtId="0" fontId="5" fillId="7" borderId="11" xfId="0" applyFont="1" applyFill="1" applyBorder="1" applyAlignment="1">
      <alignment horizontal="centerContinuous" vertical="center"/>
    </xf>
    <xf numFmtId="2" fontId="5" fillId="7" borderId="12" xfId="0" applyNumberFormat="1" applyFont="1" applyFill="1" applyBorder="1" applyAlignment="1">
      <alignment horizontal="centerContinuous" vertical="center"/>
    </xf>
    <xf numFmtId="0" fontId="5" fillId="7" borderId="10" xfId="0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Continuous" vertical="center"/>
    </xf>
    <xf numFmtId="2" fontId="5" fillId="7" borderId="4" xfId="0" applyNumberFormat="1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centerContinuous" vertical="center"/>
    </xf>
    <xf numFmtId="176" fontId="5" fillId="7" borderId="14" xfId="0" applyNumberFormat="1" applyFont="1" applyFill="1" applyBorder="1" applyAlignment="1">
      <alignment horizontal="centerContinuous" vertical="center"/>
    </xf>
    <xf numFmtId="176" fontId="5" fillId="7" borderId="0" xfId="0" applyNumberFormat="1" applyFont="1" applyFill="1" applyAlignment="1">
      <alignment horizontal="centerContinuous" vertical="center"/>
    </xf>
    <xf numFmtId="0" fontId="5" fillId="7" borderId="15" xfId="0" applyFont="1" applyFill="1" applyBorder="1" applyAlignment="1">
      <alignment horizontal="left" vertical="top"/>
    </xf>
    <xf numFmtId="2" fontId="5" fillId="7" borderId="12" xfId="0" applyNumberFormat="1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Continuous" vertical="center"/>
    </xf>
    <xf numFmtId="176" fontId="5" fillId="7" borderId="13" xfId="0" applyNumberFormat="1" applyFont="1" applyFill="1" applyBorder="1" applyAlignment="1">
      <alignment horizontal="centerContinuous" vertical="center"/>
    </xf>
    <xf numFmtId="2" fontId="5" fillId="7" borderId="5" xfId="0" applyNumberFormat="1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Continuous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2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5" fillId="8" borderId="1" xfId="0" applyFont="1" applyFill="1" applyBorder="1">
      <alignment vertical="center"/>
    </xf>
    <xf numFmtId="2" fontId="5" fillId="0" borderId="12" xfId="0" applyNumberFormat="1" applyFont="1" applyBorder="1">
      <alignment vertical="center"/>
    </xf>
    <xf numFmtId="38" fontId="5" fillId="0" borderId="11" xfId="0" applyNumberFormat="1" applyFont="1" applyBorder="1">
      <alignment vertical="center"/>
    </xf>
    <xf numFmtId="38" fontId="5" fillId="0" borderId="12" xfId="0" applyNumberFormat="1" applyFont="1" applyBorder="1">
      <alignment vertical="center"/>
    </xf>
    <xf numFmtId="2" fontId="5" fillId="0" borderId="12" xfId="0" applyNumberFormat="1" applyFont="1" applyBorder="1" applyAlignment="1">
      <alignment horizontal="right" vertical="center"/>
    </xf>
    <xf numFmtId="38" fontId="5" fillId="0" borderId="11" xfId="0" applyNumberFormat="1" applyFont="1" applyBorder="1" applyAlignment="1">
      <alignment horizontal="left" vertical="center"/>
    </xf>
    <xf numFmtId="38" fontId="5" fillId="0" borderId="12" xfId="0" applyNumberFormat="1" applyFont="1" applyBorder="1" applyAlignment="1">
      <alignment horizontal="left" vertical="center"/>
    </xf>
    <xf numFmtId="38" fontId="5" fillId="0" borderId="11" xfId="0" applyNumberFormat="1" applyFont="1" applyBorder="1" applyAlignment="1">
      <alignment horizontal="centerContinuous" vertical="center"/>
    </xf>
    <xf numFmtId="2" fontId="5" fillId="0" borderId="12" xfId="0" applyNumberFormat="1" applyFont="1" applyBorder="1" applyAlignment="1">
      <alignment horizontal="centerContinuous" vertical="center"/>
    </xf>
    <xf numFmtId="38" fontId="5" fillId="0" borderId="12" xfId="0" applyNumberFormat="1" applyFont="1" applyBorder="1" applyAlignment="1">
      <alignment horizontal="centerContinuous" vertical="center"/>
    </xf>
    <xf numFmtId="38" fontId="5" fillId="0" borderId="10" xfId="0" applyNumberFormat="1" applyFont="1" applyBorder="1" applyAlignment="1">
      <alignment horizontal="right" vertical="center"/>
    </xf>
    <xf numFmtId="38" fontId="5" fillId="0" borderId="10" xfId="0" applyNumberFormat="1" applyFont="1" applyBorder="1" applyAlignment="1">
      <alignment horizontal="centerContinuous" vertical="center"/>
    </xf>
    <xf numFmtId="0" fontId="5" fillId="8" borderId="14" xfId="0" applyFont="1" applyFill="1" applyBorder="1">
      <alignment vertical="center"/>
    </xf>
    <xf numFmtId="0" fontId="5" fillId="8" borderId="15" xfId="0" applyFont="1" applyFill="1" applyBorder="1">
      <alignment vertical="center"/>
    </xf>
    <xf numFmtId="2" fontId="5" fillId="2" borderId="1" xfId="0" applyNumberFormat="1" applyFont="1" applyFill="1" applyBorder="1">
      <alignment vertical="center"/>
    </xf>
    <xf numFmtId="177" fontId="5" fillId="2" borderId="1" xfId="0" applyNumberFormat="1" applyFont="1" applyFill="1" applyBorder="1">
      <alignment vertical="center"/>
    </xf>
    <xf numFmtId="177" fontId="5" fillId="9" borderId="1" xfId="0" applyNumberFormat="1" applyFont="1" applyFill="1" applyBorder="1" applyAlignment="1">
      <alignment horizontal="right" vertical="center"/>
    </xf>
    <xf numFmtId="2" fontId="5" fillId="2" borderId="1" xfId="0" applyNumberFormat="1" applyFont="1" applyFill="1" applyBorder="1" applyAlignment="1">
      <alignment horizontal="right" vertical="center"/>
    </xf>
    <xf numFmtId="0" fontId="5" fillId="8" borderId="4" xfId="0" applyFont="1" applyFill="1" applyBorder="1">
      <alignment vertical="center"/>
    </xf>
    <xf numFmtId="0" fontId="5" fillId="8" borderId="5" xfId="0" applyFont="1" applyFill="1" applyBorder="1">
      <alignment vertical="center"/>
    </xf>
    <xf numFmtId="38" fontId="5" fillId="0" borderId="1" xfId="0" applyNumberFormat="1" applyFont="1" applyBorder="1" applyAlignment="1">
      <alignment horizontal="centerContinuous" vertical="center"/>
    </xf>
    <xf numFmtId="38" fontId="5" fillId="0" borderId="1" xfId="0" applyNumberFormat="1" applyFont="1" applyBorder="1" applyAlignment="1">
      <alignment horizontal="left" vertical="center"/>
    </xf>
    <xf numFmtId="2" fontId="0" fillId="0" borderId="0" xfId="0" applyNumberFormat="1">
      <alignment vertical="center"/>
    </xf>
    <xf numFmtId="0" fontId="0" fillId="10" borderId="1" xfId="0" applyFill="1" applyBorder="1" applyAlignment="1"/>
    <xf numFmtId="0" fontId="0" fillId="10" borderId="1" xfId="0" applyFill="1" applyBorder="1" applyAlignment="1">
      <alignment wrapText="1"/>
    </xf>
    <xf numFmtId="0" fontId="0" fillId="11" borderId="0" xfId="0" applyFill="1" applyAlignment="1"/>
    <xf numFmtId="0" fontId="0" fillId="11" borderId="1" xfId="0" applyFill="1" applyBorder="1" applyAlignment="1"/>
    <xf numFmtId="0" fontId="0" fillId="12" borderId="1" xfId="0" applyFill="1" applyBorder="1" applyAlignment="1"/>
    <xf numFmtId="0" fontId="5" fillId="0" borderId="0" xfId="0" applyFont="1">
      <alignment vertical="center"/>
    </xf>
    <xf numFmtId="2" fontId="0" fillId="12" borderId="1" xfId="0" applyNumberFormat="1" applyFill="1" applyBorder="1" applyAlignment="1"/>
    <xf numFmtId="0" fontId="0" fillId="0" borderId="1" xfId="0" applyBorder="1" applyAlignment="1"/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/>
    <xf numFmtId="0" fontId="0" fillId="14" borderId="1" xfId="0" applyFill="1" applyBorder="1">
      <alignment vertical="center"/>
    </xf>
    <xf numFmtId="0" fontId="9" fillId="0" borderId="0" xfId="1"/>
    <xf numFmtId="0" fontId="9" fillId="11" borderId="1" xfId="1" applyFill="1" applyBorder="1"/>
    <xf numFmtId="0" fontId="9" fillId="11" borderId="7" xfId="1" applyFill="1" applyBorder="1"/>
    <xf numFmtId="0" fontId="1" fillId="13" borderId="1" xfId="0" applyFont="1" applyFill="1" applyBorder="1">
      <alignment vertical="center"/>
    </xf>
    <xf numFmtId="0" fontId="5" fillId="9" borderId="1" xfId="0" applyFont="1" applyFill="1" applyBorder="1" applyAlignment="1">
      <alignment horizontal="right" vertical="center"/>
    </xf>
    <xf numFmtId="0" fontId="5" fillId="9" borderId="12" xfId="0" applyFont="1" applyFill="1" applyBorder="1" applyAlignment="1">
      <alignment horizontal="right" vertical="center"/>
    </xf>
    <xf numFmtId="38" fontId="10" fillId="0" borderId="11" xfId="0" applyNumberFormat="1" applyFont="1" applyBorder="1" applyAlignment="1">
      <alignment horizontal="left" vertical="center"/>
    </xf>
    <xf numFmtId="0" fontId="0" fillId="15" borderId="1" xfId="0" applyFill="1" applyBorder="1" applyAlignment="1"/>
    <xf numFmtId="0" fontId="0" fillId="9" borderId="1" xfId="0" applyFill="1" applyBorder="1" applyAlignment="1"/>
    <xf numFmtId="0" fontId="0" fillId="16" borderId="1" xfId="0" applyFill="1" applyBorder="1" applyAlignment="1"/>
    <xf numFmtId="179" fontId="9" fillId="0" borderId="0" xfId="1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0" fontId="0" fillId="17" borderId="16" xfId="2" applyFont="1" applyFill="1" applyBorder="1" applyAlignment="1">
      <alignment horizontal="center" vertical="center"/>
    </xf>
    <xf numFmtId="0" fontId="11" fillId="17" borderId="17" xfId="2" applyFill="1" applyBorder="1" applyAlignment="1">
      <alignment horizontal="center" vertical="center"/>
    </xf>
    <xf numFmtId="0" fontId="0" fillId="17" borderId="18" xfId="2" applyFont="1" applyFill="1" applyBorder="1" applyAlignment="1">
      <alignment horizontal="center" vertical="center"/>
    </xf>
    <xf numFmtId="0" fontId="11" fillId="17" borderId="18" xfId="2" applyFill="1" applyBorder="1" applyAlignment="1">
      <alignment horizontal="center" vertical="center"/>
    </xf>
    <xf numFmtId="0" fontId="11" fillId="17" borderId="19" xfId="2" applyFill="1" applyBorder="1" applyAlignment="1">
      <alignment horizontal="center" vertical="center"/>
    </xf>
    <xf numFmtId="178" fontId="11" fillId="0" borderId="20" xfId="2" applyNumberFormat="1" applyBorder="1">
      <alignment vertical="center"/>
    </xf>
    <xf numFmtId="0" fontId="11" fillId="18" borderId="19" xfId="2" applyFill="1" applyBorder="1" applyAlignment="1">
      <alignment horizontal="center" vertical="center"/>
    </xf>
    <xf numFmtId="0" fontId="0" fillId="18" borderId="19" xfId="2" applyFont="1" applyFill="1" applyBorder="1" applyAlignment="1">
      <alignment horizontal="center" vertical="center"/>
    </xf>
    <xf numFmtId="178" fontId="11" fillId="0" borderId="17" xfId="2" applyNumberFormat="1" applyBorder="1">
      <alignment vertical="center"/>
    </xf>
    <xf numFmtId="178" fontId="11" fillId="0" borderId="21" xfId="2" applyNumberFormat="1" applyBorder="1">
      <alignment vertical="center"/>
    </xf>
    <xf numFmtId="0" fontId="0" fillId="17" borderId="22" xfId="2" applyFont="1" applyFill="1" applyBorder="1" applyAlignment="1">
      <alignment horizontal="center" vertical="center"/>
    </xf>
    <xf numFmtId="0" fontId="11" fillId="17" borderId="16" xfId="2" applyFill="1" applyBorder="1" applyAlignment="1">
      <alignment horizontal="center" vertical="center"/>
    </xf>
    <xf numFmtId="0" fontId="11" fillId="17" borderId="17" xfId="2" applyFill="1" applyBorder="1">
      <alignment vertical="center"/>
    </xf>
    <xf numFmtId="0" fontId="11" fillId="17" borderId="23" xfId="2" applyFill="1" applyBorder="1" applyAlignment="1">
      <alignment horizontal="center" vertical="center"/>
    </xf>
    <xf numFmtId="0" fontId="11" fillId="17" borderId="24" xfId="2" applyFill="1" applyBorder="1" applyAlignment="1">
      <alignment horizontal="center" vertical="center"/>
    </xf>
    <xf numFmtId="0" fontId="11" fillId="18" borderId="24" xfId="2" applyFill="1" applyBorder="1" applyAlignment="1">
      <alignment horizontal="center" vertical="center"/>
    </xf>
    <xf numFmtId="0" fontId="11" fillId="18" borderId="25" xfId="2" applyFill="1" applyBorder="1" applyAlignment="1">
      <alignment horizontal="center" vertical="center"/>
    </xf>
    <xf numFmtId="178" fontId="11" fillId="0" borderId="26" xfId="2" applyNumberFormat="1" applyBorder="1">
      <alignment vertical="center"/>
    </xf>
    <xf numFmtId="178" fontId="11" fillId="15" borderId="17" xfId="2" applyNumberFormat="1" applyFill="1" applyBorder="1">
      <alignment vertical="center"/>
    </xf>
    <xf numFmtId="0" fontId="0" fillId="17" borderId="27" xfId="2" applyFont="1" applyFill="1" applyBorder="1" applyAlignment="1">
      <alignment horizontal="center" vertical="center"/>
    </xf>
    <xf numFmtId="0" fontId="11" fillId="0" borderId="28" xfId="2" applyBorder="1" applyAlignment="1">
      <alignment horizontal="center" vertical="center" wrapText="1"/>
    </xf>
    <xf numFmtId="0" fontId="11" fillId="0" borderId="29" xfId="2" applyBorder="1" applyAlignment="1">
      <alignment horizontal="center" vertical="center" wrapText="1"/>
    </xf>
    <xf numFmtId="0" fontId="11" fillId="0" borderId="30" xfId="2" applyBorder="1" applyAlignment="1">
      <alignment horizontal="center" vertical="center" wrapText="1"/>
    </xf>
    <xf numFmtId="0" fontId="11" fillId="0" borderId="0" xfId="2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2" xfId="0" applyBorder="1" applyAlignment="1"/>
    <xf numFmtId="0" fontId="0" fillId="0" borderId="11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11" borderId="34" xfId="0" applyFill="1" applyBorder="1" applyAlignment="1"/>
    <xf numFmtId="0" fontId="0" fillId="0" borderId="35" xfId="0" applyBorder="1">
      <alignment vertical="center"/>
    </xf>
    <xf numFmtId="0" fontId="0" fillId="11" borderId="36" xfId="0" applyFill="1" applyBorder="1" applyAlignment="1"/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13" borderId="1" xfId="0" applyFill="1" applyBorder="1" applyAlignment="1"/>
    <xf numFmtId="0" fontId="0" fillId="19" borderId="1" xfId="0" applyFill="1" applyBorder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178" fontId="11" fillId="0" borderId="0" xfId="2" applyNumberFormat="1" applyBorder="1">
      <alignment vertical="center"/>
    </xf>
    <xf numFmtId="178" fontId="11" fillId="15" borderId="0" xfId="2" applyNumberFormat="1" applyFill="1" applyBorder="1">
      <alignment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0" borderId="1" xfId="0" applyBorder="1" applyAlignment="1">
      <alignment horizontal="centerContinuous" vertical="center"/>
    </xf>
    <xf numFmtId="0" fontId="0" fillId="15" borderId="1" xfId="0" applyFill="1" applyBorder="1">
      <alignment vertical="center"/>
    </xf>
    <xf numFmtId="0" fontId="0" fillId="1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0" fillId="14" borderId="1" xfId="0" applyFill="1" applyBorder="1" applyAlignment="1">
      <alignment wrapText="1"/>
    </xf>
  </cellXfs>
  <cellStyles count="3">
    <cellStyle name="標準" xfId="0" builtinId="0"/>
    <cellStyle name="標準 2" xfId="1" xr:uid="{B0891789-7DFC-41DA-A284-8DB741F72F93}"/>
    <cellStyle name="標準_xxx-sim07" xfId="2" xr:uid="{175CD8A3-C0B5-4BEF-AF0D-E9BF3A5BF7B4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481117</xdr:colOff>
      <xdr:row>10</xdr:row>
      <xdr:rowOff>30904</xdr:rowOff>
    </xdr:from>
    <xdr:to>
      <xdr:col>32</xdr:col>
      <xdr:colOff>355107</xdr:colOff>
      <xdr:row>19</xdr:row>
      <xdr:rowOff>205952</xdr:rowOff>
    </xdr:to>
    <xdr:sp macro="" textlink="">
      <xdr:nvSpPr>
        <xdr:cNvPr id="2" name="テキスト ボックス 7">
          <a:extLst>
            <a:ext uri="{FF2B5EF4-FFF2-40B4-BE49-F238E27FC236}">
              <a16:creationId xmlns:a16="http://schemas.microsoft.com/office/drawing/2014/main" id="{A1DA23D9-7DF2-DB38-E32C-7922D39F4D96}"/>
            </a:ext>
          </a:extLst>
        </xdr:cNvPr>
        <xdr:cNvSpPr txBox="1"/>
      </xdr:nvSpPr>
      <xdr:spPr>
        <a:xfrm>
          <a:off x="17710784" y="2359237"/>
          <a:ext cx="5207990" cy="2037715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m_c_win = m_c - m_c_wall</a:t>
          </a:r>
          <a:r>
            <a:rPr lang="en-US" altLang="ja-JP"/>
            <a:t> = Σ(</a:t>
          </a:r>
          <a:r>
            <a:rPr lang="ja-JP" altLang="en-US"/>
            <a:t>窓のみ</a:t>
          </a:r>
          <a:r>
            <a:rPr lang="en-US" altLang="ja-JP"/>
            <a:t>)A*ηc*νc</a:t>
          </a:r>
        </a:p>
        <a:p>
          <a:r>
            <a:rPr lang="en-US" altLang="ja-JP"/>
            <a:t>= Σ(</a:t>
          </a:r>
          <a:r>
            <a:rPr lang="ja-JP" altLang="en-US"/>
            <a:t>窓のみ</a:t>
          </a:r>
          <a:r>
            <a:rPr lang="en-US" altLang="ja-JP"/>
            <a:t>)A*(</a:t>
          </a:r>
          <a:r>
            <a:rPr kumimoji="1" lang="en-US" altLang="ja-JP"/>
            <a:t>fc * ηd</a:t>
          </a:r>
          <a:r>
            <a:rPr lang="en-US" altLang="ja-JP"/>
            <a:t>)*νc</a:t>
          </a:r>
        </a:p>
        <a:p>
          <a:r>
            <a:rPr kumimoji="1" lang="en-US" altLang="ja-JP"/>
            <a:t>= ηd*</a:t>
          </a:r>
          <a:r>
            <a:rPr lang="en-US" altLang="ja-JP"/>
            <a:t> Σ(</a:t>
          </a:r>
          <a:r>
            <a:rPr lang="ja-JP" altLang="en-US"/>
            <a:t>窓のみ</a:t>
          </a:r>
          <a:r>
            <a:rPr lang="en-US" altLang="ja-JP"/>
            <a:t>)A*</a:t>
          </a:r>
          <a:r>
            <a:rPr kumimoji="1" lang="en-US" altLang="ja-JP"/>
            <a:t>fc </a:t>
          </a:r>
          <a:r>
            <a:rPr lang="en-US" altLang="ja-JP"/>
            <a:t>*νc</a:t>
          </a:r>
        </a:p>
        <a:p>
          <a:endParaRPr lang="en-US" altLang="ja-JP"/>
        </a:p>
        <a:p>
          <a:r>
            <a:rPr lang="en-US" altLang="ja-JP">
              <a:solidFill>
                <a:srgbClr val="FF0000"/>
              </a:solidFill>
            </a:rPr>
            <a:t>ηd = </a:t>
          </a:r>
          <a:r>
            <a:rPr kumimoji="1" lang="en-US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m_c_win / Σ(</a:t>
          </a:r>
          <a:r>
            <a:rPr kumimoji="1" lang="ja-JP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窓のみ</a:t>
          </a:r>
          <a:r>
            <a:rPr kumimoji="1" lang="en-US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)A*fc *νc</a:t>
          </a:r>
          <a:endParaRPr lang="en-US" altLang="ja-JP">
            <a:solidFill>
              <a:srgbClr val="FF0000"/>
            </a:solidFill>
          </a:endParaRPr>
        </a:p>
        <a:p>
          <a:endParaRPr lang="en-US" altLang="ja-JP"/>
        </a:p>
        <a:p>
          <a:endParaRPr lang="en-US" altLang="ja-JP"/>
        </a:p>
        <a:p>
          <a:endParaRPr kumimoji="1" lang="en-US" altLang="ja-JP"/>
        </a:p>
        <a:p>
          <a:endParaRPr kumimoji="1" lang="ja-JP" altLang="en-US"/>
        </a:p>
      </xdr:txBody>
    </xdr:sp>
    <xdr:clientData/>
  </xdr:twoCellAnchor>
  <xdr:twoCellAnchor>
    <xdr:from>
      <xdr:col>24</xdr:col>
      <xdr:colOff>122131</xdr:colOff>
      <xdr:row>2</xdr:row>
      <xdr:rowOff>13546</xdr:rowOff>
    </xdr:from>
    <xdr:to>
      <xdr:col>29</xdr:col>
      <xdr:colOff>216828</xdr:colOff>
      <xdr:row>3</xdr:row>
      <xdr:rowOff>168189</xdr:rowOff>
    </xdr:to>
    <xdr:sp macro="" textlink="">
      <xdr:nvSpPr>
        <xdr:cNvPr id="3" name="テキスト ボックス 6">
          <a:extLst>
            <a:ext uri="{FF2B5EF4-FFF2-40B4-BE49-F238E27FC236}">
              <a16:creationId xmlns:a16="http://schemas.microsoft.com/office/drawing/2014/main" id="{29ECA502-D523-484B-3EF3-826353998273}"/>
            </a:ext>
          </a:extLst>
        </xdr:cNvPr>
        <xdr:cNvSpPr txBox="1"/>
      </xdr:nvSpPr>
      <xdr:spPr>
        <a:xfrm>
          <a:off x="17351798" y="479213"/>
          <a:ext cx="3428447" cy="387476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</a:t>
          </a:r>
          <a:r>
            <a:rPr lang="ja-JP" altLang="en-US"/>
            <a:t> </a:t>
          </a:r>
          <a:r>
            <a:rPr lang="en-US" altLang="ja-JP"/>
            <a:t>=</a:t>
          </a:r>
          <a:r>
            <a:rPr lang="ja-JP" altLang="en-US"/>
            <a:t> </a:t>
          </a:r>
          <a:r>
            <a:rPr lang="en-US" altLang="ja-JP">
              <a:solidFill>
                <a:srgbClr val="FF0000"/>
              </a:solidFill>
            </a:rPr>
            <a:t>ηAC*Aenv</a:t>
          </a:r>
          <a:r>
            <a:rPr lang="ja-JP" altLang="en-US">
              <a:solidFill>
                <a:srgbClr val="FF0000"/>
              </a:solidFill>
            </a:rPr>
            <a:t> </a:t>
          </a:r>
          <a:r>
            <a:rPr lang="en-US" altLang="ja-JP"/>
            <a:t>=</a:t>
          </a:r>
          <a:r>
            <a:rPr lang="ja-JP" altLang="en-US"/>
            <a:t> </a:t>
          </a:r>
          <a:r>
            <a:rPr lang="en-US" altLang="ja-JP"/>
            <a:t>ΣA*ηc*νc</a:t>
          </a:r>
          <a:endParaRPr kumimoji="1" lang="ja-JP" altLang="en-US"/>
        </a:p>
      </xdr:txBody>
    </xdr:sp>
    <xdr:clientData/>
  </xdr:twoCellAnchor>
  <xdr:twoCellAnchor>
    <xdr:from>
      <xdr:col>24</xdr:col>
      <xdr:colOff>485774</xdr:colOff>
      <xdr:row>4</xdr:row>
      <xdr:rowOff>78950</xdr:rowOff>
    </xdr:from>
    <xdr:to>
      <xdr:col>29</xdr:col>
      <xdr:colOff>417406</xdr:colOff>
      <xdr:row>9</xdr:row>
      <xdr:rowOff>40427</xdr:rowOff>
    </xdr:to>
    <xdr:sp macro="" textlink="">
      <xdr:nvSpPr>
        <xdr:cNvPr id="4" name="テキスト ボックス 7">
          <a:extLst>
            <a:ext uri="{FF2B5EF4-FFF2-40B4-BE49-F238E27FC236}">
              <a16:creationId xmlns:a16="http://schemas.microsoft.com/office/drawing/2014/main" id="{21FD4AC0-CB2F-4271-B030-CD6164497A27}"/>
            </a:ext>
          </a:extLst>
        </xdr:cNvPr>
        <xdr:cNvSpPr txBox="1"/>
      </xdr:nvSpPr>
      <xdr:spPr>
        <a:xfrm>
          <a:off x="17715441" y="1010283"/>
          <a:ext cx="3265382" cy="1125644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m_c_wall </a:t>
          </a:r>
          <a:r>
            <a:rPr lang="en-US" altLang="ja-JP"/>
            <a:t>= Σ(</a:t>
          </a:r>
          <a:r>
            <a:rPr lang="ja-JP" altLang="en-US"/>
            <a:t>壁のみ</a:t>
          </a:r>
          <a:r>
            <a:rPr lang="en-US" altLang="ja-JP"/>
            <a:t>)A*ηc*νc</a:t>
          </a:r>
        </a:p>
        <a:p>
          <a:r>
            <a:rPr lang="en-US" altLang="ja-JP"/>
            <a:t>= Σ(</a:t>
          </a:r>
          <a:r>
            <a:rPr lang="ja-JP" altLang="en-US"/>
            <a:t>壁のみ</a:t>
          </a:r>
          <a:r>
            <a:rPr lang="en-US" altLang="ja-JP"/>
            <a:t>)A*(</a:t>
          </a:r>
          <a:r>
            <a:rPr kumimoji="1" lang="en-US" altLang="ja-JP"/>
            <a:t>fc * ηd</a:t>
          </a:r>
          <a:r>
            <a:rPr lang="en-US" altLang="ja-JP"/>
            <a:t>)*νc</a:t>
          </a:r>
        </a:p>
        <a:p>
          <a:r>
            <a:rPr kumimoji="1" lang="en-US" altLang="ja-JP"/>
            <a:t>= </a:t>
          </a:r>
          <a:r>
            <a:rPr kumimoji="1" lang="en-US" altLang="ja-JP">
              <a:solidFill>
                <a:srgbClr val="FF0000"/>
              </a:solidFill>
            </a:rPr>
            <a:t>ηd*</a:t>
          </a:r>
          <a:r>
            <a:rPr lang="en-US" altLang="ja-JP">
              <a:solidFill>
                <a:srgbClr val="FF0000"/>
              </a:solidFill>
            </a:rPr>
            <a:t> Σ(</a:t>
          </a:r>
          <a:r>
            <a:rPr lang="ja-JP" altLang="en-US">
              <a:solidFill>
                <a:srgbClr val="FF0000"/>
              </a:solidFill>
            </a:rPr>
            <a:t>壁のみ</a:t>
          </a:r>
          <a:r>
            <a:rPr lang="en-US" altLang="ja-JP">
              <a:solidFill>
                <a:srgbClr val="FF0000"/>
              </a:solidFill>
            </a:rPr>
            <a:t>)A*</a:t>
          </a:r>
          <a:r>
            <a:rPr kumimoji="1" lang="en-US" altLang="ja-JP">
              <a:solidFill>
                <a:srgbClr val="FF0000"/>
              </a:solidFill>
            </a:rPr>
            <a:t>fc </a:t>
          </a:r>
          <a:r>
            <a:rPr lang="en-US" altLang="ja-JP">
              <a:solidFill>
                <a:srgbClr val="FF0000"/>
              </a:solidFill>
            </a:rPr>
            <a:t>*νc</a:t>
          </a:r>
          <a:endParaRPr kumimoji="1"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6772</xdr:colOff>
      <xdr:row>7</xdr:row>
      <xdr:rowOff>63501</xdr:rowOff>
    </xdr:from>
    <xdr:to>
      <xdr:col>32</xdr:col>
      <xdr:colOff>209664</xdr:colOff>
      <xdr:row>8</xdr:row>
      <xdr:rowOff>200998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0A5B0A5-3528-7AF0-8DF2-A1776C25AA16}"/>
            </a:ext>
          </a:extLst>
        </xdr:cNvPr>
        <xdr:cNvSpPr txBox="1"/>
      </xdr:nvSpPr>
      <xdr:spPr>
        <a:xfrm>
          <a:off x="21236939" y="1693334"/>
          <a:ext cx="1536392" cy="370331"/>
        </a:xfrm>
        <a:prstGeom prst="rect">
          <a:avLst/>
        </a:prstGeom>
        <a:solidFill>
          <a:sysClr val="window" lastClr="FFFFFF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ηc=fc * ηd</a:t>
          </a:r>
          <a:endParaRPr kumimoji="1" lang="ja-JP" altLang="en-US"/>
        </a:p>
      </xdr:txBody>
    </xdr:sp>
    <xdr:clientData/>
  </xdr:twoCellAnchor>
  <xdr:twoCellAnchor>
    <xdr:from>
      <xdr:col>30</xdr:col>
      <xdr:colOff>328168</xdr:colOff>
      <xdr:row>15</xdr:row>
      <xdr:rowOff>146263</xdr:rowOff>
    </xdr:from>
    <xdr:to>
      <xdr:col>34</xdr:col>
      <xdr:colOff>375768</xdr:colOff>
      <xdr:row>18</xdr:row>
      <xdr:rowOff>97904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7FE60AC-5B5A-990B-CC86-CC5B05F08CF8}"/>
            </a:ext>
          </a:extLst>
        </xdr:cNvPr>
        <xdr:cNvSpPr txBox="1"/>
      </xdr:nvSpPr>
      <xdr:spPr>
        <a:xfrm>
          <a:off x="21918168" y="4093846"/>
          <a:ext cx="2714600" cy="650141"/>
        </a:xfrm>
        <a:prstGeom prst="rect">
          <a:avLst/>
        </a:prstGeom>
        <a:solidFill>
          <a:sysClr val="window" lastClr="FFFFFF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/>
            <a:t>壁・ドア：</a:t>
          </a:r>
          <a:r>
            <a:rPr kumimoji="1" lang="en-US" altLang="ja-JP"/>
            <a:t>ηd=0.034*U</a:t>
          </a:r>
        </a:p>
        <a:p>
          <a:r>
            <a:rPr kumimoji="1" lang="ja-JP" altLang="en-US"/>
            <a:t>窓：</a:t>
          </a:r>
          <a:r>
            <a:rPr kumimoji="1" lang="en-US" altLang="ja-JP">
              <a:solidFill>
                <a:srgbClr val="FF0000"/>
              </a:solidFill>
            </a:rPr>
            <a:t>ηd=ηd</a:t>
          </a:r>
          <a:endParaRPr kumimoji="1"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48631</xdr:colOff>
      <xdr:row>39</xdr:row>
      <xdr:rowOff>69057</xdr:rowOff>
    </xdr:from>
    <xdr:to>
      <xdr:col>34</xdr:col>
      <xdr:colOff>74825</xdr:colOff>
      <xdr:row>39</xdr:row>
      <xdr:rowOff>69057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4168BFA-3DF5-207D-9EB5-6B4D71AF4DD3}"/>
            </a:ext>
          </a:extLst>
        </xdr:cNvPr>
        <xdr:cNvCxnSpPr>
          <a:cxnSpLocks/>
        </xdr:cNvCxnSpPr>
      </xdr:nvCxnSpPr>
      <xdr:spPr>
        <a:xfrm flipV="1">
          <a:off x="21182225" y="9939338"/>
          <a:ext cx="53601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50960</xdr:colOff>
      <xdr:row>21</xdr:row>
      <xdr:rowOff>71808</xdr:rowOff>
    </xdr:from>
    <xdr:to>
      <xdr:col>26</xdr:col>
      <xdr:colOff>50960</xdr:colOff>
      <xdr:row>39</xdr:row>
      <xdr:rowOff>68422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F8B3598-760C-BBC9-6CC0-625F336B9201}"/>
            </a:ext>
          </a:extLst>
        </xdr:cNvPr>
        <xdr:cNvCxnSpPr/>
      </xdr:nvCxnSpPr>
      <xdr:spPr>
        <a:xfrm flipV="1">
          <a:off x="21184554" y="5643933"/>
          <a:ext cx="0" cy="429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280884</xdr:colOff>
      <xdr:row>24</xdr:row>
      <xdr:rowOff>5346</xdr:rowOff>
    </xdr:from>
    <xdr:to>
      <xdr:col>32</xdr:col>
      <xdr:colOff>316441</xdr:colOff>
      <xdr:row>39</xdr:row>
      <xdr:rowOff>69057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392EC75-BDD7-E471-6D02-D5EDC871F842}"/>
            </a:ext>
          </a:extLst>
        </xdr:cNvPr>
        <xdr:cNvCxnSpPr/>
      </xdr:nvCxnSpPr>
      <xdr:spPr>
        <a:xfrm>
          <a:off x="25414978" y="6482346"/>
          <a:ext cx="35557" cy="34569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381583</xdr:colOff>
      <xdr:row>39</xdr:row>
      <xdr:rowOff>139278</xdr:rowOff>
    </xdr:from>
    <xdr:ext cx="2205884" cy="56451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45BCB1D-E4E2-B394-2FF1-93E4EE87AFDD}"/>
            </a:ext>
          </a:extLst>
        </xdr:cNvPr>
        <xdr:cNvSpPr txBox="1"/>
      </xdr:nvSpPr>
      <xdr:spPr>
        <a:xfrm>
          <a:off x="24182177" y="10009559"/>
          <a:ext cx="2205884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仕様基準の</a:t>
          </a:r>
          <a:r>
            <a:rPr kumimoji="1" lang="en-US" altLang="ja-JP" sz="1100"/>
            <a:t>U</a:t>
          </a:r>
          <a:r>
            <a:rPr kumimoji="1" lang="ja-JP" altLang="en-US" sz="1100"/>
            <a:t>値から計算した</a:t>
          </a:r>
          <a:endParaRPr kumimoji="1" lang="en-US" altLang="ja-JP" sz="1100"/>
        </a:p>
        <a:p>
          <a:r>
            <a:rPr kumimoji="1" lang="en-US" altLang="ja-JP" sz="1100"/>
            <a:t>UA</a:t>
          </a:r>
          <a:r>
            <a:rPr kumimoji="1" lang="ja-JP" altLang="en-US" sz="1100"/>
            <a:t>値</a:t>
          </a:r>
          <a:endParaRPr kumimoji="1" lang="en-US" altLang="ja-JP" sz="1100"/>
        </a:p>
      </xdr:txBody>
    </xdr:sp>
    <xdr:clientData/>
  </xdr:oneCellAnchor>
  <xdr:oneCellAnchor>
    <xdr:from>
      <xdr:col>25</xdr:col>
      <xdr:colOff>295857</xdr:colOff>
      <xdr:row>23</xdr:row>
      <xdr:rowOff>186267</xdr:rowOff>
    </xdr:from>
    <xdr:ext cx="36324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F4FD5D9-9E6E-19BB-6612-8ECB91C71E32}"/>
            </a:ext>
          </a:extLst>
        </xdr:cNvPr>
        <xdr:cNvSpPr txBox="1"/>
      </xdr:nvSpPr>
      <xdr:spPr>
        <a:xfrm>
          <a:off x="20762701" y="6210830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1.0</a:t>
          </a:r>
          <a:endParaRPr kumimoji="1" lang="ja-JP" altLang="en-US" sz="1100"/>
        </a:p>
      </xdr:txBody>
    </xdr:sp>
    <xdr:clientData/>
  </xdr:oneCellAnchor>
  <xdr:twoCellAnchor>
    <xdr:from>
      <xdr:col>26</xdr:col>
      <xdr:colOff>65987</xdr:colOff>
      <xdr:row>23</xdr:row>
      <xdr:rowOff>396401</xdr:rowOff>
    </xdr:from>
    <xdr:to>
      <xdr:col>32</xdr:col>
      <xdr:colOff>282997</xdr:colOff>
      <xdr:row>23</xdr:row>
      <xdr:rowOff>406348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F7FECC-F87B-A59E-89F9-E43A1EC1927F}"/>
            </a:ext>
          </a:extLst>
        </xdr:cNvPr>
        <xdr:cNvCxnSpPr/>
      </xdr:nvCxnSpPr>
      <xdr:spPr>
        <a:xfrm>
          <a:off x="21199581" y="6420964"/>
          <a:ext cx="4217510" cy="9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48631</xdr:colOff>
      <xdr:row>23</xdr:row>
      <xdr:rowOff>405925</xdr:rowOff>
    </xdr:from>
    <xdr:to>
      <xdr:col>32</xdr:col>
      <xdr:colOff>278130</xdr:colOff>
      <xdr:row>39</xdr:row>
      <xdr:rowOff>68211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427F370-9591-EF58-6A18-0932122215A2}"/>
            </a:ext>
          </a:extLst>
        </xdr:cNvPr>
        <xdr:cNvCxnSpPr>
          <a:cxnSpLocks/>
        </xdr:cNvCxnSpPr>
      </xdr:nvCxnSpPr>
      <xdr:spPr>
        <a:xfrm flipH="1">
          <a:off x="21182225" y="6430488"/>
          <a:ext cx="4229999" cy="35080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348933</xdr:colOff>
      <xdr:row>20</xdr:row>
      <xdr:rowOff>60961</xdr:rowOff>
    </xdr:from>
    <xdr:ext cx="629788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35E3839-4971-53D1-E3B9-4E9948DADAF8}"/>
            </a:ext>
          </a:extLst>
        </xdr:cNvPr>
        <xdr:cNvSpPr txBox="1"/>
      </xdr:nvSpPr>
      <xdr:spPr>
        <a:xfrm>
          <a:off x="20815777" y="5406867"/>
          <a:ext cx="629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f_u(UA)</a:t>
          </a:r>
          <a:endParaRPr kumimoji="1" lang="ja-JP" altLang="en-US" sz="1100"/>
        </a:p>
      </xdr:txBody>
    </xdr:sp>
    <xdr:clientData/>
  </xdr:oneCellAnchor>
  <xdr:oneCellAnchor>
    <xdr:from>
      <xdr:col>3</xdr:col>
      <xdr:colOff>54768</xdr:colOff>
      <xdr:row>9</xdr:row>
      <xdr:rowOff>225742</xdr:rowOff>
    </xdr:from>
    <xdr:ext cx="9745232" cy="196669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A85D387-B6AF-EB68-4653-1C7E656BDCE9}"/>
            </a:ext>
          </a:extLst>
        </xdr:cNvPr>
        <xdr:cNvSpPr txBox="1"/>
      </xdr:nvSpPr>
      <xdr:spPr>
        <a:xfrm>
          <a:off x="3388518" y="2035492"/>
          <a:ext cx="9745232" cy="19666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断熱材厚さが</a:t>
          </a:r>
          <a:r>
            <a:rPr kumimoji="1" lang="en-US" altLang="ja-JP" sz="1600"/>
            <a:t>0</a:t>
          </a:r>
          <a:r>
            <a:rPr kumimoji="1" lang="ja-JP" altLang="en-US" sz="1600"/>
            <a:t>になっている　→</a:t>
          </a:r>
          <a:r>
            <a:rPr kumimoji="1" lang="en-US" altLang="ja-JP" sz="1600"/>
            <a:t>UA</a:t>
          </a:r>
          <a:r>
            <a:rPr kumimoji="1" lang="ja-JP" altLang="en-US" sz="1600"/>
            <a:t>、</a:t>
          </a:r>
          <a:r>
            <a:rPr kumimoji="1" lang="en-US" altLang="ja-JP" sz="1600"/>
            <a:t>ηA</a:t>
          </a:r>
          <a:r>
            <a:rPr kumimoji="1" lang="ja-JP" altLang="en-US" sz="1600"/>
            <a:t>一致しない、熱抵抗がマイナス </a:t>
          </a:r>
          <a:r>
            <a:rPr kumimoji="1" lang="en-US" altLang="ja-JP" sz="1600"/>
            <a:t>(UA = 10, ηA</a:t>
          </a:r>
          <a:r>
            <a:rPr kumimoji="1" lang="ja-JP" altLang="en-US" sz="1600"/>
            <a:t>＝</a:t>
          </a:r>
          <a:r>
            <a:rPr kumimoji="1" lang="en-US" altLang="ja-JP" sz="1600"/>
            <a:t>0.04)</a:t>
          </a:r>
        </a:p>
        <a:p>
          <a:r>
            <a:rPr kumimoji="1" lang="ja-JP" altLang="en-US" sz="1600"/>
            <a:t>ドア・窓の熱貫流率が</a:t>
          </a:r>
          <a:r>
            <a:rPr kumimoji="1" lang="en-US" altLang="ja-JP" sz="1600"/>
            <a:t>0.01</a:t>
          </a:r>
          <a:r>
            <a:rPr kumimoji="1" lang="ja-JP" altLang="en-US" sz="1600"/>
            <a:t>になっている →</a:t>
          </a:r>
          <a:r>
            <a:rPr kumimoji="1" lang="en-US" altLang="ja-JP" sz="1600"/>
            <a:t>UA</a:t>
          </a:r>
          <a:r>
            <a:rPr kumimoji="1" lang="ja-JP" altLang="en-US" sz="1600"/>
            <a:t>一致する、</a:t>
          </a:r>
          <a:r>
            <a:rPr kumimoji="1" lang="en-US" altLang="ja-JP" sz="1600"/>
            <a:t>U=0</a:t>
          </a:r>
          <a:r>
            <a:rPr kumimoji="1" lang="ja-JP" altLang="en-US" sz="1600"/>
            <a:t>だから熱抵抗がエラー表示 </a:t>
          </a:r>
          <a:r>
            <a:rPr kumimoji="1" lang="en-US" altLang="ja-JP" sz="1600"/>
            <a:t>(UA = 0, ηA = 0.04)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ドア・窓の熱貫流率が</a:t>
          </a:r>
          <a:r>
            <a:rPr kumimoji="1" lang="en-US" altLang="ja-JP" sz="1600"/>
            <a:t>6.51</a:t>
          </a:r>
          <a:r>
            <a:rPr kumimoji="1" lang="ja-JP" altLang="en-US" sz="1600"/>
            <a:t>になっている → </a:t>
          </a:r>
          <a:r>
            <a:rPr kumimoji="1" lang="en-US" altLang="ja-JP" sz="1600"/>
            <a:t>UA</a:t>
          </a:r>
          <a:r>
            <a:rPr kumimoji="1" lang="ja-JP" altLang="en-US" sz="1600"/>
            <a:t>一致しない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(UA = 2.0, 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＝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0.04)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ηA=0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のとき、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は一致しない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(UA = 0.5, 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＝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0)</a:t>
          </a:r>
        </a:p>
        <a:p>
          <a:endParaRPr kumimoji="1" lang="en-US" altLang="ja-JP" sz="16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1388744</xdr:colOff>
      <xdr:row>10</xdr:row>
      <xdr:rowOff>87628</xdr:rowOff>
    </xdr:from>
    <xdr:ext cx="5191126" cy="2611121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97E1C19-3A55-CC11-C736-FA2C2491720F}"/>
            </a:ext>
          </a:extLst>
        </xdr:cNvPr>
        <xdr:cNvSpPr txBox="1"/>
      </xdr:nvSpPr>
      <xdr:spPr>
        <a:xfrm>
          <a:off x="8056244" y="2426545"/>
          <a:ext cx="5191126" cy="261112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600"/>
            <a:t>R_t =  1 / U</a:t>
          </a:r>
        </a:p>
        <a:p>
          <a:r>
            <a:rPr kumimoji="1" lang="en-US" altLang="ja-JP" sz="1600"/>
            <a:t>R_t</a:t>
          </a:r>
          <a:r>
            <a:rPr kumimoji="1" lang="en-US" altLang="ja-JP" sz="1600" baseline="0"/>
            <a:t> </a:t>
          </a:r>
          <a:r>
            <a:rPr kumimoji="1" lang="en-US" altLang="ja-JP" sz="1600"/>
            <a:t>= Ri + Ro +Σ Rm    Ri:</a:t>
          </a:r>
          <a:r>
            <a:rPr kumimoji="1" lang="ja-JP" altLang="en-US" sz="1600"/>
            <a:t>室内表面熱伝達抵抗</a:t>
          </a:r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　　　　　　　　</a:t>
          </a:r>
          <a:r>
            <a:rPr kumimoji="1" lang="ja-JP" altLang="en-US" sz="1600" baseline="0"/>
            <a:t>   </a:t>
          </a:r>
          <a:r>
            <a:rPr kumimoji="1" lang="en-US" altLang="ja-JP" sz="1600"/>
            <a:t>Ro: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外気表面熱伝達抵抗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Σ Rm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：断熱材熱伝達抵抗総和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</a:t>
          </a:r>
        </a:p>
        <a:p>
          <a:r>
            <a:rPr kumimoji="1" lang="en-US" altLang="ja-JP" sz="1600"/>
            <a:t>Rm1 = R_t - Ri - Ro - Σ Rm</a:t>
          </a:r>
          <a:r>
            <a:rPr kumimoji="1" lang="ja-JP" altLang="en-US" sz="1600"/>
            <a:t> 　</a:t>
          </a:r>
          <a:r>
            <a:rPr kumimoji="1" lang="en-US" altLang="ja-JP" sz="1600"/>
            <a:t>Rm1</a:t>
          </a:r>
          <a:r>
            <a:rPr kumimoji="1" lang="ja-JP" altLang="en-US" sz="1600"/>
            <a:t>：求めたい断熱材抵抗</a:t>
          </a:r>
          <a:endParaRPr kumimoji="1" lang="en-US" altLang="ja-JP" sz="1600"/>
        </a:p>
        <a:p>
          <a:r>
            <a:rPr kumimoji="1" lang="en-US" altLang="ja-JP" sz="1600"/>
            <a:t>d = Rm1 * λ </a:t>
          </a:r>
        </a:p>
        <a:p>
          <a:r>
            <a:rPr kumimoji="1" lang="en-US" altLang="ja-JP" sz="1600"/>
            <a:t> </a:t>
          </a:r>
          <a:r>
            <a:rPr kumimoji="1" lang="ja-JP" altLang="en-US" sz="1600"/>
            <a:t>熱伝導率 </a:t>
          </a:r>
          <a:r>
            <a:rPr kumimoji="1" lang="en-US" altLang="ja-JP" sz="1600"/>
            <a:t>λ</a:t>
          </a:r>
          <a:r>
            <a:rPr kumimoji="1" lang="ja-JP" altLang="en-US" sz="1600"/>
            <a:t> の根拠：第</a:t>
          </a:r>
          <a:r>
            <a:rPr kumimoji="1" lang="en-US" altLang="ja-JP" sz="1600"/>
            <a:t>3</a:t>
          </a:r>
          <a:r>
            <a:rPr kumimoji="1" lang="ja-JP" altLang="en-US" sz="1600"/>
            <a:t>章</a:t>
          </a:r>
          <a:r>
            <a:rPr kumimoji="1" lang="ja-JP" altLang="en-US" sz="1600" baseline="0"/>
            <a:t>　</a:t>
          </a:r>
          <a:r>
            <a:rPr kumimoji="1" lang="ja-JP" altLang="en-US" sz="1600"/>
            <a:t>第</a:t>
          </a:r>
          <a:r>
            <a:rPr kumimoji="1" lang="en-US" altLang="ja-JP" sz="1600"/>
            <a:t>3</a:t>
          </a:r>
          <a:r>
            <a:rPr kumimoji="1" lang="ja-JP" altLang="en-US" sz="1600"/>
            <a:t>節　付録</a:t>
          </a:r>
          <a:r>
            <a:rPr kumimoji="1" lang="en-US" altLang="ja-JP" sz="1600"/>
            <a:t>A</a:t>
          </a:r>
          <a:r>
            <a:rPr kumimoji="1" lang="ja-JP" altLang="en-US" sz="1600"/>
            <a:t> </a:t>
          </a:r>
          <a:r>
            <a:rPr kumimoji="1" lang="en-US" altLang="ja-JP" sz="1600"/>
            <a:t>A1</a:t>
          </a:r>
          <a:r>
            <a:rPr kumimoji="1" lang="ja-JP" altLang="en-US" sz="1600"/>
            <a:t>から</a:t>
          </a:r>
          <a:r>
            <a:rPr kumimoji="1" lang="en-US" altLang="ja-JP" sz="1600"/>
            <a:t>A4</a:t>
          </a:r>
          <a:endParaRPr kumimoji="1" lang="ja-JP" alt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9F21-D549-44A9-AFAB-8E2BAD801186}">
  <sheetPr codeName="Sheet1"/>
  <dimension ref="A1:I9"/>
  <sheetViews>
    <sheetView workbookViewId="0">
      <selection activeCell="B2" sqref="B2:B4"/>
    </sheetView>
  </sheetViews>
  <sheetFormatPr defaultColWidth="9" defaultRowHeight="18.75"/>
  <cols>
    <col min="1" max="1" width="9" style="90"/>
    <col min="2" max="2" width="15.5" style="90" bestFit="1" customWidth="1"/>
    <col min="3" max="3" width="17.875" style="90" bestFit="1" customWidth="1"/>
    <col min="4" max="4" width="15.875" style="90" bestFit="1" customWidth="1"/>
    <col min="5" max="7" width="9" style="90"/>
    <col min="8" max="8" width="10" style="90" bestFit="1" customWidth="1"/>
    <col min="9" max="16384" width="9" style="90"/>
  </cols>
  <sheetData>
    <row r="1" spans="1:9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9">
      <c r="A2" s="91" t="s">
        <v>2215</v>
      </c>
      <c r="B2" s="91">
        <v>70.92</v>
      </c>
      <c r="C2" s="90">
        <f>B2*1.2*1005</f>
        <v>85529.52</v>
      </c>
      <c r="D2" s="90">
        <f>B2*12.6*1000</f>
        <v>893592</v>
      </c>
      <c r="E2" s="90">
        <f>C2+D2</f>
        <v>979121.52</v>
      </c>
      <c r="F2" s="90">
        <f>E2/(1.2*1005)</f>
        <v>811.87522388059699</v>
      </c>
    </row>
    <row r="3" spans="1:9">
      <c r="A3" s="91" t="s">
        <v>2217</v>
      </c>
      <c r="B3" s="91">
        <v>83.47</v>
      </c>
      <c r="C3" s="90">
        <f t="shared" ref="C3" si="0">B3*1.2*1005</f>
        <v>100664.82</v>
      </c>
      <c r="D3" s="90">
        <f t="shared" ref="D3" si="1">B3*12.6*1000</f>
        <v>1051722</v>
      </c>
      <c r="E3" s="90">
        <f t="shared" ref="E3" si="2">C3+D3</f>
        <v>1152386.82</v>
      </c>
      <c r="F3" s="90">
        <f t="shared" ref="F3" si="3">E3/(1.2*1005)</f>
        <v>955.54462686567172</v>
      </c>
    </row>
    <row r="4" spans="1:9">
      <c r="A4" s="91" t="s">
        <v>2219</v>
      </c>
      <c r="B4" s="91">
        <v>134.63</v>
      </c>
      <c r="C4" s="90">
        <f t="shared" ref="C4" si="4">B4*1.2*1005</f>
        <v>162363.77999999997</v>
      </c>
      <c r="D4" s="90">
        <f t="shared" ref="D4" si="5">B4*12.6*1000</f>
        <v>1696338</v>
      </c>
      <c r="E4" s="90">
        <f t="shared" ref="E4" si="6">C4+D4</f>
        <v>1858701.78</v>
      </c>
      <c r="F4" s="90">
        <f t="shared" ref="F4" si="7">E4/(1.2*1005)</f>
        <v>1541.2120895522389</v>
      </c>
    </row>
    <row r="5" spans="1:9">
      <c r="A5" s="91" t="s">
        <v>20</v>
      </c>
      <c r="B5" s="91">
        <v>24.64</v>
      </c>
      <c r="C5" s="90">
        <f>B5*1.2*1005</f>
        <v>29715.839999999997</v>
      </c>
      <c r="D5" s="90">
        <f>B5*12.6*1000</f>
        <v>310464</v>
      </c>
      <c r="E5" s="90">
        <f>C5+D5</f>
        <v>340179.83999999997</v>
      </c>
      <c r="F5" s="90">
        <f>E5/(1.2*1005)</f>
        <v>282.07283582089548</v>
      </c>
    </row>
    <row r="6" spans="1:9">
      <c r="A6" s="92" t="s">
        <v>22</v>
      </c>
      <c r="B6" s="90">
        <f>(2.73+0.91+4.095+1.82)*5.46*0.9</f>
        <v>46.953269999999996</v>
      </c>
      <c r="C6" s="90">
        <f t="shared" ref="C6:C8" si="8">B6*1.2*1005</f>
        <v>56625.643619999995</v>
      </c>
      <c r="D6" s="90">
        <f t="shared" ref="D6:D8" si="9">B6*12.6*1000</f>
        <v>591611.20199999993</v>
      </c>
      <c r="E6" s="90">
        <f t="shared" ref="E6:E8" si="10">C6+D6</f>
        <v>648236.84561999992</v>
      </c>
      <c r="F6" s="90">
        <f t="shared" ref="F6:F8" si="11">E6/(1.2*1005)</f>
        <v>537.5098222388059</v>
      </c>
      <c r="G6" s="90">
        <f>B6/0.9</f>
        <v>52.170299999999997</v>
      </c>
      <c r="H6" s="100">
        <f>B6*5</f>
        <v>234.76634999999999</v>
      </c>
      <c r="I6" s="90" t="s">
        <v>2062</v>
      </c>
    </row>
    <row r="7" spans="1:9">
      <c r="A7" s="92" t="s">
        <v>23</v>
      </c>
      <c r="B7" s="90">
        <f>(1.82+1.82+0.91+2.275)*1.82*0.9</f>
        <v>11.179349999999999</v>
      </c>
      <c r="C7" s="90">
        <f t="shared" si="8"/>
        <v>13482.2961</v>
      </c>
      <c r="D7" s="90">
        <f t="shared" si="9"/>
        <v>140859.80999999997</v>
      </c>
      <c r="E7" s="90">
        <f t="shared" si="10"/>
        <v>154342.10609999998</v>
      </c>
      <c r="F7" s="90">
        <f t="shared" si="11"/>
        <v>127.97852910447759</v>
      </c>
      <c r="G7" s="90">
        <f t="shared" ref="G7:G8" si="12">B7/0.9</f>
        <v>12.421499999999998</v>
      </c>
      <c r="H7" s="90">
        <f t="shared" ref="H7:H8" si="13">B7*5</f>
        <v>55.896749999999997</v>
      </c>
      <c r="I7" s="90" t="s">
        <v>2061</v>
      </c>
    </row>
    <row r="8" spans="1:9">
      <c r="A8" s="92" t="s">
        <v>24</v>
      </c>
      <c r="B8" s="90">
        <f>0.91*3.64*0.9</f>
        <v>2.9811600000000005</v>
      </c>
      <c r="C8" s="90">
        <f t="shared" si="8"/>
        <v>3595.2789600000006</v>
      </c>
      <c r="D8" s="90">
        <f t="shared" si="9"/>
        <v>37562.616000000009</v>
      </c>
      <c r="E8" s="90">
        <f t="shared" si="10"/>
        <v>41157.894960000012</v>
      </c>
      <c r="F8" s="90">
        <f t="shared" si="11"/>
        <v>34.127607761194042</v>
      </c>
      <c r="G8" s="90">
        <f t="shared" si="12"/>
        <v>3.3124000000000002</v>
      </c>
      <c r="H8" s="90">
        <f t="shared" si="13"/>
        <v>14.905800000000003</v>
      </c>
      <c r="I8" s="90" t="s">
        <v>2060</v>
      </c>
    </row>
    <row r="9" spans="1:9">
      <c r="A9" s="90" t="s">
        <v>2026</v>
      </c>
      <c r="B9" s="90">
        <f>(16.56+21.53+8.28+1.66+3.31+10.77+0.27+0.36+3.31)*0.5</f>
        <v>33.024999999999999</v>
      </c>
      <c r="C9" s="90">
        <f t="shared" ref="C9" si="14">B9*1.2*1005</f>
        <v>39828.149999999994</v>
      </c>
      <c r="D9" s="90">
        <f t="shared" ref="D9" si="15">B9*12.6*1000</f>
        <v>416114.99999999994</v>
      </c>
      <c r="E9" s="90">
        <f t="shared" ref="E9" si="16">C9+D9</f>
        <v>455943.14999999991</v>
      </c>
      <c r="F9" s="90">
        <f t="shared" ref="F9" si="17">E9/(1.2*1005)</f>
        <v>378.06231343283577</v>
      </c>
      <c r="G9" s="90">
        <f>B9/0.5</f>
        <v>66.05</v>
      </c>
      <c r="H9" s="90">
        <f t="shared" ref="H9" si="18">B9*5</f>
        <v>165.125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511B-332B-457D-AF92-5D5F3AD9FB27}">
  <sheetPr codeName="Sheet2">
    <tabColor theme="9"/>
  </sheetPr>
  <dimension ref="A1:O5"/>
  <sheetViews>
    <sheetView workbookViewId="0">
      <selection activeCell="I5" sqref="I5"/>
    </sheetView>
  </sheetViews>
  <sheetFormatPr defaultColWidth="8.75" defaultRowHeight="15.75"/>
  <cols>
    <col min="1" max="5" width="8.75" style="1"/>
    <col min="6" max="6" width="11.25" style="1" bestFit="1" customWidth="1"/>
    <col min="7" max="7" width="10.5" style="1" bestFit="1" customWidth="1"/>
    <col min="8" max="13" width="8.75" style="1"/>
    <col min="14" max="14" width="34.625" style="1" bestFit="1" customWidth="1"/>
    <col min="15" max="16384" width="8.75" style="1"/>
  </cols>
  <sheetData>
    <row r="1" spans="1:15">
      <c r="A1" s="83" t="s">
        <v>25</v>
      </c>
      <c r="B1" s="83" t="s">
        <v>26</v>
      </c>
      <c r="C1" s="85" t="s">
        <v>27</v>
      </c>
      <c r="D1" s="83" t="s">
        <v>28</v>
      </c>
      <c r="E1" s="83" t="s">
        <v>29</v>
      </c>
      <c r="F1" s="83" t="s">
        <v>30</v>
      </c>
      <c r="G1" s="84" t="s">
        <v>31</v>
      </c>
      <c r="I1" s="1" t="s">
        <v>2163</v>
      </c>
      <c r="J1" s="1" t="s">
        <v>2173</v>
      </c>
      <c r="K1" s="1" t="s">
        <v>2212</v>
      </c>
      <c r="N1" s="1" t="s">
        <v>2175</v>
      </c>
      <c r="O1" s="1">
        <v>11</v>
      </c>
    </row>
    <row r="2" spans="1:15">
      <c r="A2" s="84">
        <v>2</v>
      </c>
      <c r="B2" s="84">
        <v>3</v>
      </c>
      <c r="C2" s="84">
        <v>6</v>
      </c>
      <c r="D2" s="84">
        <v>13</v>
      </c>
      <c r="E2" s="84">
        <v>16</v>
      </c>
      <c r="F2" s="84"/>
      <c r="G2" s="84"/>
      <c r="I2" s="1" t="s">
        <v>2208</v>
      </c>
      <c r="J2" s="1" t="s">
        <v>2209</v>
      </c>
      <c r="K2" s="1" t="s">
        <v>2210</v>
      </c>
      <c r="L2" s="1" t="s">
        <v>2211</v>
      </c>
      <c r="N2" s="1" t="s">
        <v>2176</v>
      </c>
      <c r="O2" s="1">
        <v>12</v>
      </c>
    </row>
    <row r="3" spans="1:15">
      <c r="A3" s="86" t="s">
        <v>2236</v>
      </c>
      <c r="B3" s="86">
        <v>6</v>
      </c>
      <c r="C3" s="86" t="s">
        <v>2237</v>
      </c>
      <c r="D3" s="86" t="s">
        <v>2174</v>
      </c>
      <c r="E3" s="86">
        <v>1</v>
      </c>
      <c r="F3" s="87" t="str" cm="1">
        <f t="array" ref="F3">_xlfn.IFS(VALUE(B3)&lt;=3,"寒冷地",VALUE(B3)&gt;=4,"温暖地")</f>
        <v>温暖地</v>
      </c>
      <c r="G3" s="93">
        <v>0</v>
      </c>
      <c r="H3" s="1">
        <f>VLOOKUP(C3,$N$1:$O$5,2,FALSE)</f>
        <v>12</v>
      </c>
      <c r="I3" s="93">
        <v>0.89999999999999991</v>
      </c>
      <c r="J3" s="93">
        <v>4.8000000000000008E-2</v>
      </c>
      <c r="K3" s="87" t="b" cm="1">
        <f t="array" aca="1" ref="K3" ca="1">_xlfn.IFS(外皮面積!T23=0,_xlfn.IFS(外皮面積!T9=外皮面積!B21,TRUE,外皮面積!T9&lt;&gt;外皮面積!B21,FALSE),外皮面積!T23=1,_xlfn.IFS(外皮面積!T9=外皮面積!C21,TRUE,外皮面積!T9&lt;&gt;外皮面積!C21,FALSE))</f>
        <v>1</v>
      </c>
      <c r="L3" s="153" t="b" cm="1">
        <f t="array" aca="1" ref="L3" ca="1">_xlfn.IFS(A3="C",_xlfn.IFS(外皮面積!T23=0,_xlfn.IFS(外皮面積!T10=外皮面積!B32,TRUE,外皮面積!T10&lt;&gt;外皮面積!B32,FALSE),外皮面積!T23=1,_xlfn.IFS(外皮面積!T10=外皮面積!C32,TRUE,外皮面積!T10&lt;&gt;外皮面積!C32,FALSE)),計算条件!A3="H",_xlfn.IFS(外皮面積!T23=0,_xlfn.IFS(外皮面積!T11=外皮面積!G32,TRUE,外皮面積!T11&lt;&gt;外皮面積!G32,FALSE),外皮面積!T23=1,_xlfn.IFS(外皮面積!T11=外皮面積!H32,TRUE,外皮面積!T11&lt;&gt;外皮面積!H32,FALSE)))</f>
        <v>1</v>
      </c>
      <c r="N3" s="1" t="s">
        <v>2177</v>
      </c>
      <c r="O3" s="1">
        <v>13</v>
      </c>
    </row>
    <row r="4" spans="1:15">
      <c r="N4" s="1" t="s">
        <v>2178</v>
      </c>
      <c r="O4" s="1">
        <v>15</v>
      </c>
    </row>
    <row r="5" spans="1:15">
      <c r="I5" s="1" t="str">
        <f>IF(C3="居室間歇","kyositu_kanketu",IF(C3="居室連続","kyositu_renzoku","zenkan_renzoku"))</f>
        <v>kyositu_kanketu</v>
      </c>
      <c r="N5" s="1" t="s">
        <v>2179</v>
      </c>
      <c r="O5" s="1">
        <v>16</v>
      </c>
    </row>
  </sheetData>
  <phoneticPr fontId="2"/>
  <pageMargins left="0.7" right="0.7" top="0.75" bottom="0.75" header="0.3" footer="0.3"/>
  <ignoredErrors>
    <ignoredError sqref="D3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2F71-56B1-44A4-A570-38C3B72AE69D}">
  <sheetPr codeName="Sheet3">
    <tabColor rgb="FFFFCCCC"/>
  </sheetPr>
  <dimension ref="A1:V34"/>
  <sheetViews>
    <sheetView topLeftCell="F20" zoomScale="80" zoomScaleNormal="80" workbookViewId="0">
      <selection activeCell="M25" sqref="M25"/>
    </sheetView>
  </sheetViews>
  <sheetFormatPr defaultRowHeight="18.75"/>
  <cols>
    <col min="1" max="1" width="13.375" customWidth="1"/>
    <col min="2" max="2" width="11.25" customWidth="1"/>
    <col min="3" max="3" width="19" customWidth="1"/>
    <col min="5" max="5" width="11.625" customWidth="1"/>
    <col min="8" max="8" width="19.75" customWidth="1"/>
    <col min="10" max="10" width="12.375" bestFit="1" customWidth="1"/>
    <col min="12" max="12" width="14.25" bestFit="1" customWidth="1"/>
    <col min="15" max="15" width="10.375" bestFit="1" customWidth="1"/>
    <col min="19" max="19" width="17.625" customWidth="1"/>
    <col min="20" max="20" width="15.125" bestFit="1" customWidth="1"/>
    <col min="21" max="21" width="11.25" customWidth="1"/>
    <col min="24" max="24" width="12.25" bestFit="1" customWidth="1"/>
  </cols>
  <sheetData>
    <row r="1" spans="1:21">
      <c r="A1" s="81"/>
      <c r="B1" s="150" t="s">
        <v>2063</v>
      </c>
      <c r="C1" s="150"/>
      <c r="D1" s="150" t="s">
        <v>2064</v>
      </c>
      <c r="E1" s="150"/>
      <c r="F1" s="150" t="s">
        <v>2065</v>
      </c>
      <c r="G1" s="150"/>
      <c r="H1" s="150" t="s">
        <v>2066</v>
      </c>
      <c r="I1" s="150"/>
      <c r="J1" s="150" t="s">
        <v>2078</v>
      </c>
      <c r="K1" s="150"/>
      <c r="L1" s="81" t="s">
        <v>2071</v>
      </c>
      <c r="M1" s="81" t="s">
        <v>2009</v>
      </c>
      <c r="N1" s="81" t="s">
        <v>2167</v>
      </c>
      <c r="O1" s="81" t="s">
        <v>2072</v>
      </c>
      <c r="S1" s="81" t="s">
        <v>2161</v>
      </c>
      <c r="T1" s="81">
        <f>計算条件!B3</f>
        <v>6</v>
      </c>
      <c r="U1" s="81" t="str">
        <f>計算条件!F3</f>
        <v>温暖地</v>
      </c>
    </row>
    <row r="2" spans="1:21">
      <c r="A2" s="81"/>
      <c r="B2" s="81" t="s">
        <v>2073</v>
      </c>
      <c r="C2" s="81" t="s">
        <v>2074</v>
      </c>
      <c r="D2" s="81" t="s">
        <v>2073</v>
      </c>
      <c r="E2" s="81" t="s">
        <v>2074</v>
      </c>
      <c r="F2" s="81" t="s">
        <v>2073</v>
      </c>
      <c r="G2" s="81" t="s">
        <v>2074</v>
      </c>
      <c r="H2" s="81" t="s">
        <v>2073</v>
      </c>
      <c r="I2" s="81" t="s">
        <v>2074</v>
      </c>
      <c r="J2" s="81" t="s">
        <v>2073</v>
      </c>
      <c r="K2" s="81" t="s">
        <v>2074</v>
      </c>
      <c r="L2" s="81"/>
      <c r="M2" s="81"/>
      <c r="N2" s="81"/>
      <c r="O2" s="81">
        <f>SUM(B3:B8,D3:D8,F3:F8,H3:H8,J3:J8)</f>
        <v>301.69</v>
      </c>
      <c r="P2" t="s">
        <v>2085</v>
      </c>
      <c r="S2" s="81" t="s">
        <v>2162</v>
      </c>
      <c r="T2" s="81" t="str">
        <f>計算条件!A3</f>
        <v>H</v>
      </c>
    </row>
    <row r="3" spans="1:21">
      <c r="A3" s="81" t="s">
        <v>2041</v>
      </c>
      <c r="B3" s="81">
        <f>SUMIFS(砂川さんエクセルデータ!$D$2:$D$51,砂川さんエクセルデータ!$B$2:$B$51,$A3,砂川さんエクセルデータ!$E$2:$E$51,B$1)</f>
        <v>33.089999999999996</v>
      </c>
      <c r="C3" s="81" cm="1">
        <f t="array" aca="1" ref="C3" ca="1">_xlfn.IFS(計算条件!$A3="C",OFFSET(方位係数!$B17,VALUE(計算条件!$B3)-1,0),計算条件!$A3="H",OFFSET(方位係数!$C17,VALUE(計算条件!$B3)-1,0))</f>
        <v>0.93600000000000005</v>
      </c>
      <c r="D3" s="81">
        <f>SUMIFS(砂川さんエクセルデータ!$D$2:$D$51,砂川さんエクセルデータ!$B$2:$B$51,$A3,砂川さんエクセルデータ!$E$2:$E$51,D$1)</f>
        <v>29.450000000000003</v>
      </c>
      <c r="E3" s="81" cm="1">
        <f t="array" aca="1" ref="E3" ca="1">_xlfn.IFS(計算条件!$A3="C",OFFSET(方位係数!$D17,VALUE(計算条件!$B3)-1,0),計算条件!$A3="H",OFFSET(方位係数!$E17,VALUE(計算条件!$B3)-1,0))</f>
        <v>0.52300000000000002</v>
      </c>
      <c r="F3" s="81">
        <f>SUMIFS(砂川さんエクセルデータ!$D$2:$D$51,砂川さんエクセルデータ!$B$2:$B$51,$A3,砂川さんエクセルデータ!$E$2:$E$51,F$1)</f>
        <v>44.05</v>
      </c>
      <c r="G3" s="81" cm="1">
        <f t="array" aca="1" ref="G3" ca="1">_xlfn.IFS(計算条件!$A3="C",OFFSET(方位係数!$F17,VALUE(計算条件!$B3)-1,0),計算条件!$A3="H",OFFSET(方位係数!$G17,VALUE(計算条件!$B3)-1,0))</f>
        <v>0.26100000000000001</v>
      </c>
      <c r="H3" s="81">
        <f>SUMIFS(砂川さんエクセルデータ!$D$2:$D$51,砂川さんエクセルデータ!$B$2:$B$51,$A3,砂川さんエクセルデータ!$E$2:$E$51,H$1)</f>
        <v>27.060000000000002</v>
      </c>
      <c r="I3" s="81" cm="1">
        <f t="array" aca="1" ref="I3" ca="1">_xlfn.IFS(計算条件!$A3="C",OFFSET(方位係数!$H17,VALUE(計算条件!$B3)-1,0),計算条件!$A3="H",OFFSET(方位係数!$I17,VALUE(計算条件!$B3)-1,0))</f>
        <v>0.57899999999999996</v>
      </c>
      <c r="J3" s="81">
        <f>SUMIFS(砂川さんエクセルデータ!$D$2:$D$51,砂川さんエクセルデータ!$B$2:$B$51,$A3,砂川さんエクセルデータ!$E$2:$E$51,J$1)</f>
        <v>0</v>
      </c>
      <c r="K3" s="81">
        <v>1</v>
      </c>
      <c r="L3" s="81">
        <v>1</v>
      </c>
      <c r="M3" s="81">
        <f>MIN(T15*$T$21,断熱材の厚さ!B25)</f>
        <v>0.55231586270327249</v>
      </c>
      <c r="N3" s="81">
        <f>M3*0.034</f>
        <v>1.8778739331911265E-2</v>
      </c>
      <c r="S3" s="81" t="s">
        <v>2079</v>
      </c>
      <c r="T3" s="81">
        <f>B3+D3+F3+H3+J3</f>
        <v>133.65</v>
      </c>
      <c r="U3" t="s">
        <v>2086</v>
      </c>
    </row>
    <row r="4" spans="1:21">
      <c r="A4" s="81" t="s">
        <v>2067</v>
      </c>
      <c r="B4" s="81"/>
      <c r="C4" s="81"/>
      <c r="D4" s="81"/>
      <c r="E4" s="81"/>
      <c r="F4" s="81"/>
      <c r="G4" s="81"/>
      <c r="H4" s="81"/>
      <c r="I4" s="81"/>
      <c r="J4" s="81">
        <f>SUMIFS(砂川さんエクセルデータ!$D$2:$D$51,砂川さんエクセルデータ!$B$2:$B$51,$A4,砂川さんエクセルデータ!$E$2:$E$51,J$1)</f>
        <v>67.919999999999987</v>
      </c>
      <c r="K4" s="81">
        <v>1</v>
      </c>
      <c r="L4" s="81">
        <v>1</v>
      </c>
      <c r="M4" s="81">
        <f>MIN(T16*$T$21,断熱材の厚さ!B26)</f>
        <v>0.25010529631846296</v>
      </c>
      <c r="N4" s="81">
        <f t="shared" ref="N4:N7" si="0">M4*0.034</f>
        <v>8.5035800748277414E-3</v>
      </c>
      <c r="S4" s="81" t="s">
        <v>2080</v>
      </c>
      <c r="T4" s="151">
        <f>J4</f>
        <v>67.919999999999987</v>
      </c>
    </row>
    <row r="5" spans="1:21">
      <c r="A5" s="81" t="s">
        <v>2068</v>
      </c>
      <c r="B5" s="81"/>
      <c r="C5" s="81"/>
      <c r="D5" s="81"/>
      <c r="E5" s="81"/>
      <c r="F5" s="81"/>
      <c r="G5" s="81"/>
      <c r="H5" s="81"/>
      <c r="I5" s="81"/>
      <c r="J5" s="154">
        <f>SUMIFS(砂川さんエクセルデータ!$D$2:$D$51,砂川さんエクセルデータ!$B$2:$B$51,$A5,砂川さんエクセルデータ!$E$2:$E$51,J$1)</f>
        <v>65.42</v>
      </c>
      <c r="K5" s="81">
        <v>0</v>
      </c>
      <c r="L5" s="81">
        <v>0.7</v>
      </c>
      <c r="M5" s="81">
        <f>MIN(T17*$T$21,断熱材の厚さ!B27)</f>
        <v>0.50021059263692591</v>
      </c>
      <c r="N5" s="81">
        <f t="shared" si="0"/>
        <v>1.7007160149655483E-2</v>
      </c>
      <c r="S5" s="81" t="s">
        <v>2081</v>
      </c>
      <c r="T5" s="151">
        <f>J5</f>
        <v>65.42</v>
      </c>
    </row>
    <row r="6" spans="1:21">
      <c r="A6" s="81" t="s">
        <v>2213</v>
      </c>
      <c r="B6" s="81"/>
      <c r="C6" s="81"/>
      <c r="D6" s="81"/>
      <c r="E6" s="81"/>
      <c r="F6" s="81"/>
      <c r="G6" s="81"/>
      <c r="H6" s="81"/>
      <c r="I6" s="81"/>
      <c r="J6" s="81">
        <f>SUMIFS(砂川さんエクセルデータ!$D$2:$D$51,砂川さんエクセルデータ!$B$2:$B$51,$A6,砂川さんエクセルデータ!$E$2:$E$51,J$1)</f>
        <v>2.48</v>
      </c>
      <c r="K6" s="81"/>
      <c r="L6" s="81"/>
      <c r="M6" s="81"/>
      <c r="N6" s="81"/>
      <c r="S6" s="81" t="s">
        <v>2082</v>
      </c>
      <c r="T6" s="151">
        <f>B7+D7+F7+H7</f>
        <v>3.51</v>
      </c>
    </row>
    <row r="7" spans="1:21">
      <c r="A7" s="81" t="s">
        <v>2069</v>
      </c>
      <c r="B7" s="81">
        <f>SUMIFS(砂川さんエクセルデータ!$D$2:$D$51,砂川さんエクセルデータ!$B$2:$B$51,"*"&amp;$A7,砂川さんエクセルデータ!$E$2:$E$51,B$1)</f>
        <v>0</v>
      </c>
      <c r="C7" s="81">
        <f ca="1">C3</f>
        <v>0.93600000000000005</v>
      </c>
      <c r="D7" s="81">
        <f>SUMIFS(砂川さんエクセルデータ!$D$2:$D$51,砂川さんエクセルデータ!$B$2:$B$51,"*"&amp;$A7,砂川さんエクセルデータ!$E$2:$E$51,D$1)</f>
        <v>1.89</v>
      </c>
      <c r="E7" s="81">
        <f ca="1">E3</f>
        <v>0.52300000000000002</v>
      </c>
      <c r="F7" s="81">
        <f>SUMIFS(砂川さんエクセルデータ!$D$2:$D$51,砂川さんエクセルデータ!$B$2:$B$51,"*"&amp;$A7,砂川さんエクセルデータ!$E$2:$E$51,F$1)</f>
        <v>1.62</v>
      </c>
      <c r="G7" s="81">
        <f ca="1">G3</f>
        <v>0.26100000000000001</v>
      </c>
      <c r="H7" s="81">
        <f>SUMIFS(砂川さんエクセルデータ!$D$2:$D$51,砂川さんエクセルデータ!$B$2:$B$51,"*"&amp;$A7,砂川さんエクセルデータ!$E$2:$E$51,H$1)</f>
        <v>0</v>
      </c>
      <c r="I7" s="81">
        <f ca="1">I3</f>
        <v>0.57899999999999996</v>
      </c>
      <c r="J7" s="81"/>
      <c r="K7" s="81"/>
      <c r="L7" s="81">
        <v>1</v>
      </c>
      <c r="M7" s="81">
        <f>MIN(MAX(T18*$T$21,0.01),6.51)</f>
        <v>4.8978953862365673</v>
      </c>
      <c r="N7" s="81">
        <f t="shared" si="0"/>
        <v>0.16652844313204329</v>
      </c>
      <c r="S7" s="81" t="s">
        <v>2083</v>
      </c>
      <c r="T7" s="81">
        <f>B8+D8+F8+H8+J8</f>
        <v>28.71</v>
      </c>
      <c r="U7" t="s">
        <v>2084</v>
      </c>
    </row>
    <row r="8" spans="1:21">
      <c r="A8" s="81" t="s">
        <v>2070</v>
      </c>
      <c r="B8" s="81">
        <f>SUMIFS(砂川さんエクセルデータ!$F$2:$F$51,砂川さんエクセルデータ!$E$2:$E$51,B$1)</f>
        <v>19.7</v>
      </c>
      <c r="C8" s="81" cm="1">
        <f t="array" aca="1" ref="C8" ca="1">_xlfn.IFS(計算条件!$A3="C",OFFSET(方位係数!$B3,VALUE(計算条件!$B3)-1,0),計算条件!$A3="H",OFFSET(方位係数!$C3,VALUE(計算条件!$B3)-1,0))</f>
        <v>0.93600000000000005</v>
      </c>
      <c r="D8" s="81">
        <f>SUMIFS(砂川さんエクセルデータ!$F$2:$F$51,砂川さんエクセルデータ!$E$2:$E$51,D$1)</f>
        <v>2.0700000000000003</v>
      </c>
      <c r="E8" s="81" cm="1">
        <f t="array" aca="1" ref="E8" ca="1">_xlfn.IFS(計算条件!$A3="C",OFFSET(方位係数!$D3,VALUE(計算条件!$B3)-1,0),計算条件!$A3="H",OFFSET(方位係数!$E3,VALUE(計算条件!$B3)-1,0))</f>
        <v>0.52300000000000002</v>
      </c>
      <c r="F8" s="81">
        <f>SUMIFS(砂川さんエクセルデータ!$F$2:$F$51,砂川さんエクセルデータ!$E$2:$E$51,F$1)</f>
        <v>3.1500000000000004</v>
      </c>
      <c r="G8" s="81" cm="1">
        <f t="array" aca="1" ref="G8" ca="1">_xlfn.IFS(計算条件!$A3="C",OFFSET(方位係数!$F3,VALUE(計算条件!$B3)-1,0),計算条件!$A3="H",OFFSET(方位係数!$G3,VALUE(計算条件!$B3)-1,0))</f>
        <v>0.26100000000000001</v>
      </c>
      <c r="H8" s="81">
        <f>SUMIFS(砂川さんエクセルデータ!$F$2:$F$51,砂川さんエクセルデータ!$E$2:$E$51,H$1)</f>
        <v>3.79</v>
      </c>
      <c r="I8" s="81" cm="1">
        <f t="array" aca="1" ref="I8" ca="1">_xlfn.IFS(計算条件!$A3="C",OFFSET(方位係数!$H3,VALUE(計算条件!$B3)-1,0),計算条件!$A3="H",OFFSET(方位係数!$I3,VALUE(計算条件!$B3)-1,0))</f>
        <v>0.57899999999999996</v>
      </c>
      <c r="J8" s="81"/>
      <c r="K8" s="81"/>
      <c r="L8" s="81">
        <v>1</v>
      </c>
      <c r="M8" s="81" cm="1">
        <f t="array" aca="1" ref="M8" ca="1">_xlfn.IFS(T23=0,T19*$T$21,T23=1,"-")</f>
        <v>4.8978953862365673</v>
      </c>
      <c r="N8" s="81" cm="1">
        <f t="array" aca="1" ref="N8" ca="1">_xlfn.IFS(T23=0,_xlfn.IFS(計算条件!A3="C",T29,計算条件!A3="H",T34),T23=1,"-")</f>
        <v>0.77928031250355267</v>
      </c>
      <c r="O8" t="s">
        <v>2206</v>
      </c>
    </row>
    <row r="9" spans="1:21">
      <c r="L9" s="81" t="s">
        <v>2070</v>
      </c>
      <c r="M9" s="81" t="str" cm="1">
        <f t="array" aca="1" ref="M9" ca="1">_xlfn.IFS(T23=1,(T19*$T$21)/T22,T23=0,"-")</f>
        <v>-</v>
      </c>
      <c r="N9" s="81" t="str" cm="1">
        <f t="array" aca="1" ref="N9" ca="1">_xlfn.IFS(T23=1,_xlfn.IFS(T2="C",U29,T2="H",U34),T23=0,"-")</f>
        <v>-</v>
      </c>
      <c r="O9" t="s">
        <v>2207</v>
      </c>
      <c r="S9" s="81" t="s">
        <v>2087</v>
      </c>
      <c r="T9" s="152">
        <f>計算条件!I3</f>
        <v>0.89999999999999991</v>
      </c>
      <c r="U9" t="s">
        <v>2205</v>
      </c>
    </row>
    <row r="10" spans="1:21">
      <c r="K10" s="81" t="s">
        <v>2203</v>
      </c>
      <c r="L10" s="130"/>
      <c r="M10" s="149" cm="1">
        <f t="array" aca="1" ref="M10" ca="1">_xlfn.IFS(T23=0,MIN(MAX(M8,0.01),6.51),T23=1,MIN(MAX(M9,0.01),6.51))</f>
        <v>4.8978953862365673</v>
      </c>
      <c r="N10" s="149" cm="1">
        <f t="array" aca="1" ref="N10" ca="1">_xlfn.IFS(T23=0,MIN(MAX(N8,0.001),0.88),T23=1,MIN(MAX(N9,0.001),0.88))</f>
        <v>0.77928031250355267</v>
      </c>
      <c r="S10" s="81" t="s">
        <v>2120</v>
      </c>
      <c r="T10" s="152" t="str" cm="1">
        <f t="array" ref="T10">_xlfn.IFS(計算条件!A3="C",計算条件!J3,計算条件!A3="H","-")</f>
        <v>-</v>
      </c>
      <c r="U10" t="s">
        <v>2205</v>
      </c>
    </row>
    <row r="11" spans="1:21">
      <c r="S11" s="81" t="s">
        <v>2157</v>
      </c>
      <c r="T11" s="152" cm="1">
        <f t="array" ref="T11">_xlfn.IFS(計算条件!A3="C","-",計算条件!A3="H",計算条件!J3)</f>
        <v>4.8000000000000008E-2</v>
      </c>
      <c r="U11" t="s">
        <v>2205</v>
      </c>
    </row>
    <row r="14" spans="1:21" ht="37.5">
      <c r="A14" s="81"/>
      <c r="B14" s="81" t="s">
        <v>2165</v>
      </c>
      <c r="C14" s="148" t="s">
        <v>2196</v>
      </c>
      <c r="N14" t="s">
        <v>2180</v>
      </c>
      <c r="S14" s="81"/>
      <c r="T14" s="81" t="s">
        <v>2183</v>
      </c>
      <c r="U14" s="81" t="s">
        <v>2165</v>
      </c>
    </row>
    <row r="15" spans="1:21">
      <c r="A15" s="81" t="s">
        <v>2041</v>
      </c>
      <c r="B15" s="81" cm="1">
        <f t="array" aca="1" ref="B15" ca="1">_xlfn.IFS(T23=0,M3*(B3+D3+F3+H3+J3)*L3,T23=1,"-")</f>
        <v>73.817015050292369</v>
      </c>
      <c r="C15" s="81" t="str" cm="1">
        <f t="array" aca="1" ref="C15" ca="1">_xlfn.IFS(T23=1,M3*(B3+D3+F3+H3+J3)*L3,T23=0,"-")</f>
        <v>-</v>
      </c>
      <c r="N15" s="81"/>
      <c r="O15" s="81" t="s">
        <v>2181</v>
      </c>
      <c r="P15" s="81" t="s">
        <v>2182</v>
      </c>
      <c r="S15" s="81" t="s">
        <v>2041</v>
      </c>
      <c r="T15" s="81">
        <f>VLOOKUP(S15,$N$16:$P$20,MATCH($U$1,$O$15:$P$15,0)+1,FALSE)</f>
        <v>0.53</v>
      </c>
      <c r="U15" s="81">
        <f>T15*(B3+D3+F3+H3)*L3</f>
        <v>70.834500000000006</v>
      </c>
    </row>
    <row r="16" spans="1:21">
      <c r="A16" s="81" t="s">
        <v>2067</v>
      </c>
      <c r="B16" s="81" cm="1">
        <f t="array" aca="1" ref="B16" ca="1">_xlfn.IFS(T23=0,M4*J4*L4,T23=1,"-")</f>
        <v>16.98715172595</v>
      </c>
      <c r="C16" s="81" t="str" cm="1">
        <f t="array" aca="1" ref="C16" ca="1">_xlfn.IFS(T23=1,M4*J4*L4,T23=0,"-")</f>
        <v>-</v>
      </c>
      <c r="N16" s="81" t="s">
        <v>2041</v>
      </c>
      <c r="O16" s="81">
        <v>0.35</v>
      </c>
      <c r="P16" s="154">
        <v>0.53</v>
      </c>
      <c r="R16" s="80"/>
      <c r="S16" s="81" t="s">
        <v>2067</v>
      </c>
      <c r="T16" s="81">
        <f t="shared" ref="T16:T19" si="1">VLOOKUP(S16,$N$16:$P$20,MATCH($U$1,$O$15:$P$15,0)+1,FALSE)</f>
        <v>0.24</v>
      </c>
      <c r="U16" s="81">
        <f>J4*L4*T16</f>
        <v>16.300799999999995</v>
      </c>
    </row>
    <row r="17" spans="1:22">
      <c r="A17" s="81" t="s">
        <v>2068</v>
      </c>
      <c r="B17" s="81" cm="1">
        <f t="array" aca="1" ref="B17" ca="1">_xlfn.IFS(T23=0,M5*J5*L5,T23=1,"-")</f>
        <v>22.906643879215387</v>
      </c>
      <c r="C17" s="81" t="str" cm="1">
        <f t="array" aca="1" ref="C17" ca="1">_xlfn.IFS(T23=1,M5*J5*L5,T23=0,"-")</f>
        <v>-</v>
      </c>
      <c r="N17" s="81" t="s">
        <v>2067</v>
      </c>
      <c r="O17" s="81">
        <v>0.17</v>
      </c>
      <c r="P17" s="154">
        <v>0.24</v>
      </c>
      <c r="S17" s="81" t="s">
        <v>2068</v>
      </c>
      <c r="T17" s="81">
        <f t="shared" si="1"/>
        <v>0.48</v>
      </c>
      <c r="U17" s="81">
        <f>J5*L5*T17</f>
        <v>21.981119999999997</v>
      </c>
    </row>
    <row r="18" spans="1:22">
      <c r="A18" s="81" t="s">
        <v>2069</v>
      </c>
      <c r="B18" s="81" cm="1">
        <f t="array" aca="1" ref="B18" ca="1">_xlfn.IFS(T23=0,M7*(B7+D7+F7+H7)*L7,T23=1,"-")</f>
        <v>17.191612805690351</v>
      </c>
      <c r="C18" s="81" t="str" cm="1">
        <f t="array" aca="1" ref="C18" ca="1">_xlfn.IFS(T23=1,M7*(B7+D7+F7+H7)*L7,T23=0,"-")</f>
        <v>-</v>
      </c>
      <c r="N18" s="81" t="s">
        <v>2068</v>
      </c>
      <c r="O18" s="81">
        <v>0.34</v>
      </c>
      <c r="P18" s="154">
        <v>0.48</v>
      </c>
      <c r="S18" s="81" t="s">
        <v>2069</v>
      </c>
      <c r="T18" s="81">
        <f t="shared" si="1"/>
        <v>4.7</v>
      </c>
      <c r="U18" s="81">
        <f>T18*(B7+D7+F7+H7)*L7</f>
        <v>16.497</v>
      </c>
    </row>
    <row r="19" spans="1:22">
      <c r="A19" s="81" t="s">
        <v>2070</v>
      </c>
      <c r="B19" s="81" cm="1">
        <f t="array" aca="1" ref="B19" ca="1">_xlfn.IFS(T23=0,M10*(B8+D8+F8+H8)*L8,T23=1,"-")</f>
        <v>140.61857653885184</v>
      </c>
      <c r="C19" s="81" t="str" cm="1">
        <f t="array" aca="1" ref="C19" ca="1">_xlfn.IFS(T23=1,M10*SUM(砂川さんエクセルデータ!G2:G51)*外皮面積!L8,T23=0,"-")</f>
        <v>-</v>
      </c>
      <c r="N19" s="81" t="s">
        <v>2069</v>
      </c>
      <c r="O19" s="81">
        <v>2.2999999999999998</v>
      </c>
      <c r="P19" s="154">
        <v>4.7</v>
      </c>
      <c r="S19" s="81" t="s">
        <v>2070</v>
      </c>
      <c r="T19" s="81">
        <f t="shared" si="1"/>
        <v>4.7</v>
      </c>
      <c r="U19" s="81">
        <f>T19*(B8+D8+F8+H8)*L8</f>
        <v>134.93700000000001</v>
      </c>
    </row>
    <row r="20" spans="1:22" ht="47.45" customHeight="1">
      <c r="A20" s="81"/>
      <c r="B20" s="81" cm="1">
        <f t="array" aca="1" ref="B20" ca="1">_xlfn.IFS(T23=0,SUM(B15:B19),T23=1,"-")</f>
        <v>271.52099999999996</v>
      </c>
      <c r="C20" s="81" t="str" cm="1">
        <f t="array" aca="1" ref="C20" ca="1">_xlfn.IFS(T23=1,SUM(C15:C19),T23=0,"-")</f>
        <v>-</v>
      </c>
      <c r="N20" s="81" t="s">
        <v>2070</v>
      </c>
      <c r="O20" s="81">
        <v>2.2999999999999998</v>
      </c>
      <c r="P20" s="154">
        <v>4.7</v>
      </c>
      <c r="S20" s="148" t="s">
        <v>2184</v>
      </c>
      <c r="T20" s="81"/>
      <c r="U20" s="149">
        <f>SUM(U15:U19)/$O$2</f>
        <v>0.86363624912990167</v>
      </c>
    </row>
    <row r="21" spans="1:22">
      <c r="A21" s="81" t="s">
        <v>2087</v>
      </c>
      <c r="B21" s="149" cm="1">
        <f t="array" aca="1" ref="B21" ca="1">_xlfn.IFS(T23=0,B20/O2,T23=1,"-")</f>
        <v>0.89999999999999991</v>
      </c>
      <c r="C21" s="149" t="str" cm="1">
        <f t="array" aca="1" ref="C21" ca="1">_xlfn.IFS(T23=1,C20/O2,T23=0,"-")</f>
        <v>-</v>
      </c>
      <c r="D21" t="s">
        <v>2171</v>
      </c>
      <c r="S21" s="81" t="s">
        <v>2166</v>
      </c>
      <c r="T21" s="81">
        <f>MAX($T$9/$U$20,0)</f>
        <v>1.0421054013269291</v>
      </c>
    </row>
    <row r="22" spans="1:22">
      <c r="S22" s="81" t="s">
        <v>2185</v>
      </c>
      <c r="T22" s="81" cm="1">
        <f t="array" aca="1" ref="T22" ca="1">_xlfn.IFS(計算条件!A3="C",T29/0.88,計算条件!A3="H",T34/0.88)</f>
        <v>0.88554580966312801</v>
      </c>
    </row>
    <row r="23" spans="1:22">
      <c r="S23" s="81" t="s">
        <v>2192</v>
      </c>
      <c r="T23" s="81" cm="1">
        <f t="array" aca="1" ref="T23" ca="1">_xlfn.IFS(T2="C",IF(T29&gt;0.88,1,0),T2="H",IF(T34&gt;0.88,1,0))</f>
        <v>0</v>
      </c>
      <c r="U23" t="s">
        <v>2204</v>
      </c>
    </row>
    <row r="25" spans="1:22" ht="37.5">
      <c r="A25" s="81"/>
      <c r="B25" s="81" t="s">
        <v>2168</v>
      </c>
      <c r="C25" s="148" t="s">
        <v>2197</v>
      </c>
      <c r="F25" s="81"/>
      <c r="G25" s="81" t="s">
        <v>2169</v>
      </c>
      <c r="H25" s="148" t="s">
        <v>2197</v>
      </c>
      <c r="S25" s="81"/>
      <c r="T25" s="81" t="s">
        <v>2200</v>
      </c>
      <c r="U25" s="81" t="s">
        <v>2198</v>
      </c>
    </row>
    <row r="26" spans="1:22">
      <c r="A26" s="81" t="s">
        <v>2041</v>
      </c>
      <c r="B26" s="81" t="str" cm="1">
        <f t="array" aca="1" ref="B26" ca="1">_xlfn.IFS(T23=0,IF(T2="C",N3*SUM(砂川さんエクセルデータ!Q2:Q29),"-"),T23=1,"-")</f>
        <v>-</v>
      </c>
      <c r="C26" s="81" t="str" cm="1">
        <f t="array" aca="1" ref="C26" ca="1">_xlfn.IFS(T23=1,IF(T2="C",外皮面積!N3*SUM(砂川さんエクセルデータ!Q2:Q29),"-"),T23=0,"-")</f>
        <v>-</v>
      </c>
      <c r="F26" s="81" t="s">
        <v>2041</v>
      </c>
      <c r="G26" s="81" cm="1">
        <f t="array" aca="1" ref="G26" ca="1">_xlfn.IFS(T23=0,IF(T2="H",N3*SUM(砂川さんエクセルデータ!T2:T29),"-"),T23=1,"-")</f>
        <v>1.3809768476503685</v>
      </c>
      <c r="H26" s="81" t="str" cm="1">
        <f t="array" aca="1" ref="H26" ca="1">_xlfn.IFS(T23=1,IF(T2="H",N3*SUM(砂川さんエクセルデータ!T2:T29),"-"),T23=0,"-")</f>
        <v>-</v>
      </c>
      <c r="S26" s="81" t="s">
        <v>2128</v>
      </c>
      <c r="T26" s="81" t="str" cm="1">
        <f t="array" ref="T26">_xlfn.IFS(計算条件!A3="C",T10*O2,計算条件!A3="H","-")</f>
        <v>-</v>
      </c>
      <c r="U26" s="81" t="str" cm="1">
        <f t="array" ref="U26">_xlfn.IFS(計算条件!A3="C",T10*O2,計算条件!A3="H","-")</f>
        <v>-</v>
      </c>
    </row>
    <row r="27" spans="1:22">
      <c r="A27" s="81" t="s">
        <v>2067</v>
      </c>
      <c r="B27" s="81" t="str" cm="1">
        <f t="array" aca="1" ref="B27" ca="1">_xlfn.IFS(T23=0,IF(T2="C",N4*SUM(砂川さんエクセルデータ!Q30:Q41),"-"),T23=1,"-")</f>
        <v>-</v>
      </c>
      <c r="C27" s="81" t="str" cm="1">
        <f t="array" aca="1" ref="C27" ca="1">_xlfn.IFS(T23=1,IF(T2="C",N4*SUM(砂川さんエクセルデータ!Q30:Q41),"-"),T23=0,"-")</f>
        <v>-</v>
      </c>
      <c r="F27" s="81" t="s">
        <v>2067</v>
      </c>
      <c r="G27" s="81" cm="1">
        <f t="array" aca="1" ref="G27" ca="1">_xlfn.IFS(T23=0,IF(T2="H",N4*SUM(砂川さんエクセルデータ!T30:T41),"-"),T23=1,"-")</f>
        <v>0.57756315868230013</v>
      </c>
      <c r="H27" s="81" t="str" cm="1">
        <f t="array" aca="1" ref="H27" ca="1">_xlfn.IFS(T23=1,IF(T2="H",N4*SUM(砂川さんエクセルデータ!T30:T41),"-"),T23=0,"-")</f>
        <v>-</v>
      </c>
      <c r="S27" s="81" t="s">
        <v>2127</v>
      </c>
      <c r="T27" s="81" t="str" cm="1">
        <f t="array" aca="1" ref="T27" ca="1">_xlfn.IFS(計算条件!A3="C",SUMPRODUCT(砂川さんエクセルデータ!Q2:Q51,砂川さんエクセルデータ!P2:P51),計算条件!A3="H","-")</f>
        <v>-</v>
      </c>
      <c r="U27" s="81" t="str" cm="1">
        <f t="array" aca="1" ref="U27" ca="1">_xlfn.IFS(計算条件!A3="C",SUMPRODUCT(砂川さんエクセルデータ!Q2:Q51,砂川さんエクセルデータ!P2:P51),計算条件!A3="H","-")</f>
        <v>-</v>
      </c>
    </row>
    <row r="28" spans="1:22">
      <c r="A28" s="81" t="s">
        <v>2068</v>
      </c>
      <c r="B28" s="81" t="str" cm="1">
        <f t="array" aca="1" ref="B28" ca="1">_xlfn.IFS(T23=0,IF(T2="C",N5*SUM(砂川さんエクセルデータ!Q42:Q49),"-"),T23=1,"-")</f>
        <v>-</v>
      </c>
      <c r="C28" s="81" t="str" cm="1">
        <f t="array" aca="1" ref="C28" ca="1">_xlfn.IFS(T23=1,IF(T2="C",N5*SUM(砂川さんエクセルデータ!Q42:Q49),"-"),T23=0,"-")</f>
        <v>-</v>
      </c>
      <c r="F28" s="81" t="s">
        <v>2068</v>
      </c>
      <c r="G28" s="81" cm="1">
        <f t="array" aca="1" ref="G28" ca="1">_xlfn.IFS(T23=0,IF(T2="H",N5*SUM(砂川さんエクセルデータ!T42:T49),"-"),T23=1,"-")</f>
        <v>0</v>
      </c>
      <c r="H28" s="81" t="str" cm="1">
        <f t="array" aca="1" ref="H28" ca="1">_xlfn.IFS(T23=1,IF(T2="H",N5*SUM(砂川さんエクセルデータ!T42:T49),"-"),T23=0,"-")</f>
        <v>-</v>
      </c>
      <c r="S28" s="81" t="s">
        <v>2131</v>
      </c>
      <c r="T28" s="81" t="str" cm="1">
        <f t="array" aca="1" ref="T28" ca="1">_xlfn.IFS(計算条件!A3="C",T26-T27,計算条件!A3="H","-")</f>
        <v>-</v>
      </c>
      <c r="U28" s="81" t="str" cm="1">
        <f t="array" aca="1" ref="U28" ca="1">_xlfn.IFS(計算条件!A3="C",U26-U27,計算条件!A3="H","-")</f>
        <v>-</v>
      </c>
    </row>
    <row r="29" spans="1:22">
      <c r="A29" s="81" t="s">
        <v>2170</v>
      </c>
      <c r="B29" s="81" t="str" cm="1">
        <f t="array" aca="1" ref="B29" ca="1">_xlfn.IFS(T23=0,IF(T2="C",N7*SUM(砂川さんエクセルデータ!Q50:Q51),"-"),T23=1,"-")</f>
        <v>-</v>
      </c>
      <c r="C29" s="81" t="str" cm="1">
        <f t="array" aca="1" ref="C29" ca="1">_xlfn.IFS(T23=1,IF(T2="C",N7*SUM(砂川さんエクセルデータ!Q50:Q51),"-"),T23=0,"-")</f>
        <v>-</v>
      </c>
      <c r="F29" s="81" t="s">
        <v>2069</v>
      </c>
      <c r="G29" s="81" cm="1">
        <f t="array" aca="1" ref="G29" ca="1">_xlfn.IFS(T23=0,IF(T2="H",N7*SUM(砂川さんエクセルデータ!T50:T51),"-"),T23=1,"-")</f>
        <v>0.23501992650782136</v>
      </c>
      <c r="H29" s="81" t="str" cm="1">
        <f t="array" aca="1" ref="H29" ca="1">_xlfn.IFS(T23=1,IF(T2="H",N7*SUM(砂川さんエクセルデータ!T50:T51),"-"),T23=0,"-")</f>
        <v>-</v>
      </c>
      <c r="S29" s="81" t="s">
        <v>2156</v>
      </c>
      <c r="T29" s="149" t="str" cm="1">
        <f t="array" aca="1" ref="T29" ca="1">_xlfn.IFS(計算条件!A3="C",T28/SUM(砂川さんエクセルデータ!N2:N29),計算条件!A3="H","-")</f>
        <v>-</v>
      </c>
      <c r="U29" s="149" t="str" cm="1">
        <f t="array" aca="1" ref="U29" ca="1">_xlfn.IFS(計算条件!A3="C",U28/SUM(砂川さんエクセルデータ!O2:O29),計算条件!A3="H","-")</f>
        <v>-</v>
      </c>
      <c r="V29" t="s">
        <v>2199</v>
      </c>
    </row>
    <row r="30" spans="1:22">
      <c r="A30" s="81" t="s">
        <v>2070</v>
      </c>
      <c r="B30" s="81" t="str" cm="1">
        <f t="array" aca="1" ref="B30" ca="1">_xlfn.IFS(T23=0,IF(T2="C",N10*SUM(砂川さんエクセルデータ!N2:N8)+N10*SUM(砂川さんエクセルデータ!N9:N14)+N10*SUM(砂川さんエクセルデータ!N15:N24)+N10*SUM(砂川さんエクセルデータ!N25:N29),"-"),T23=1,"-")</f>
        <v>-</v>
      </c>
      <c r="C30" s="81" t="str" cm="1">
        <f t="array" aca="1" ref="C30" ca="1">_xlfn.IFS(T23=1,IF(T2="C",N10*SUM(砂川さんエクセルデータ!O2:O8)+N10*SUM(砂川さんエクセルデータ!O9:O14)+N10*SUM(砂川さんエクセルデータ!O15:O24)+N10*SUM(砂川さんエクセルデータ!O25:O29),"-"),T23=0,"-")</f>
        <v>-</v>
      </c>
      <c r="F30" s="81" t="s">
        <v>2070</v>
      </c>
      <c r="G30" s="81" cm="1">
        <f t="array" aca="1" ref="G30" ca="1">_xlfn.IFS(T23=0,IF(T2="H",N10*SUM(砂川さんエクセルデータ!R2:R8)+N10*SUM(砂川さんエクセルデータ!R9:R14)+N10*SUM(砂川さんエクセルデータ!R15:R24)+N10*SUM(砂川さんエクセルデータ!R25:R29),"-"),T23=1,"-")</f>
        <v>12.287560067159513</v>
      </c>
      <c r="H30" s="81" t="str" cm="1">
        <f t="array" aca="1" ref="H30" ca="1">_xlfn.IFS(T23=1,IF(T2="H",N10*SUM(砂川さんエクセルデータ!S2:S8)+N10*SUM(砂川さんエクセルデータ!S9:S14)+N10*SUM(砂川さんエクセルデータ!S15:S24)+N10*SUM(砂川さんエクセルデータ!S25:S29),"-"),T23=0,"-")</f>
        <v>-</v>
      </c>
    </row>
    <row r="31" spans="1:22">
      <c r="A31" s="81"/>
      <c r="B31" s="81" t="str" cm="1">
        <f t="array" aca="1" ref="B31" ca="1">_xlfn.IFS(T23=0,IF(T2="C",SUM(B26:B30),"-"),T23=1,"-")</f>
        <v>-</v>
      </c>
      <c r="C31" s="81" t="str" cm="1">
        <f t="array" aca="1" ref="C31" ca="1">_xlfn.IFS(T23=1,IF(T2="C",SUM(C26:C30),"-"),T23=0,"-")</f>
        <v>-</v>
      </c>
      <c r="F31" s="81"/>
      <c r="G31" s="81" cm="1">
        <f t="array" aca="1" ref="G31" ca="1">_xlfn.IFS(T23=0,IF(T2="H",SUM(G26:G30),"-"),T23=1,"-")</f>
        <v>14.481120000000002</v>
      </c>
      <c r="H31" s="81" t="str" cm="1">
        <f t="array" aca="1" ref="H31" ca="1">_xlfn.IFS(T23=1,IF(T2="H",SUM(H26:H30),"-"),T23=0,"-")</f>
        <v>-</v>
      </c>
      <c r="S31" s="81" t="s">
        <v>2158</v>
      </c>
      <c r="T31" s="81" cm="1">
        <f t="array" ref="T31">_xlfn.IFS(計算条件!A3="C","-",計算条件!A3="H",T11*O2)</f>
        <v>14.481120000000002</v>
      </c>
      <c r="U31" s="81" cm="1">
        <f t="array" ref="U31">_xlfn.IFS(計算条件!A3="C","-",計算条件!A3="H",T11*O2)</f>
        <v>14.481120000000002</v>
      </c>
    </row>
    <row r="32" spans="1:22">
      <c r="A32" s="81" t="s">
        <v>2120</v>
      </c>
      <c r="B32" s="149" t="str" cm="1">
        <f t="array" aca="1" ref="B32" ca="1">_xlfn.IFS(T23=0,IF(T2="C",B31/O2,"-"),T23=1,"-")</f>
        <v>-</v>
      </c>
      <c r="C32" s="149" t="str" cm="1">
        <f t="array" aca="1" ref="C32" ca="1">_xlfn.IFS(T23=1,IF(T2="C",C31/O2,"-"),T23=0,"-")</f>
        <v>-</v>
      </c>
      <c r="D32" t="s">
        <v>2171</v>
      </c>
      <c r="F32" s="81" t="s">
        <v>2157</v>
      </c>
      <c r="G32" s="149" cm="1">
        <f t="array" aca="1" ref="G32" ca="1">_xlfn.IFS(T23=0,IF(T2="H",G31/O2,"-"),T23=1,"-")</f>
        <v>4.8000000000000008E-2</v>
      </c>
      <c r="H32" s="149" t="str" cm="1">
        <f t="array" aca="1" ref="H32" ca="1">_xlfn.IFS(T23=1,IF(T2="H",H31/O2,"-"),T23=0,"-")</f>
        <v>-</v>
      </c>
      <c r="I32" t="s">
        <v>2171</v>
      </c>
      <c r="S32" s="81" t="s">
        <v>2159</v>
      </c>
      <c r="T32" s="81" cm="1">
        <f t="array" aca="1" ref="T32" ca="1">_xlfn.IFS(計算条件!A3="C","-",計算条件!A3="H",SUMPRODUCT(砂川さんエクセルデータ!T2:T51,砂川さんエクセルデータ!$P$2:$P$51))</f>
        <v>2.1935599328404902</v>
      </c>
      <c r="U32" s="81" cm="1">
        <f t="array" aca="1" ref="U32" ca="1">_xlfn.IFS(計算条件!A3="C","-",計算条件!A3="H",SUMPRODUCT(砂川さんエクセルデータ!T2:T51,砂川さんエクセルデータ!$P$2:$P$51))</f>
        <v>2.1935599328404902</v>
      </c>
    </row>
    <row r="33" spans="19:22">
      <c r="S33" s="81" t="s">
        <v>2160</v>
      </c>
      <c r="T33" s="81" cm="1">
        <f t="array" aca="1" ref="T33" ca="1">_xlfn.IFS(計算条件!A3="C","-",計算条件!A3="H",T31-T32)</f>
        <v>12.287560067159513</v>
      </c>
      <c r="U33" s="81" cm="1">
        <f t="array" aca="1" ref="U33" ca="1">_xlfn.IFS(計算条件!A3="C","-",計算条件!A3="H",U31-U32)</f>
        <v>12.287560067159513</v>
      </c>
    </row>
    <row r="34" spans="19:22">
      <c r="S34" s="81" t="s">
        <v>2156</v>
      </c>
      <c r="T34" s="149" cm="1">
        <f t="array" aca="1" ref="T34" ca="1">_xlfn.IFS(計算条件!A3="C","-",計算条件!A3="H",T33/SUM(砂川さんエクセルデータ!R2:R29))</f>
        <v>0.77928031250355267</v>
      </c>
      <c r="U34" s="149" cm="1">
        <f t="array" aca="1" ref="U34" ca="1">_xlfn.IFS(計算条件!A3="C","-",計算条件!A3="H",U33/SUM(砂川さんエクセルデータ!S2:S29))</f>
        <v>0.87999999999999989</v>
      </c>
      <c r="V34" t="s">
        <v>2199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E04-A0E3-42CF-834B-6C7892A4152F}">
  <sheetPr codeName="Sheet4"/>
  <dimension ref="A1:X27"/>
  <sheetViews>
    <sheetView topLeftCell="H1" zoomScale="90" zoomScaleNormal="90" workbookViewId="0">
      <selection activeCell="B19" sqref="B19"/>
    </sheetView>
  </sheetViews>
  <sheetFormatPr defaultRowHeight="18.75"/>
  <cols>
    <col min="2" max="3" width="15.125" customWidth="1"/>
    <col min="4" max="4" width="15.125" bestFit="1" customWidth="1"/>
    <col min="5" max="5" width="12.5" bestFit="1" customWidth="1"/>
    <col min="7" max="7" width="12.125" bestFit="1" customWidth="1"/>
    <col min="8" max="8" width="33.25" bestFit="1" customWidth="1"/>
    <col min="9" max="9" width="12.5" bestFit="1" customWidth="1"/>
    <col min="10" max="10" width="7.25" bestFit="1" customWidth="1"/>
    <col min="11" max="11" width="12.125" bestFit="1" customWidth="1"/>
    <col min="12" max="12" width="33.25" bestFit="1" customWidth="1"/>
    <col min="13" max="13" width="12.5" bestFit="1" customWidth="1"/>
    <col min="14" max="14" width="8.625" customWidth="1"/>
    <col min="15" max="15" width="12.125" bestFit="1" customWidth="1"/>
    <col min="16" max="16" width="12.125" customWidth="1"/>
    <col min="19" max="19" width="12.125" bestFit="1" customWidth="1"/>
    <col min="20" max="20" width="15.125" bestFit="1" customWidth="1"/>
    <col min="21" max="21" width="12.5" bestFit="1" customWidth="1"/>
    <col min="22" max="22" width="7.25" bestFit="1" customWidth="1"/>
    <col min="23" max="23" width="12.125" bestFit="1" customWidth="1"/>
    <col min="24" max="24" width="12.5" bestFit="1" customWidth="1"/>
  </cols>
  <sheetData>
    <row r="1" spans="1:24">
      <c r="A1" s="81"/>
      <c r="B1" s="81" t="s">
        <v>2147</v>
      </c>
      <c r="C1" s="128" t="s">
        <v>2148</v>
      </c>
      <c r="D1" s="131" t="s">
        <v>2150</v>
      </c>
      <c r="E1" s="132" t="s">
        <v>2132</v>
      </c>
      <c r="F1" s="132" t="s">
        <v>2133</v>
      </c>
      <c r="G1" s="133" t="s">
        <v>2134</v>
      </c>
      <c r="H1" s="131" t="s">
        <v>2150</v>
      </c>
      <c r="I1" s="132" t="s">
        <v>2135</v>
      </c>
      <c r="J1" s="132" t="s">
        <v>2136</v>
      </c>
      <c r="K1" s="133" t="s">
        <v>2137</v>
      </c>
      <c r="L1" s="131" t="s">
        <v>2150</v>
      </c>
      <c r="M1" s="132" t="s">
        <v>2138</v>
      </c>
      <c r="N1" s="132" t="s">
        <v>2139</v>
      </c>
      <c r="O1" s="133" t="s">
        <v>2140</v>
      </c>
      <c r="P1" s="131" t="s">
        <v>2150</v>
      </c>
      <c r="Q1" s="132" t="s">
        <v>2141</v>
      </c>
      <c r="R1" s="132" t="s">
        <v>2142</v>
      </c>
      <c r="S1" s="133" t="s">
        <v>2143</v>
      </c>
      <c r="T1" s="131" t="s">
        <v>2150</v>
      </c>
      <c r="U1" s="132" t="s">
        <v>2144</v>
      </c>
      <c r="V1" s="132" t="s">
        <v>2145</v>
      </c>
      <c r="W1" s="133" t="s">
        <v>2146</v>
      </c>
      <c r="X1" s="130" t="s">
        <v>2149</v>
      </c>
    </row>
    <row r="2" spans="1:24">
      <c r="A2" s="141" t="s">
        <v>77</v>
      </c>
      <c r="B2" s="79">
        <f>外皮面積!M3</f>
        <v>0.55231586270327249</v>
      </c>
      <c r="C2" s="129">
        <v>0.11</v>
      </c>
      <c r="D2" s="134" t="s">
        <v>176</v>
      </c>
      <c r="E2" s="81">
        <v>4.3181818181818203E-2</v>
      </c>
      <c r="F2" s="81">
        <f t="shared" ref="F2:F8" si="0">E2*G2</f>
        <v>1.0406818181818187E-2</v>
      </c>
      <c r="G2" s="135">
        <v>0.24099999999999999</v>
      </c>
      <c r="H2" s="134" t="s">
        <v>177</v>
      </c>
      <c r="I2" s="81">
        <v>0.09</v>
      </c>
      <c r="J2" s="81"/>
      <c r="K2" s="135"/>
      <c r="L2" s="134" t="s">
        <v>178</v>
      </c>
      <c r="M2" s="81">
        <f>1/B2-C2-X2-(E2+I2+Q2+U2)</f>
        <v>1.3641410619770578</v>
      </c>
      <c r="N2" s="142">
        <f>MAX(M2*O2,0)</f>
        <v>6.1386347788967593E-2</v>
      </c>
      <c r="O2" s="135">
        <v>4.4999999999999998E-2</v>
      </c>
      <c r="P2" s="134" t="s">
        <v>179</v>
      </c>
      <c r="Q2" s="81">
        <v>7.4999999999999997E-2</v>
      </c>
      <c r="R2" s="81">
        <f>Q2*S2</f>
        <v>1.2E-2</v>
      </c>
      <c r="S2" s="135">
        <v>0.16</v>
      </c>
      <c r="T2" s="134" t="s">
        <v>180</v>
      </c>
      <c r="U2" s="81">
        <v>8.8235294117647106E-2</v>
      </c>
      <c r="V2" s="81">
        <f>U2*W2</f>
        <v>1.3235294117647066E-2</v>
      </c>
      <c r="W2" s="135">
        <v>0.15</v>
      </c>
      <c r="X2" s="130">
        <v>0.04</v>
      </c>
    </row>
    <row r="3" spans="1:24">
      <c r="A3" s="141" t="s">
        <v>98</v>
      </c>
      <c r="B3" s="79">
        <f>外皮面積!M4</f>
        <v>0.25010529631846296</v>
      </c>
      <c r="C3" s="129">
        <v>0.09</v>
      </c>
      <c r="D3" s="134" t="s">
        <v>176</v>
      </c>
      <c r="E3" s="81">
        <v>4.3181818181818203E-2</v>
      </c>
      <c r="F3" s="81">
        <f t="shared" si="0"/>
        <v>1.0406818181818187E-2</v>
      </c>
      <c r="G3" s="135">
        <v>0.24099999999999999</v>
      </c>
      <c r="H3" s="134" t="s">
        <v>181</v>
      </c>
      <c r="I3" s="81">
        <f>1/B3-C3-X3-E3</f>
        <v>3.7751341500121725</v>
      </c>
      <c r="J3" s="142">
        <f>MAX(I3*K3,0)</f>
        <v>0.18875670750060863</v>
      </c>
      <c r="K3" s="135">
        <v>0.05</v>
      </c>
      <c r="L3" s="134"/>
      <c r="M3" s="81"/>
      <c r="N3" s="81"/>
      <c r="O3" s="135"/>
      <c r="P3" s="139"/>
      <c r="Q3" s="81"/>
      <c r="R3" s="81"/>
      <c r="S3" s="135"/>
      <c r="T3" s="139"/>
      <c r="U3" s="81"/>
      <c r="V3" s="81"/>
      <c r="W3" s="135"/>
      <c r="X3" s="130">
        <v>0.09</v>
      </c>
    </row>
    <row r="4" spans="1:24">
      <c r="A4" s="141" t="s">
        <v>102</v>
      </c>
      <c r="B4" s="79">
        <f>外皮面積!M5</f>
        <v>0.50021059263692591</v>
      </c>
      <c r="C4" s="129">
        <v>0.15</v>
      </c>
      <c r="D4" s="134" t="s">
        <v>182</v>
      </c>
      <c r="E4" s="81" cm="1">
        <f t="array" ref="E4">_xlfn.IFS(VALUE(計算条件!E3)=1,0,VALUE(計算条件!E3)=2,90/1000/1.6)</f>
        <v>0</v>
      </c>
      <c r="F4" s="81">
        <f t="shared" si="0"/>
        <v>0</v>
      </c>
      <c r="G4" s="135">
        <v>1.6</v>
      </c>
      <c r="H4" s="134" t="s">
        <v>179</v>
      </c>
      <c r="I4" s="81">
        <v>7.4999999999999997E-2</v>
      </c>
      <c r="J4" s="81">
        <f>I4*K4</f>
        <v>1.2E-2</v>
      </c>
      <c r="K4" s="135">
        <v>0.16</v>
      </c>
      <c r="L4" s="134" t="s">
        <v>183</v>
      </c>
      <c r="M4" s="81">
        <f>1/B4-C4-X4-(E4+I4)</f>
        <v>1.6241579840969953</v>
      </c>
      <c r="N4" s="142">
        <f>MAX(M4*O4,0)</f>
        <v>7.3087109284364779E-2</v>
      </c>
      <c r="O4" s="135">
        <v>4.4999999999999998E-2</v>
      </c>
      <c r="P4" s="139"/>
      <c r="Q4" s="81"/>
      <c r="R4" s="81"/>
      <c r="S4" s="135"/>
      <c r="T4" s="139"/>
      <c r="U4" s="81"/>
      <c r="V4" s="81"/>
      <c r="W4" s="135"/>
      <c r="X4" s="130">
        <v>0.15</v>
      </c>
    </row>
    <row r="5" spans="1:24">
      <c r="A5" s="79" t="s">
        <v>149</v>
      </c>
      <c r="B5" s="79"/>
      <c r="C5" s="129"/>
      <c r="D5" s="134" t="s">
        <v>176</v>
      </c>
      <c r="E5" s="81">
        <v>5.6818181818181802E-2</v>
      </c>
      <c r="F5" s="81">
        <f t="shared" si="0"/>
        <v>1.3693181818181814E-2</v>
      </c>
      <c r="G5" s="135">
        <v>0.24099999999999999</v>
      </c>
      <c r="H5" s="134" t="s">
        <v>177</v>
      </c>
      <c r="I5" s="81">
        <v>0.09</v>
      </c>
      <c r="J5" s="81"/>
      <c r="K5" s="135"/>
      <c r="L5" s="134" t="s">
        <v>176</v>
      </c>
      <c r="M5" s="81">
        <v>5.6818181818181802E-2</v>
      </c>
      <c r="N5" s="81">
        <f>M5*O5</f>
        <v>1.3693181818181814E-2</v>
      </c>
      <c r="O5" s="135">
        <v>0.24099999999999999</v>
      </c>
      <c r="P5" s="139"/>
      <c r="Q5" s="81"/>
      <c r="R5" s="81"/>
      <c r="S5" s="135"/>
      <c r="T5" s="139"/>
      <c r="U5" s="81"/>
      <c r="V5" s="81"/>
      <c r="W5" s="135"/>
      <c r="X5" s="130"/>
    </row>
    <row r="6" spans="1:24">
      <c r="A6" s="75" t="s">
        <v>150</v>
      </c>
      <c r="B6" s="79"/>
      <c r="C6" s="129"/>
      <c r="D6" s="134" t="s">
        <v>176</v>
      </c>
      <c r="E6" s="81">
        <v>5.6818181818181802E-2</v>
      </c>
      <c r="F6" s="81">
        <f t="shared" si="0"/>
        <v>1.3693181818181814E-2</v>
      </c>
      <c r="G6" s="135">
        <v>0.24099999999999999</v>
      </c>
      <c r="H6" s="134"/>
      <c r="I6" s="81"/>
      <c r="J6" s="81"/>
      <c r="K6" s="135"/>
      <c r="L6" s="134"/>
      <c r="M6" s="81"/>
      <c r="N6" s="81"/>
      <c r="O6" s="135"/>
      <c r="P6" s="139"/>
      <c r="Q6" s="81"/>
      <c r="R6" s="81"/>
      <c r="S6" s="135"/>
      <c r="T6" s="139"/>
      <c r="U6" s="81"/>
      <c r="V6" s="81"/>
      <c r="W6" s="135"/>
      <c r="X6" s="130"/>
    </row>
    <row r="7" spans="1:24">
      <c r="A7" s="75" t="s">
        <v>151</v>
      </c>
      <c r="B7" s="79"/>
      <c r="C7" s="129"/>
      <c r="D7" s="134" t="s">
        <v>182</v>
      </c>
      <c r="E7" s="81" cm="1">
        <f t="array" ref="E7">_xlfn.IFS(VALUE(計算条件!E3)=1,0,VALUE(計算条件!E3)=2,90/1000/1.6)</f>
        <v>0</v>
      </c>
      <c r="F7" s="81">
        <f t="shared" si="0"/>
        <v>0</v>
      </c>
      <c r="G7" s="135">
        <v>1.6</v>
      </c>
      <c r="H7" s="134" t="s">
        <v>179</v>
      </c>
      <c r="I7" s="81">
        <v>7.4999999999999997E-2</v>
      </c>
      <c r="J7" s="81">
        <f>I7*K7</f>
        <v>1.2E-2</v>
      </c>
      <c r="K7" s="135">
        <v>0.16</v>
      </c>
      <c r="L7" s="134"/>
      <c r="M7" s="81"/>
      <c r="N7" s="81"/>
      <c r="O7" s="135"/>
      <c r="P7" s="139"/>
      <c r="Q7" s="81"/>
      <c r="R7" s="81"/>
      <c r="S7" s="135"/>
      <c r="T7" s="139"/>
      <c r="U7" s="81"/>
      <c r="V7" s="81"/>
      <c r="W7" s="135"/>
      <c r="X7" s="130"/>
    </row>
    <row r="8" spans="1:24" ht="19.5" thickBot="1">
      <c r="A8" s="75" t="s">
        <v>139</v>
      </c>
      <c r="B8" s="79"/>
      <c r="C8" s="129"/>
      <c r="D8" s="136" t="s">
        <v>182</v>
      </c>
      <c r="E8" s="137">
        <v>7.4999999999999997E-2</v>
      </c>
      <c r="F8" s="137">
        <f t="shared" si="0"/>
        <v>0.12</v>
      </c>
      <c r="G8" s="138">
        <v>1.6</v>
      </c>
      <c r="H8" s="136"/>
      <c r="I8" s="137"/>
      <c r="J8" s="137"/>
      <c r="K8" s="138"/>
      <c r="L8" s="136"/>
      <c r="M8" s="137"/>
      <c r="N8" s="137"/>
      <c r="O8" s="138"/>
      <c r="P8" s="140"/>
      <c r="Q8" s="137"/>
      <c r="R8" s="137"/>
      <c r="S8" s="138"/>
      <c r="T8" s="140"/>
      <c r="U8" s="137"/>
      <c r="V8" s="137"/>
      <c r="W8" s="138"/>
      <c r="X8" s="130"/>
    </row>
    <row r="23" spans="1:24" ht="19.5" thickBot="1">
      <c r="A23" t="s">
        <v>2164</v>
      </c>
    </row>
    <row r="24" spans="1:24">
      <c r="A24" s="81"/>
      <c r="B24" s="81" t="s">
        <v>2147</v>
      </c>
      <c r="C24" s="128" t="s">
        <v>2148</v>
      </c>
      <c r="D24" s="131" t="s">
        <v>2150</v>
      </c>
      <c r="E24" s="132" t="s">
        <v>2132</v>
      </c>
      <c r="F24" s="132" t="s">
        <v>2133</v>
      </c>
      <c r="G24" s="133" t="s">
        <v>2134</v>
      </c>
      <c r="H24" s="131" t="s">
        <v>2150</v>
      </c>
      <c r="I24" s="132" t="s">
        <v>2135</v>
      </c>
      <c r="J24" s="132" t="s">
        <v>2136</v>
      </c>
      <c r="K24" s="133" t="s">
        <v>2137</v>
      </c>
      <c r="L24" s="131" t="s">
        <v>2150</v>
      </c>
      <c r="M24" s="132" t="s">
        <v>2138</v>
      </c>
      <c r="N24" s="132" t="s">
        <v>2139</v>
      </c>
      <c r="O24" s="133" t="s">
        <v>2140</v>
      </c>
      <c r="P24" s="131" t="s">
        <v>2150</v>
      </c>
      <c r="Q24" s="132" t="s">
        <v>2141</v>
      </c>
      <c r="R24" s="132" t="s">
        <v>2142</v>
      </c>
      <c r="S24" s="133" t="s">
        <v>2143</v>
      </c>
      <c r="T24" s="131" t="s">
        <v>2150</v>
      </c>
      <c r="U24" s="132" t="s">
        <v>2144</v>
      </c>
      <c r="V24" s="132" t="s">
        <v>2145</v>
      </c>
      <c r="W24" s="133" t="s">
        <v>2146</v>
      </c>
      <c r="X24" s="130" t="s">
        <v>2149</v>
      </c>
    </row>
    <row r="25" spans="1:24">
      <c r="A25" s="141" t="s">
        <v>77</v>
      </c>
      <c r="B25" s="79">
        <f>1/(C25+X25+E25+I25+M25+Q25+U25)</f>
        <v>2.2400574988021078</v>
      </c>
      <c r="C25" s="129">
        <v>0.11</v>
      </c>
      <c r="D25" s="134" t="s">
        <v>176</v>
      </c>
      <c r="E25" s="81">
        <v>4.3181818181818203E-2</v>
      </c>
      <c r="F25" s="81">
        <f t="shared" ref="F25:F27" si="1">E25*G25</f>
        <v>1.0406818181818187E-2</v>
      </c>
      <c r="G25" s="135">
        <v>0.24099999999999999</v>
      </c>
      <c r="H25" s="134" t="s">
        <v>177</v>
      </c>
      <c r="I25" s="81">
        <v>0.09</v>
      </c>
      <c r="J25" s="81"/>
      <c r="K25" s="135"/>
      <c r="L25" s="134" t="s">
        <v>178</v>
      </c>
      <c r="M25" s="81">
        <f>N25/O25</f>
        <v>0</v>
      </c>
      <c r="N25" s="142">
        <v>0</v>
      </c>
      <c r="O25" s="135">
        <v>4.4999999999999998E-2</v>
      </c>
      <c r="P25" s="134" t="s">
        <v>179</v>
      </c>
      <c r="Q25" s="81">
        <v>7.4999999999999997E-2</v>
      </c>
      <c r="R25" s="81">
        <f>Q25*S25</f>
        <v>1.2E-2</v>
      </c>
      <c r="S25" s="135">
        <v>0.16</v>
      </c>
      <c r="T25" s="134" t="s">
        <v>180</v>
      </c>
      <c r="U25" s="81">
        <v>8.8235294117647106E-2</v>
      </c>
      <c r="V25" s="81">
        <f>U25*W25</f>
        <v>1.3235294117647066E-2</v>
      </c>
      <c r="W25" s="135">
        <v>0.15</v>
      </c>
      <c r="X25" s="130">
        <v>0.04</v>
      </c>
    </row>
    <row r="26" spans="1:24">
      <c r="A26" s="141" t="s">
        <v>98</v>
      </c>
      <c r="B26" s="79">
        <f t="shared" ref="B26:B27" si="2">1/(C26+X26+E26+I26+M26+Q26+U26)</f>
        <v>4.4806517311608953</v>
      </c>
      <c r="C26" s="129">
        <v>0.09</v>
      </c>
      <c r="D26" s="134" t="s">
        <v>176</v>
      </c>
      <c r="E26" s="81">
        <v>4.3181818181818203E-2</v>
      </c>
      <c r="F26" s="81">
        <f t="shared" si="1"/>
        <v>1.0406818181818187E-2</v>
      </c>
      <c r="G26" s="135">
        <v>0.24099999999999999</v>
      </c>
      <c r="H26" s="134" t="s">
        <v>181</v>
      </c>
      <c r="I26" s="81">
        <f>J26/K26</f>
        <v>0</v>
      </c>
      <c r="J26" s="142">
        <v>0</v>
      </c>
      <c r="K26" s="135">
        <v>0.05</v>
      </c>
      <c r="L26" s="134"/>
      <c r="M26" s="81"/>
      <c r="N26" s="81"/>
      <c r="O26" s="135"/>
      <c r="P26" s="139"/>
      <c r="Q26" s="81"/>
      <c r="R26" s="81"/>
      <c r="S26" s="135"/>
      <c r="T26" s="139"/>
      <c r="U26" s="81"/>
      <c r="V26" s="81"/>
      <c r="W26" s="135"/>
      <c r="X26" s="130">
        <v>0.09</v>
      </c>
    </row>
    <row r="27" spans="1:24">
      <c r="A27" s="141" t="s">
        <v>102</v>
      </c>
      <c r="B27" s="79">
        <f t="shared" si="2"/>
        <v>2.6666666666666665</v>
      </c>
      <c r="C27" s="129">
        <v>0.15</v>
      </c>
      <c r="D27" s="134" t="s">
        <v>182</v>
      </c>
      <c r="E27" s="81" cm="1">
        <f t="array" ref="E27">_xlfn.IFS(VALUE(計算条件!E3)=1,0,VALUE(計算条件!E3)=2,90/1000/1.6)</f>
        <v>0</v>
      </c>
      <c r="F27" s="81">
        <f t="shared" si="1"/>
        <v>0</v>
      </c>
      <c r="G27" s="135">
        <v>1.6</v>
      </c>
      <c r="H27" s="134" t="s">
        <v>179</v>
      </c>
      <c r="I27" s="81">
        <v>7.4999999999999997E-2</v>
      </c>
      <c r="J27" s="81">
        <f>I27*K27</f>
        <v>1.2E-2</v>
      </c>
      <c r="K27" s="135">
        <v>0.16</v>
      </c>
      <c r="L27" s="134" t="s">
        <v>183</v>
      </c>
      <c r="M27" s="81">
        <f>N27/O27</f>
        <v>0</v>
      </c>
      <c r="N27" s="142">
        <v>0</v>
      </c>
      <c r="O27" s="135">
        <v>4.4999999999999998E-2</v>
      </c>
      <c r="P27" s="139"/>
      <c r="Q27" s="81"/>
      <c r="R27" s="81"/>
      <c r="S27" s="135"/>
      <c r="T27" s="139"/>
      <c r="U27" s="81"/>
      <c r="V27" s="81"/>
      <c r="W27" s="135"/>
      <c r="X27" s="130">
        <v>0.15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0C6E-6E4A-40E0-A066-A7CB4E01EA0C}">
  <sheetPr codeName="Sheet5"/>
  <dimension ref="A1:B2"/>
  <sheetViews>
    <sheetView workbookViewId="0">
      <selection activeCell="B19" sqref="B19"/>
    </sheetView>
  </sheetViews>
  <sheetFormatPr defaultColWidth="9" defaultRowHeight="18.75"/>
  <cols>
    <col min="1" max="1" width="5.5" style="74" bestFit="1" customWidth="1"/>
    <col min="2" max="2" width="10.25" style="74" bestFit="1" customWidth="1"/>
    <col min="3" max="16384" width="9" style="74"/>
  </cols>
  <sheetData>
    <row r="1" spans="1:2">
      <c r="A1" s="72" t="s">
        <v>32</v>
      </c>
      <c r="B1" s="72" t="s">
        <v>33</v>
      </c>
    </row>
    <row r="2" spans="1:2">
      <c r="A2" s="72" t="s">
        <v>34</v>
      </c>
      <c r="B2" s="75" t="s">
        <v>35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5C34-7FF6-4812-A46C-FAAAE06E7C6F}">
  <sheetPr codeName="Sheet6"/>
  <dimension ref="A1:D2"/>
  <sheetViews>
    <sheetView workbookViewId="0">
      <selection activeCell="B19" sqref="B19"/>
    </sheetView>
  </sheetViews>
  <sheetFormatPr defaultColWidth="9" defaultRowHeight="18.75"/>
  <cols>
    <col min="1" max="1" width="5.5" style="74" bestFit="1" customWidth="1"/>
    <col min="2" max="2" width="5.125" style="74" bestFit="1" customWidth="1"/>
    <col min="3" max="3" width="9.25" style="74" bestFit="1" customWidth="1"/>
    <col min="4" max="4" width="14.625" style="74" bestFit="1" customWidth="1"/>
    <col min="5" max="16384" width="9" style="74"/>
  </cols>
  <sheetData>
    <row r="1" spans="1:4" ht="37.5">
      <c r="A1" s="72" t="s">
        <v>32</v>
      </c>
      <c r="B1" s="72" t="s">
        <v>36</v>
      </c>
      <c r="C1" s="73" t="s">
        <v>37</v>
      </c>
      <c r="D1" s="72" t="s">
        <v>38</v>
      </c>
    </row>
    <row r="2" spans="1:4">
      <c r="A2" s="72" t="s">
        <v>34</v>
      </c>
      <c r="B2" s="75">
        <v>2</v>
      </c>
      <c r="C2" s="75">
        <v>0</v>
      </c>
      <c r="D2" s="75" t="s">
        <v>39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59F-35C4-48A6-BA1F-69940C5A8796}">
  <sheetPr codeName="Sheet7"/>
  <dimension ref="A1:I19"/>
  <sheetViews>
    <sheetView workbookViewId="0">
      <selection activeCell="F4" sqref="F4:F5"/>
    </sheetView>
  </sheetViews>
  <sheetFormatPr defaultColWidth="9" defaultRowHeight="18.75"/>
  <cols>
    <col min="1" max="1" width="7.5" style="74" bestFit="1" customWidth="1"/>
    <col min="2" max="2" width="3.5" style="74" bestFit="1" customWidth="1"/>
    <col min="3" max="3" width="19.75" style="74" bestFit="1" customWidth="1"/>
    <col min="4" max="4" width="9.625" style="74" bestFit="1" customWidth="1"/>
    <col min="5" max="5" width="9.5" style="74" bestFit="1" customWidth="1"/>
    <col min="6" max="6" width="7" style="74" bestFit="1" customWidth="1"/>
    <col min="7" max="7" width="17" style="74" bestFit="1" customWidth="1"/>
    <col min="8" max="8" width="32.75" style="74" bestFit="1" customWidth="1"/>
    <col min="9" max="16384" width="9" style="74"/>
  </cols>
  <sheetData>
    <row r="1" spans="1:9" ht="56.25">
      <c r="A1" s="72" t="s">
        <v>40</v>
      </c>
      <c r="B1" s="72" t="s">
        <v>41</v>
      </c>
      <c r="C1" s="72" t="s">
        <v>42</v>
      </c>
      <c r="D1" s="72" t="s">
        <v>43</v>
      </c>
      <c r="E1" s="73" t="s">
        <v>44</v>
      </c>
      <c r="F1" s="73" t="s">
        <v>45</v>
      </c>
      <c r="G1" s="73" t="s">
        <v>46</v>
      </c>
      <c r="H1" s="89" t="s">
        <v>47</v>
      </c>
      <c r="I1" s="155" t="s">
        <v>2234</v>
      </c>
    </row>
    <row r="2" spans="1:9">
      <c r="A2" s="72" t="s">
        <v>48</v>
      </c>
      <c r="B2" s="75">
        <v>0</v>
      </c>
      <c r="C2" s="75" t="s">
        <v>2214</v>
      </c>
      <c r="D2" s="97" t="s">
        <v>2220</v>
      </c>
      <c r="E2" s="75">
        <v>29.81</v>
      </c>
      <c r="F2" s="75">
        <v>811.88</v>
      </c>
      <c r="G2" s="76">
        <f>計算条件!$G$3</f>
        <v>0</v>
      </c>
      <c r="H2" s="76" t="str">
        <f>C2&amp;"_"&amp;計算条件!$I$5</f>
        <v>mor_kyositu_kanketu</v>
      </c>
      <c r="I2" s="74">
        <f>830*12.5*2*5.46</f>
        <v>113295</v>
      </c>
    </row>
    <row r="3" spans="1:9">
      <c r="A3" s="72" t="s">
        <v>49</v>
      </c>
      <c r="B3" s="75">
        <v>1</v>
      </c>
      <c r="C3" s="75" t="s">
        <v>2216</v>
      </c>
      <c r="D3" s="97" t="s">
        <v>2221</v>
      </c>
      <c r="E3" s="75">
        <v>34.78</v>
      </c>
      <c r="F3" s="75">
        <v>955.54</v>
      </c>
      <c r="G3" s="76">
        <f>計算条件!$G$3</f>
        <v>0</v>
      </c>
      <c r="H3" s="76" t="str">
        <f>C3&amp;"_"&amp;計算条件!$I$5</f>
        <v>oor_kyositu_kanketu</v>
      </c>
      <c r="I3" s="74">
        <f>830*12.5*2*17.48</f>
        <v>362710</v>
      </c>
    </row>
    <row r="4" spans="1:9">
      <c r="A4" s="72" t="s">
        <v>50</v>
      </c>
      <c r="B4" s="75">
        <v>2</v>
      </c>
      <c r="C4" s="75" t="s">
        <v>2218</v>
      </c>
      <c r="D4" s="97" t="s">
        <v>2222</v>
      </c>
      <c r="E4" s="75">
        <v>55.49</v>
      </c>
      <c r="F4" s="75">
        <v>1541.21</v>
      </c>
      <c r="G4" s="76">
        <f>計算条件!$G$3</f>
        <v>0</v>
      </c>
      <c r="H4" s="76" t="str">
        <f>C4&amp;"_"&amp;計算条件!$I$5</f>
        <v>nor_kyositu_kanketu</v>
      </c>
      <c r="I4" s="74">
        <v>1237843.5</v>
      </c>
    </row>
    <row r="5" spans="1:9">
      <c r="A5" s="72" t="s">
        <v>51</v>
      </c>
      <c r="B5" s="75">
        <v>3</v>
      </c>
      <c r="C5" s="79" t="s">
        <v>61</v>
      </c>
      <c r="D5" s="97" t="s">
        <v>62</v>
      </c>
      <c r="E5" s="79">
        <v>52.17</v>
      </c>
      <c r="F5" s="75">
        <v>282.07283582089548</v>
      </c>
      <c r="G5" s="76">
        <f>計算条件!$G$3</f>
        <v>0</v>
      </c>
      <c r="H5" s="76" t="s">
        <v>66</v>
      </c>
      <c r="I5" s="74">
        <v>1E-3</v>
      </c>
    </row>
    <row r="6" spans="1:9">
      <c r="A6" s="72" t="s">
        <v>52</v>
      </c>
      <c r="B6" s="75">
        <v>4</v>
      </c>
      <c r="C6" s="75" t="s">
        <v>65</v>
      </c>
      <c r="D6" s="75" t="s">
        <v>22</v>
      </c>
      <c r="E6" s="75">
        <v>52.170299999999997</v>
      </c>
      <c r="F6" s="75">
        <v>537.5098222388059</v>
      </c>
      <c r="G6" s="75">
        <v>0</v>
      </c>
      <c r="H6" s="75" t="s">
        <v>66</v>
      </c>
      <c r="I6" s="74">
        <v>1E-3</v>
      </c>
    </row>
    <row r="7" spans="1:9">
      <c r="A7" s="72" t="s">
        <v>53</v>
      </c>
      <c r="B7" s="75">
        <v>5</v>
      </c>
      <c r="C7" s="75" t="s">
        <v>68</v>
      </c>
      <c r="D7" s="75" t="s">
        <v>23</v>
      </c>
      <c r="E7" s="75">
        <v>12.421499999999998</v>
      </c>
      <c r="F7" s="75">
        <v>127.97852910447759</v>
      </c>
      <c r="G7" s="75">
        <v>0</v>
      </c>
      <c r="H7" s="75" t="s">
        <v>66</v>
      </c>
      <c r="I7" s="74">
        <v>1E-3</v>
      </c>
    </row>
    <row r="8" spans="1:9">
      <c r="A8" s="72" t="s">
        <v>54</v>
      </c>
      <c r="B8" s="75">
        <v>6</v>
      </c>
      <c r="C8" s="75" t="s">
        <v>70</v>
      </c>
      <c r="D8" s="75" t="s">
        <v>24</v>
      </c>
      <c r="E8" s="75">
        <v>3.3124000000000002</v>
      </c>
      <c r="F8" s="75">
        <v>34.127607761194042</v>
      </c>
      <c r="G8" s="75">
        <v>0</v>
      </c>
      <c r="H8" s="75" t="s">
        <v>66</v>
      </c>
      <c r="I8" s="74">
        <v>1E-3</v>
      </c>
    </row>
    <row r="9" spans="1:9">
      <c r="A9" s="72" t="s">
        <v>55</v>
      </c>
      <c r="B9" s="75">
        <v>7</v>
      </c>
      <c r="C9" s="75" t="s">
        <v>2027</v>
      </c>
      <c r="D9" s="75" t="s">
        <v>2026</v>
      </c>
      <c r="E9" s="75">
        <f>室気積!$G$9</f>
        <v>66.05</v>
      </c>
      <c r="F9" s="75">
        <f>室気積!F9</f>
        <v>378.06231343283577</v>
      </c>
      <c r="G9" s="75">
        <v>0</v>
      </c>
      <c r="H9" s="75" t="s">
        <v>66</v>
      </c>
      <c r="I9" s="74">
        <v>1E-3</v>
      </c>
    </row>
    <row r="10" spans="1:9">
      <c r="A10" s="72" t="s">
        <v>56</v>
      </c>
      <c r="B10" s="75"/>
      <c r="C10" s="75"/>
      <c r="D10" s="97"/>
      <c r="E10" s="75"/>
      <c r="F10" s="75"/>
      <c r="G10" s="76"/>
      <c r="H10" s="76"/>
    </row>
    <row r="11" spans="1:9">
      <c r="A11" s="72" t="s">
        <v>57</v>
      </c>
      <c r="B11" s="75"/>
      <c r="C11" s="75"/>
      <c r="D11" s="97"/>
      <c r="E11" s="75"/>
      <c r="F11" s="75"/>
      <c r="G11" s="76"/>
      <c r="H11" s="76"/>
    </row>
    <row r="12" spans="1:9">
      <c r="A12" s="72" t="s">
        <v>58</v>
      </c>
      <c r="B12" s="75"/>
      <c r="C12" s="75"/>
      <c r="D12" s="97"/>
      <c r="E12" s="75"/>
      <c r="F12" s="75"/>
      <c r="G12" s="76"/>
      <c r="H12" s="76"/>
    </row>
    <row r="13" spans="1:9">
      <c r="A13" s="72" t="s">
        <v>59</v>
      </c>
      <c r="B13" s="75"/>
      <c r="C13" s="75"/>
      <c r="D13" s="97"/>
      <c r="E13" s="75"/>
      <c r="F13" s="75"/>
      <c r="G13" s="76"/>
      <c r="H13" s="76"/>
    </row>
    <row r="14" spans="1:9">
      <c r="A14" s="72" t="s">
        <v>60</v>
      </c>
      <c r="B14" s="75"/>
      <c r="C14" s="75"/>
      <c r="D14" s="97"/>
      <c r="E14" s="75"/>
      <c r="F14" s="75"/>
      <c r="G14" s="76"/>
      <c r="H14" s="76"/>
    </row>
    <row r="15" spans="1:9">
      <c r="A15" s="72" t="s">
        <v>63</v>
      </c>
      <c r="B15" s="75"/>
      <c r="C15" s="75"/>
      <c r="D15" s="97"/>
      <c r="E15" s="75"/>
      <c r="F15" s="75"/>
      <c r="G15" s="76"/>
      <c r="H15" s="76"/>
    </row>
    <row r="16" spans="1:9">
      <c r="A16" s="72" t="s">
        <v>64</v>
      </c>
      <c r="B16" s="75"/>
      <c r="C16" s="75"/>
      <c r="D16" s="97"/>
      <c r="E16" s="75"/>
      <c r="F16" s="75"/>
      <c r="G16" s="76"/>
      <c r="H16" s="76"/>
    </row>
    <row r="17" spans="1:8">
      <c r="A17" s="72" t="s">
        <v>67</v>
      </c>
      <c r="B17" s="75"/>
      <c r="C17" s="75"/>
      <c r="D17" s="97"/>
      <c r="E17" s="75"/>
      <c r="F17" s="75"/>
      <c r="G17" s="76"/>
      <c r="H17" s="76"/>
    </row>
    <row r="18" spans="1:8">
      <c r="A18" s="72" t="s">
        <v>69</v>
      </c>
      <c r="B18" s="75"/>
      <c r="C18" s="75"/>
      <c r="D18" s="97"/>
      <c r="E18" s="75"/>
      <c r="F18" s="75"/>
      <c r="G18" s="76"/>
      <c r="H18" s="76"/>
    </row>
    <row r="19" spans="1:8">
      <c r="A19" s="72" t="s">
        <v>81</v>
      </c>
      <c r="B19" s="75"/>
      <c r="C19" s="75"/>
      <c r="D19" s="97"/>
      <c r="E19" s="75"/>
      <c r="F19" s="75"/>
      <c r="G19" s="76"/>
      <c r="H19" s="76"/>
    </row>
  </sheetData>
  <phoneticPr fontId="2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0BA0-1B8C-4086-9444-7582B2F961A2}">
  <sheetPr codeName="Sheet8"/>
  <dimension ref="A1:J57"/>
  <sheetViews>
    <sheetView workbookViewId="0">
      <selection activeCell="B3" sqref="B3:B15"/>
    </sheetView>
  </sheetViews>
  <sheetFormatPr defaultColWidth="9" defaultRowHeight="18.75"/>
  <cols>
    <col min="1" max="1" width="7.5" style="74" bestFit="1" customWidth="1"/>
    <col min="2" max="2" width="3.5" style="74" bestFit="1" customWidth="1"/>
    <col min="3" max="3" width="7.125" style="74" bestFit="1" customWidth="1"/>
    <col min="4" max="4" width="12.375" style="74" bestFit="1" customWidth="1"/>
    <col min="5" max="5" width="7.75" style="74" bestFit="1" customWidth="1"/>
    <col min="6" max="6" width="8" style="74" bestFit="1" customWidth="1"/>
    <col min="7" max="7" width="7.25" style="74" bestFit="1" customWidth="1"/>
    <col min="8" max="8" width="11.75" style="74" bestFit="1" customWidth="1"/>
    <col min="9" max="9" width="18.75" style="74" bestFit="1" customWidth="1"/>
    <col min="10" max="10" width="13.125" style="74" bestFit="1" customWidth="1"/>
    <col min="11" max="11" width="14.125" style="74" bestFit="1" customWidth="1"/>
    <col min="12" max="12" width="16.625" style="74" bestFit="1" customWidth="1"/>
    <col min="13" max="13" width="17.75" style="74" bestFit="1" customWidth="1"/>
    <col min="14" max="14" width="14.125" style="74" bestFit="1" customWidth="1"/>
    <col min="15" max="15" width="17.625" style="74" bestFit="1" customWidth="1"/>
    <col min="16" max="16384" width="9" style="74"/>
  </cols>
  <sheetData>
    <row r="1" spans="1:10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71</v>
      </c>
      <c r="F1" s="73" t="s">
        <v>72</v>
      </c>
      <c r="G1" s="72" t="s">
        <v>73</v>
      </c>
      <c r="H1" s="72" t="s">
        <v>74</v>
      </c>
      <c r="I1" s="72" t="s">
        <v>75</v>
      </c>
      <c r="J1" s="72" t="s">
        <v>76</v>
      </c>
    </row>
    <row r="2" spans="1:10">
      <c r="A2" s="72" t="s">
        <v>48</v>
      </c>
      <c r="B2" s="75">
        <v>0</v>
      </c>
      <c r="C2" s="75" t="str">
        <f>外壁面積の計算!C59</f>
        <v>外壁</v>
      </c>
      <c r="D2" s="97" t="str">
        <f>外壁面積の計算!D59</f>
        <v>主たる居室</v>
      </c>
      <c r="E2" s="75">
        <f ca="1">OFFSET(rooms!$B$2,MATCH(D2,rooms!$D$2:$D$8,0)-1,0)</f>
        <v>0</v>
      </c>
      <c r="F2" s="75">
        <f>外壁面積の計算!H59</f>
        <v>14.07</v>
      </c>
      <c r="G2" s="75" t="b">
        <v>0</v>
      </c>
      <c r="H2" s="75" t="str">
        <f>外壁面積の計算!C59</f>
        <v>外壁</v>
      </c>
      <c r="I2" s="75" t="str">
        <f>外壁面積の計算!I59</f>
        <v>e</v>
      </c>
      <c r="J2" s="75">
        <v>1</v>
      </c>
    </row>
    <row r="3" spans="1:10">
      <c r="A3" s="72" t="s">
        <v>49</v>
      </c>
      <c r="B3" s="75">
        <f>B2+1</f>
        <v>1</v>
      </c>
      <c r="C3" s="75" t="str">
        <f>外壁面積の計算!C60</f>
        <v>外壁</v>
      </c>
      <c r="D3" s="97" t="str">
        <f>外壁面積の計算!D60</f>
        <v>主たる居室</v>
      </c>
      <c r="E3" s="75">
        <f ca="1">OFFSET(rooms!$B$2,MATCH(D3,rooms!$D$2:$D$8,0)-1,0)</f>
        <v>0</v>
      </c>
      <c r="F3" s="75">
        <f>外壁面積の計算!H60</f>
        <v>7.27</v>
      </c>
      <c r="G3" s="75" t="b">
        <v>0</v>
      </c>
      <c r="H3" s="75" t="str">
        <f>外壁面積の計算!C60</f>
        <v>外壁</v>
      </c>
      <c r="I3" s="75" t="str">
        <f>外壁面積の計算!I60</f>
        <v>s</v>
      </c>
      <c r="J3" s="75">
        <v>1</v>
      </c>
    </row>
    <row r="4" spans="1:10">
      <c r="A4" s="72" t="s">
        <v>50</v>
      </c>
      <c r="B4" s="75">
        <f t="shared" ref="B4:B15" si="0">B3+1</f>
        <v>2</v>
      </c>
      <c r="C4" s="75" t="str">
        <f>外壁面積の計算!C61</f>
        <v>外壁</v>
      </c>
      <c r="D4" s="97" t="str">
        <f>外壁面積の計算!D61</f>
        <v>主たる居室</v>
      </c>
      <c r="E4" s="75">
        <f ca="1">OFFSET(rooms!$B$2,MATCH(D4,rooms!$D$2:$D$8,0)-1,0)</f>
        <v>0</v>
      </c>
      <c r="F4" s="75">
        <f>外壁面積の計算!H61</f>
        <v>3.5</v>
      </c>
      <c r="G4" s="75" t="b">
        <v>0</v>
      </c>
      <c r="H4" s="75" t="str">
        <f>外壁面積の計算!C61</f>
        <v>外壁</v>
      </c>
      <c r="I4" s="75" t="str">
        <f>外壁面積の計算!I61</f>
        <v>n</v>
      </c>
      <c r="J4" s="75">
        <v>1</v>
      </c>
    </row>
    <row r="5" spans="1:10">
      <c r="A5" s="72" t="s">
        <v>51</v>
      </c>
      <c r="B5" s="75">
        <f t="shared" si="0"/>
        <v>3</v>
      </c>
      <c r="C5" s="75" t="str">
        <f>外壁面積の計算!C62</f>
        <v>外壁</v>
      </c>
      <c r="D5" s="97" t="str">
        <f>外壁面積の計算!D62</f>
        <v>その他居室</v>
      </c>
      <c r="E5" s="75">
        <f ca="1">OFFSET(rooms!$B$2,MATCH(D5,rooms!$D$2:$D$8,0)-1,0)</f>
        <v>1</v>
      </c>
      <c r="F5" s="75">
        <f>外壁面積の計算!H62</f>
        <v>8.08</v>
      </c>
      <c r="G5" s="75" t="b">
        <v>0</v>
      </c>
      <c r="H5" s="75" t="str">
        <f>外壁面積の計算!C62</f>
        <v>外壁</v>
      </c>
      <c r="I5" s="75" t="str">
        <f>外壁面積の計算!I62</f>
        <v>e</v>
      </c>
      <c r="J5" s="75">
        <v>1</v>
      </c>
    </row>
    <row r="6" spans="1:10">
      <c r="A6" s="72" t="s">
        <v>52</v>
      </c>
      <c r="B6" s="75">
        <f t="shared" si="0"/>
        <v>4</v>
      </c>
      <c r="C6" s="75" t="str">
        <f>外壁面積の計算!C63</f>
        <v>外壁</v>
      </c>
      <c r="D6" s="97" t="str">
        <f>外壁面積の計算!D63</f>
        <v>その他居室</v>
      </c>
      <c r="E6" s="75">
        <f ca="1">OFFSET(rooms!$B$2,MATCH(D6,rooms!$D$2:$D$8,0)-1,0)</f>
        <v>1</v>
      </c>
      <c r="F6" s="76">
        <f>外壁面積の計算!H63</f>
        <v>14.76</v>
      </c>
      <c r="G6" s="75" t="b">
        <v>0</v>
      </c>
      <c r="H6" s="75" t="str">
        <f>外壁面積の計算!C63</f>
        <v>外壁</v>
      </c>
      <c r="I6" s="75" t="str">
        <f>外壁面積の計算!I63</f>
        <v>s</v>
      </c>
      <c r="J6" s="75">
        <v>1</v>
      </c>
    </row>
    <row r="7" spans="1:10">
      <c r="A7" s="72" t="s">
        <v>53</v>
      </c>
      <c r="B7" s="75">
        <f t="shared" si="0"/>
        <v>5</v>
      </c>
      <c r="C7" s="75" t="str">
        <f>外壁面積の計算!C64</f>
        <v>外壁</v>
      </c>
      <c r="D7" s="97" t="str">
        <f>外壁面積の計算!D64</f>
        <v>その他居室</v>
      </c>
      <c r="E7" s="75">
        <f ca="1">OFFSET(rooms!$B$2,MATCH(D7,rooms!$D$2:$D$8,0)-1,0)</f>
        <v>1</v>
      </c>
      <c r="F7" s="76">
        <f>外壁面積の計算!H64</f>
        <v>7.75</v>
      </c>
      <c r="G7" s="75" t="b">
        <v>0</v>
      </c>
      <c r="H7" s="75" t="str">
        <f>外壁面積の計算!C64</f>
        <v>外壁</v>
      </c>
      <c r="I7" s="75" t="str">
        <f>外壁面積の計算!I64</f>
        <v>w</v>
      </c>
      <c r="J7" s="75">
        <v>1</v>
      </c>
    </row>
    <row r="8" spans="1:10">
      <c r="A8" s="72" t="s">
        <v>54</v>
      </c>
      <c r="B8" s="75">
        <f t="shared" si="0"/>
        <v>6</v>
      </c>
      <c r="C8" s="75" t="str">
        <f>外壁面積の計算!C65</f>
        <v>外壁</v>
      </c>
      <c r="D8" s="97" t="str">
        <f>外壁面積の計算!D65</f>
        <v>非居室</v>
      </c>
      <c r="E8" s="75">
        <f ca="1">OFFSET(rooms!$B$2,MATCH(D8,rooms!$D$2:$D$8,0)-1,0)</f>
        <v>2</v>
      </c>
      <c r="F8" s="76">
        <f>外壁面積の計算!H65</f>
        <v>4.3600000000000003</v>
      </c>
      <c r="G8" s="75" t="b">
        <v>0</v>
      </c>
      <c r="H8" s="75" t="str">
        <f>外壁面積の計算!C65</f>
        <v>外壁</v>
      </c>
      <c r="I8" s="75" t="str">
        <f>外壁面積の計算!I65</f>
        <v>e</v>
      </c>
      <c r="J8" s="75">
        <v>1</v>
      </c>
    </row>
    <row r="9" spans="1:10">
      <c r="A9" s="72" t="s">
        <v>55</v>
      </c>
      <c r="B9" s="75">
        <f t="shared" si="0"/>
        <v>7</v>
      </c>
      <c r="C9" s="75" t="str">
        <f>外壁面積の計算!C66</f>
        <v>外壁</v>
      </c>
      <c r="D9" s="97" t="str">
        <f>外壁面積の計算!D66</f>
        <v>非居室</v>
      </c>
      <c r="E9" s="75">
        <f ca="1">OFFSET(rooms!$B$2,MATCH(D9,rooms!$D$2:$D$8,0)-1,0)</f>
        <v>2</v>
      </c>
      <c r="F9" s="76">
        <f>外壁面積の計算!H66</f>
        <v>6.33</v>
      </c>
      <c r="G9" s="75" t="b">
        <v>0</v>
      </c>
      <c r="H9" s="75" t="str">
        <f>外壁面積の計算!C66</f>
        <v>外壁</v>
      </c>
      <c r="I9" s="75" t="str">
        <f>外壁面積の計算!I66</f>
        <v>s</v>
      </c>
      <c r="J9" s="75">
        <v>1</v>
      </c>
    </row>
    <row r="10" spans="1:10">
      <c r="A10" s="72" t="s">
        <v>56</v>
      </c>
      <c r="B10" s="75">
        <f t="shared" si="0"/>
        <v>8</v>
      </c>
      <c r="C10" s="75" t="str">
        <f>外壁面積の計算!C67</f>
        <v>外壁</v>
      </c>
      <c r="D10" s="97" t="str">
        <f>外壁面積の計算!D67</f>
        <v>非居室</v>
      </c>
      <c r="E10" s="75">
        <f ca="1">OFFSET(rooms!$B$2,MATCH(D10,rooms!$D$2:$D$8,0)-1,0)</f>
        <v>2</v>
      </c>
      <c r="F10" s="76">
        <f>外壁面積の計算!H67</f>
        <v>18.97</v>
      </c>
      <c r="G10" s="75" t="b">
        <v>0</v>
      </c>
      <c r="H10" s="75" t="str">
        <f>外壁面積の計算!C67</f>
        <v>外壁</v>
      </c>
      <c r="I10" s="75" t="str">
        <f>外壁面積の計算!I67</f>
        <v>w</v>
      </c>
      <c r="J10" s="75">
        <v>1</v>
      </c>
    </row>
    <row r="11" spans="1:10">
      <c r="A11" s="72" t="s">
        <v>57</v>
      </c>
      <c r="B11" s="75">
        <f t="shared" si="0"/>
        <v>9</v>
      </c>
      <c r="C11" s="75" t="str">
        <f>外壁面積の計算!C68</f>
        <v>外壁</v>
      </c>
      <c r="D11" s="97" t="str">
        <f>外壁面積の計算!D68</f>
        <v>非居室</v>
      </c>
      <c r="E11" s="75">
        <f ca="1">OFFSET(rooms!$B$2,MATCH(D11,rooms!$D$2:$D$8,0)-1,0)</f>
        <v>2</v>
      </c>
      <c r="F11" s="75">
        <f>外壁面積の計算!H68</f>
        <v>38.11</v>
      </c>
      <c r="G11" s="75" t="b">
        <v>0</v>
      </c>
      <c r="H11" s="75" t="str">
        <f>外壁面積の計算!C68</f>
        <v>外壁</v>
      </c>
      <c r="I11" s="75" t="str">
        <f>外壁面積の計算!I68</f>
        <v>n</v>
      </c>
      <c r="J11" s="75">
        <v>1</v>
      </c>
    </row>
    <row r="12" spans="1:10">
      <c r="A12" s="72" t="s">
        <v>58</v>
      </c>
      <c r="B12" s="75">
        <f t="shared" si="0"/>
        <v>10</v>
      </c>
      <c r="C12" s="75" t="str">
        <f>外壁面積の計算!C69</f>
        <v>外壁</v>
      </c>
      <c r="D12" s="97" t="str">
        <f>外壁面積の計算!D69</f>
        <v>階間(L4)</v>
      </c>
      <c r="E12" s="75">
        <f ca="1">OFFSET(rooms!$B$2,MATCH(D12,rooms!$D$2:$D$8,0)-1,0)</f>
        <v>3</v>
      </c>
      <c r="F12" s="76">
        <f>外壁面積の計算!H69</f>
        <v>2.73</v>
      </c>
      <c r="G12" s="75" t="b">
        <v>0</v>
      </c>
      <c r="H12" s="75" t="str">
        <f>外壁面積の計算!C69</f>
        <v>外壁</v>
      </c>
      <c r="I12" s="75" t="str">
        <f>外壁面積の計算!I69</f>
        <v>e</v>
      </c>
      <c r="J12" s="75">
        <v>1</v>
      </c>
    </row>
    <row r="13" spans="1:10">
      <c r="A13" s="72" t="s">
        <v>59</v>
      </c>
      <c r="B13" s="75">
        <f t="shared" si="0"/>
        <v>11</v>
      </c>
      <c r="C13" s="75" t="str">
        <f>外壁面積の計算!C70</f>
        <v>外壁</v>
      </c>
      <c r="D13" s="97" t="str">
        <f>外壁面積の計算!D70</f>
        <v>階間(L4)</v>
      </c>
      <c r="E13" s="75">
        <f ca="1">OFFSET(rooms!$B$2,MATCH(D13,rooms!$D$2:$D$8,0)-1,0)</f>
        <v>3</v>
      </c>
      <c r="F13" s="79">
        <f>外壁面積の計算!H70</f>
        <v>4.78</v>
      </c>
      <c r="G13" s="79" t="b">
        <v>0</v>
      </c>
      <c r="H13" s="75" t="str">
        <f>外壁面積の計算!C70</f>
        <v>外壁</v>
      </c>
      <c r="I13" s="79" t="str">
        <f>外壁面積の計算!I70</f>
        <v>s</v>
      </c>
      <c r="J13" s="75">
        <v>1</v>
      </c>
    </row>
    <row r="14" spans="1:10">
      <c r="A14" s="72" t="s">
        <v>60</v>
      </c>
      <c r="B14" s="75">
        <f t="shared" si="0"/>
        <v>12</v>
      </c>
      <c r="C14" s="75" t="str">
        <f>外壁面積の計算!C71</f>
        <v>外壁</v>
      </c>
      <c r="D14" s="97" t="str">
        <f>外壁面積の計算!D71</f>
        <v>階間(L4)</v>
      </c>
      <c r="E14" s="75">
        <f ca="1">OFFSET(rooms!$B$2,MATCH(D14,rooms!$D$2:$D$8,0)-1,0)</f>
        <v>3</v>
      </c>
      <c r="F14" s="75">
        <f>外壁面積の計算!H71</f>
        <v>0.25</v>
      </c>
      <c r="G14" s="75" t="b">
        <v>0</v>
      </c>
      <c r="H14" s="75" t="str">
        <f>外壁面積の計算!C71</f>
        <v>外壁</v>
      </c>
      <c r="I14" s="75" t="str">
        <f>外壁面積の計算!I71</f>
        <v>w</v>
      </c>
      <c r="J14" s="75">
        <v>1</v>
      </c>
    </row>
    <row r="15" spans="1:10">
      <c r="A15" s="72" t="s">
        <v>63</v>
      </c>
      <c r="B15" s="75">
        <f t="shared" si="0"/>
        <v>13</v>
      </c>
      <c r="C15" s="75" t="str">
        <f>外壁面積の計算!C72</f>
        <v>外壁</v>
      </c>
      <c r="D15" s="97" t="str">
        <f>外壁面積の計算!D72</f>
        <v>階間(L4)</v>
      </c>
      <c r="E15" s="75">
        <f ca="1">OFFSET(rooms!$B$2,MATCH(D15,rooms!$D$2:$D$8,0)-1,0)</f>
        <v>3</v>
      </c>
      <c r="F15" s="76">
        <f>外壁面積の計算!H72</f>
        <v>1.37</v>
      </c>
      <c r="G15" s="75" t="b">
        <v>0</v>
      </c>
      <c r="H15" s="75" t="str">
        <f>外壁面積の計算!C72</f>
        <v>外壁</v>
      </c>
      <c r="I15" s="75" t="str">
        <f>外壁面積の計算!I72</f>
        <v>n</v>
      </c>
      <c r="J15" s="75">
        <v>1</v>
      </c>
    </row>
    <row r="16" spans="1:10">
      <c r="A16" s="72" t="s">
        <v>64</v>
      </c>
      <c r="B16" s="75"/>
      <c r="C16" s="75"/>
      <c r="D16" s="97"/>
      <c r="E16" s="75"/>
      <c r="F16" s="76"/>
      <c r="G16" s="75"/>
      <c r="H16" s="75"/>
      <c r="I16" s="75"/>
      <c r="J16" s="75"/>
    </row>
    <row r="17" spans="1:10">
      <c r="A17" s="72" t="s">
        <v>67</v>
      </c>
      <c r="B17" s="75"/>
      <c r="C17" s="75"/>
      <c r="D17" s="97"/>
      <c r="E17" s="75"/>
      <c r="F17" s="75"/>
      <c r="G17" s="75"/>
      <c r="H17" s="75"/>
      <c r="I17" s="75"/>
      <c r="J17" s="75"/>
    </row>
    <row r="18" spans="1:10">
      <c r="A18" s="72" t="s">
        <v>69</v>
      </c>
      <c r="B18" s="75"/>
      <c r="C18" s="75"/>
      <c r="D18" s="97"/>
      <c r="E18" s="75"/>
      <c r="F18" s="75"/>
      <c r="G18" s="75"/>
      <c r="H18" s="75"/>
      <c r="I18" s="75"/>
      <c r="J18" s="75"/>
    </row>
    <row r="19" spans="1:10">
      <c r="A19" s="72" t="s">
        <v>81</v>
      </c>
      <c r="B19" s="75"/>
      <c r="C19" s="75"/>
      <c r="D19" s="97"/>
      <c r="E19" s="75"/>
      <c r="F19" s="76"/>
      <c r="G19" s="75"/>
      <c r="H19" s="75"/>
      <c r="I19" s="75"/>
      <c r="J19" s="75"/>
    </row>
    <row r="20" spans="1:10">
      <c r="A20" s="72" t="s">
        <v>83</v>
      </c>
      <c r="B20" s="75"/>
      <c r="C20" s="75"/>
      <c r="D20" s="97"/>
      <c r="E20" s="75"/>
      <c r="F20" s="75"/>
      <c r="G20" s="75"/>
      <c r="H20" s="75"/>
      <c r="I20" s="75"/>
      <c r="J20" s="75"/>
    </row>
    <row r="21" spans="1:10">
      <c r="A21" s="72" t="s">
        <v>84</v>
      </c>
      <c r="B21" s="75"/>
      <c r="C21" s="75"/>
      <c r="D21" s="97"/>
      <c r="E21" s="75"/>
      <c r="F21" s="76"/>
      <c r="G21" s="75"/>
      <c r="H21" s="75"/>
      <c r="I21" s="75"/>
      <c r="J21" s="75"/>
    </row>
    <row r="22" spans="1:10">
      <c r="A22" s="72" t="s">
        <v>85</v>
      </c>
      <c r="B22" s="75"/>
      <c r="C22" s="75"/>
      <c r="D22" s="97"/>
      <c r="E22" s="75"/>
      <c r="F22" s="76"/>
      <c r="G22" s="75"/>
      <c r="H22" s="75"/>
      <c r="I22" s="75"/>
      <c r="J22" s="75"/>
    </row>
    <row r="23" spans="1:10">
      <c r="A23" s="72" t="s">
        <v>86</v>
      </c>
      <c r="B23" s="75"/>
      <c r="C23" s="75"/>
      <c r="D23" s="97"/>
      <c r="E23" s="75"/>
      <c r="F23" s="76"/>
      <c r="G23" s="75"/>
      <c r="H23" s="75"/>
      <c r="I23" s="75"/>
      <c r="J23" s="75"/>
    </row>
    <row r="24" spans="1:10">
      <c r="A24" s="72" t="s">
        <v>87</v>
      </c>
      <c r="B24" s="75"/>
      <c r="C24" s="75"/>
      <c r="D24" s="97"/>
      <c r="E24" s="75"/>
      <c r="F24" s="76"/>
      <c r="G24" s="75"/>
      <c r="H24" s="75"/>
      <c r="I24" s="75"/>
      <c r="J24" s="75"/>
    </row>
    <row r="25" spans="1:10">
      <c r="A25" s="72" t="s">
        <v>88</v>
      </c>
      <c r="B25" s="75"/>
      <c r="C25" s="75"/>
      <c r="D25" s="97"/>
      <c r="E25" s="75"/>
      <c r="F25" s="76"/>
      <c r="G25" s="75"/>
      <c r="H25" s="75"/>
      <c r="I25" s="75"/>
      <c r="J25" s="75"/>
    </row>
    <row r="26" spans="1:10">
      <c r="A26" s="72" t="s">
        <v>90</v>
      </c>
      <c r="B26" s="75"/>
      <c r="C26" s="75"/>
      <c r="D26" s="97"/>
      <c r="E26" s="75"/>
      <c r="F26" s="75"/>
      <c r="G26" s="75"/>
      <c r="H26" s="75"/>
      <c r="I26" s="75"/>
      <c r="J26" s="75"/>
    </row>
    <row r="27" spans="1:10">
      <c r="A27" s="72" t="s">
        <v>91</v>
      </c>
      <c r="B27" s="75"/>
      <c r="C27" s="75"/>
      <c r="D27" s="97"/>
      <c r="E27" s="75"/>
      <c r="F27" s="75"/>
      <c r="G27" s="75"/>
      <c r="H27" s="75"/>
      <c r="I27" s="75"/>
      <c r="J27" s="75"/>
    </row>
    <row r="28" spans="1:10">
      <c r="A28" s="72" t="s">
        <v>92</v>
      </c>
      <c r="B28" s="75"/>
      <c r="C28" s="75"/>
      <c r="D28" s="97"/>
      <c r="E28" s="75"/>
      <c r="F28" s="76"/>
      <c r="G28" s="75"/>
      <c r="H28" s="75"/>
      <c r="I28" s="75"/>
      <c r="J28" s="75"/>
    </row>
    <row r="29" spans="1:10">
      <c r="A29" s="72" t="s">
        <v>93</v>
      </c>
      <c r="B29" s="75"/>
      <c r="C29" s="75"/>
      <c r="D29" s="97"/>
      <c r="E29" s="75"/>
      <c r="F29" s="76"/>
      <c r="G29" s="75"/>
      <c r="H29" s="75"/>
      <c r="I29" s="75"/>
      <c r="J29" s="75"/>
    </row>
    <row r="30" spans="1:10">
      <c r="A30" s="72" t="s">
        <v>94</v>
      </c>
      <c r="B30" s="75"/>
      <c r="C30" s="75"/>
      <c r="D30" s="97"/>
      <c r="E30" s="75"/>
      <c r="F30" s="75"/>
      <c r="G30" s="75"/>
      <c r="H30" s="75"/>
      <c r="I30" s="75"/>
      <c r="J30" s="75"/>
    </row>
    <row r="31" spans="1:10">
      <c r="A31" s="72" t="s">
        <v>95</v>
      </c>
      <c r="B31" s="75"/>
      <c r="C31" s="75"/>
      <c r="D31" s="75"/>
      <c r="E31" s="75"/>
      <c r="F31" s="75"/>
      <c r="G31" s="75"/>
      <c r="H31" s="75"/>
      <c r="I31" s="75"/>
      <c r="J31" s="75"/>
    </row>
    <row r="32" spans="1:10">
      <c r="A32" s="72" t="s">
        <v>96</v>
      </c>
      <c r="B32" s="75"/>
      <c r="C32" s="75"/>
      <c r="D32" s="75"/>
      <c r="E32" s="75"/>
      <c r="F32" s="75"/>
      <c r="G32" s="75"/>
      <c r="H32" s="75"/>
      <c r="I32" s="75"/>
      <c r="J32" s="75"/>
    </row>
    <row r="33" spans="1:10">
      <c r="A33" s="72" t="s">
        <v>97</v>
      </c>
      <c r="B33" s="75"/>
      <c r="C33" s="75"/>
      <c r="D33" s="75"/>
      <c r="E33" s="75"/>
      <c r="F33" s="75"/>
      <c r="G33" s="75"/>
      <c r="H33" s="75"/>
      <c r="I33" s="75"/>
      <c r="J33" s="75"/>
    </row>
    <row r="34" spans="1:10">
      <c r="A34" s="72" t="s">
        <v>100</v>
      </c>
      <c r="B34" s="75"/>
      <c r="C34" s="75"/>
      <c r="D34" s="75"/>
      <c r="E34" s="75"/>
      <c r="F34" s="75"/>
      <c r="G34" s="75"/>
      <c r="H34" s="75"/>
      <c r="I34" s="75"/>
      <c r="J34" s="75"/>
    </row>
    <row r="35" spans="1:10">
      <c r="A35" s="72" t="s">
        <v>104</v>
      </c>
      <c r="B35" s="75"/>
      <c r="C35" s="75"/>
      <c r="D35" s="75"/>
      <c r="E35" s="75"/>
      <c r="F35" s="75"/>
      <c r="G35" s="75"/>
      <c r="H35" s="75"/>
      <c r="I35" s="75"/>
      <c r="J35" s="75"/>
    </row>
    <row r="36" spans="1:10">
      <c r="A36" s="72" t="s">
        <v>105</v>
      </c>
      <c r="B36" s="75"/>
      <c r="C36" s="75"/>
      <c r="D36" s="75"/>
      <c r="E36" s="75"/>
      <c r="F36" s="75"/>
      <c r="G36" s="75"/>
      <c r="H36" s="75"/>
      <c r="I36" s="75"/>
      <c r="J36" s="75"/>
    </row>
    <row r="37" spans="1:10">
      <c r="A37" s="72" t="s">
        <v>106</v>
      </c>
      <c r="B37" s="75"/>
      <c r="C37" s="75"/>
      <c r="D37" s="75"/>
      <c r="E37" s="75"/>
      <c r="F37" s="75"/>
      <c r="G37" s="75"/>
      <c r="H37" s="75"/>
      <c r="I37" s="75"/>
      <c r="J37" s="75"/>
    </row>
    <row r="38" spans="1:10">
      <c r="A38" s="72" t="s">
        <v>107</v>
      </c>
      <c r="B38" s="75"/>
      <c r="C38" s="75"/>
      <c r="D38" s="75"/>
      <c r="E38" s="75"/>
      <c r="F38" s="75"/>
      <c r="G38" s="75"/>
      <c r="H38" s="75"/>
      <c r="I38" s="75"/>
      <c r="J38" s="75"/>
    </row>
    <row r="39" spans="1:10">
      <c r="A39" s="72" t="s">
        <v>108</v>
      </c>
      <c r="B39" s="75"/>
      <c r="C39" s="75"/>
      <c r="D39" s="75"/>
      <c r="E39" s="75"/>
      <c r="F39" s="75"/>
      <c r="G39" s="75"/>
      <c r="H39" s="75"/>
      <c r="I39" s="75"/>
      <c r="J39" s="75"/>
    </row>
    <row r="40" spans="1:10">
      <c r="A40" s="72" t="s">
        <v>109</v>
      </c>
      <c r="B40" s="75"/>
      <c r="C40" s="75"/>
      <c r="D40" s="75"/>
      <c r="E40" s="75"/>
      <c r="F40" s="75"/>
      <c r="G40" s="75"/>
      <c r="H40" s="75"/>
      <c r="I40" s="75"/>
      <c r="J40" s="75"/>
    </row>
    <row r="41" spans="1:10">
      <c r="A41" s="72" t="s">
        <v>110</v>
      </c>
      <c r="B41" s="75"/>
      <c r="C41" s="75"/>
      <c r="D41" s="75"/>
      <c r="E41" s="75"/>
      <c r="F41" s="75"/>
      <c r="G41" s="75"/>
      <c r="H41" s="75"/>
      <c r="I41" s="75"/>
      <c r="J41" s="75"/>
    </row>
    <row r="42" spans="1:10">
      <c r="A42" s="72" t="s">
        <v>111</v>
      </c>
      <c r="B42" s="75"/>
      <c r="C42" s="75"/>
      <c r="D42" s="75"/>
      <c r="E42" s="75"/>
      <c r="F42" s="75"/>
      <c r="G42" s="75"/>
      <c r="H42" s="75"/>
      <c r="I42" s="75"/>
      <c r="J42" s="75"/>
    </row>
    <row r="43" spans="1:10">
      <c r="A43" s="72" t="s">
        <v>112</v>
      </c>
      <c r="B43" s="75"/>
      <c r="C43" s="75"/>
      <c r="D43" s="75"/>
      <c r="E43" s="75"/>
      <c r="F43" s="75"/>
      <c r="G43" s="75"/>
      <c r="H43" s="75"/>
      <c r="I43" s="75"/>
      <c r="J43" s="75"/>
    </row>
    <row r="44" spans="1:10">
      <c r="A44" s="72" t="s">
        <v>113</v>
      </c>
      <c r="B44" s="75"/>
      <c r="C44" s="75"/>
      <c r="D44" s="75"/>
      <c r="E44" s="75"/>
      <c r="F44" s="75"/>
      <c r="G44" s="75"/>
      <c r="H44" s="75"/>
      <c r="I44" s="75"/>
      <c r="J44" s="75"/>
    </row>
    <row r="45" spans="1:10">
      <c r="A45" s="72" t="s">
        <v>114</v>
      </c>
      <c r="B45" s="75"/>
      <c r="C45" s="75"/>
      <c r="D45" s="75"/>
      <c r="E45" s="75"/>
      <c r="F45" s="75"/>
      <c r="G45" s="75"/>
      <c r="H45" s="75"/>
      <c r="I45" s="75"/>
      <c r="J45" s="75"/>
    </row>
    <row r="46" spans="1:10">
      <c r="A46" s="72" t="s">
        <v>115</v>
      </c>
      <c r="B46" s="75"/>
      <c r="C46" s="75"/>
      <c r="D46" s="75"/>
      <c r="E46" s="75"/>
      <c r="F46" s="75"/>
      <c r="G46" s="75"/>
      <c r="H46" s="75"/>
      <c r="I46" s="75"/>
      <c r="J46" s="75"/>
    </row>
    <row r="47" spans="1:10">
      <c r="A47" s="72" t="s">
        <v>116</v>
      </c>
      <c r="B47" s="75"/>
      <c r="C47" s="75"/>
      <c r="D47" s="75"/>
      <c r="E47" s="75"/>
      <c r="F47" s="75"/>
      <c r="G47" s="75"/>
      <c r="H47" s="75"/>
      <c r="I47" s="75"/>
      <c r="J47" s="75"/>
    </row>
    <row r="48" spans="1:10">
      <c r="A48" s="72" t="s">
        <v>117</v>
      </c>
      <c r="B48" s="75"/>
      <c r="C48" s="75"/>
      <c r="D48" s="75"/>
      <c r="E48" s="75"/>
      <c r="F48" s="75"/>
      <c r="G48" s="75"/>
      <c r="H48" s="75"/>
      <c r="I48" s="75"/>
      <c r="J48" s="75"/>
    </row>
    <row r="49" spans="1:10">
      <c r="A49" s="72" t="s">
        <v>118</v>
      </c>
      <c r="B49" s="75"/>
      <c r="C49" s="75"/>
      <c r="D49" s="75"/>
      <c r="E49" s="75"/>
      <c r="F49" s="75"/>
      <c r="G49" s="75"/>
      <c r="H49" s="75"/>
      <c r="I49" s="75"/>
      <c r="J49" s="75"/>
    </row>
    <row r="50" spans="1:10">
      <c r="A50" s="72" t="s">
        <v>119</v>
      </c>
      <c r="B50" s="75"/>
      <c r="C50" s="75"/>
      <c r="D50" s="75"/>
      <c r="E50" s="75"/>
      <c r="F50" s="75"/>
      <c r="G50" s="75"/>
      <c r="H50" s="75"/>
      <c r="I50" s="75"/>
      <c r="J50" s="75"/>
    </row>
    <row r="51" spans="1:10">
      <c r="A51" s="72" t="s">
        <v>120</v>
      </c>
      <c r="B51" s="75"/>
      <c r="C51" s="75"/>
      <c r="D51" s="75"/>
      <c r="E51" s="75"/>
      <c r="F51" s="75"/>
      <c r="G51" s="75"/>
      <c r="H51" s="75"/>
      <c r="I51" s="75"/>
      <c r="J51" s="75"/>
    </row>
    <row r="52" spans="1:10">
      <c r="A52" s="72" t="s">
        <v>121</v>
      </c>
      <c r="B52" s="75"/>
      <c r="C52" s="75"/>
      <c r="D52" s="75"/>
      <c r="E52" s="75"/>
      <c r="F52" s="75"/>
      <c r="G52" s="75"/>
      <c r="H52" s="75"/>
      <c r="I52" s="75"/>
      <c r="J52" s="75"/>
    </row>
    <row r="53" spans="1:10">
      <c r="A53" s="72" t="s">
        <v>122</v>
      </c>
      <c r="B53" s="75"/>
      <c r="C53" s="75"/>
      <c r="D53" s="75"/>
      <c r="E53" s="75"/>
      <c r="F53" s="75"/>
      <c r="G53" s="75"/>
      <c r="H53" s="75"/>
      <c r="I53" s="75"/>
      <c r="J53" s="75"/>
    </row>
    <row r="54" spans="1:10">
      <c r="A54" s="72" t="s">
        <v>123</v>
      </c>
      <c r="B54" s="75"/>
      <c r="C54" s="75"/>
      <c r="D54" s="75"/>
      <c r="E54" s="75"/>
      <c r="F54" s="75"/>
      <c r="G54" s="75"/>
      <c r="H54" s="75"/>
      <c r="I54" s="75"/>
      <c r="J54" s="75"/>
    </row>
    <row r="55" spans="1:10">
      <c r="A55" s="72" t="s">
        <v>124</v>
      </c>
      <c r="B55" s="75"/>
      <c r="C55" s="75"/>
      <c r="D55" s="75"/>
      <c r="E55" s="75"/>
      <c r="F55" s="75"/>
      <c r="G55" s="75"/>
      <c r="H55" s="75"/>
      <c r="I55" s="75"/>
      <c r="J55" s="75"/>
    </row>
    <row r="56" spans="1:10">
      <c r="A56" s="72" t="s">
        <v>125</v>
      </c>
      <c r="B56" s="75"/>
      <c r="C56" s="75"/>
      <c r="D56" s="75"/>
      <c r="E56" s="75"/>
      <c r="F56" s="75"/>
      <c r="G56" s="75"/>
      <c r="H56" s="75"/>
      <c r="I56" s="75"/>
      <c r="J56" s="75"/>
    </row>
    <row r="57" spans="1:10">
      <c r="A57" s="72" t="s">
        <v>126</v>
      </c>
      <c r="B57" s="75"/>
      <c r="C57" s="75"/>
      <c r="D57" s="75"/>
      <c r="E57" s="75"/>
      <c r="F57" s="75"/>
      <c r="G57" s="75"/>
      <c r="H57" s="75"/>
      <c r="I57" s="75"/>
      <c r="J57" s="75"/>
    </row>
  </sheetData>
  <autoFilter ref="A1:J57" xr:uid="{4CC60BA0-1B8C-4086-9444-7582B2F961A2}"/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66D5-E312-401F-ACE5-5E21EB5E1CB6}">
  <sheetPr codeName="Sheet9"/>
  <dimension ref="A1:H31"/>
  <sheetViews>
    <sheetView workbookViewId="0">
      <selection activeCell="B3" sqref="B3"/>
    </sheetView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5.25" style="74" bestFit="1" customWidth="1"/>
    <col min="4" max="4" width="9.625" style="74" bestFit="1" customWidth="1"/>
    <col min="5" max="5" width="7.75" style="74" bestFit="1" customWidth="1"/>
    <col min="6" max="6" width="5" style="74" bestFit="1" customWidth="1"/>
    <col min="7" max="7" width="8.75" style="74" bestFit="1" customWidth="1"/>
    <col min="8" max="8" width="8.25" style="74" bestFit="1" customWidth="1"/>
    <col min="9" max="16384" width="9" style="74"/>
  </cols>
  <sheetData>
    <row r="1" spans="1:8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71</v>
      </c>
      <c r="F1" s="73" t="s">
        <v>72</v>
      </c>
      <c r="G1" s="73" t="s">
        <v>127</v>
      </c>
      <c r="H1" s="72" t="s">
        <v>75</v>
      </c>
    </row>
    <row r="2" spans="1:8">
      <c r="A2" s="72" t="s">
        <v>48</v>
      </c>
      <c r="B2" s="75">
        <f>external_general_parts!B15+1</f>
        <v>14</v>
      </c>
      <c r="C2" s="75" t="s">
        <v>128</v>
      </c>
      <c r="D2" s="97" t="s">
        <v>2222</v>
      </c>
      <c r="E2" s="75">
        <f ca="1">OFFSET(rooms!$B$2,MATCH(D2,rooms!$D$2:$D$8,0)-1,0)</f>
        <v>2</v>
      </c>
      <c r="F2" s="75" cm="1">
        <f t="array" ref="F2">_xlfn.IFS(計算条件!$F$3="寒冷地",1.89,計算条件!$F$3="温暖地",1.89)</f>
        <v>1.89</v>
      </c>
      <c r="G2" s="76">
        <f>外皮面積!$M$7</f>
        <v>4.8978953862365673</v>
      </c>
      <c r="H2" s="75" t="s">
        <v>89</v>
      </c>
    </row>
    <row r="3" spans="1:8">
      <c r="A3" s="72" t="s">
        <v>49</v>
      </c>
      <c r="B3" s="75">
        <f t="shared" ref="B3:B6" si="0">B2+1</f>
        <v>15</v>
      </c>
      <c r="C3" s="75" t="s">
        <v>129</v>
      </c>
      <c r="D3" s="97" t="s">
        <v>2222</v>
      </c>
      <c r="E3" s="75">
        <f ca="1">OFFSET(rooms!$B$2,MATCH(D3,rooms!$D$2:$D$8,0)-1,0)</f>
        <v>2</v>
      </c>
      <c r="F3" s="76" cm="1">
        <f t="array" ref="F3">_xlfn.IFS(計算条件!$F$3="寒冷地",1.35,計算条件!$F$3="温暖地",1.62)</f>
        <v>1.62</v>
      </c>
      <c r="G3" s="76">
        <f>外皮面積!$M$7</f>
        <v>4.8978953862365673</v>
      </c>
      <c r="H3" s="75" t="s">
        <v>80</v>
      </c>
    </row>
    <row r="4" spans="1:8">
      <c r="A4" s="72" t="s">
        <v>50</v>
      </c>
      <c r="B4" s="75">
        <f t="shared" si="0"/>
        <v>16</v>
      </c>
      <c r="C4" s="75" t="s">
        <v>130</v>
      </c>
      <c r="D4" s="75" t="s">
        <v>22</v>
      </c>
      <c r="E4" s="75">
        <f ca="1">OFFSET(rooms!$B$2,MATCH(D4,rooms!$D$2:$D$8,0)-1,0)</f>
        <v>4</v>
      </c>
      <c r="F4" s="75">
        <v>52.170299999999997</v>
      </c>
      <c r="G4" s="75">
        <v>4.51</v>
      </c>
      <c r="H4" s="75" t="s">
        <v>131</v>
      </c>
    </row>
    <row r="5" spans="1:8">
      <c r="A5" s="72" t="s">
        <v>51</v>
      </c>
      <c r="B5" s="75">
        <f t="shared" si="0"/>
        <v>17</v>
      </c>
      <c r="C5" s="75" t="s">
        <v>132</v>
      </c>
      <c r="D5" s="75" t="s">
        <v>23</v>
      </c>
      <c r="E5" s="75">
        <f ca="1">OFFSET(rooms!$B$2,MATCH(D5,rooms!$D$2:$D$8,0)-1,0)</f>
        <v>5</v>
      </c>
      <c r="F5" s="75">
        <v>12.421499999999998</v>
      </c>
      <c r="G5" s="75">
        <v>4.51</v>
      </c>
      <c r="H5" s="75" t="s">
        <v>131</v>
      </c>
    </row>
    <row r="6" spans="1:8">
      <c r="A6" s="72" t="s">
        <v>52</v>
      </c>
      <c r="B6" s="75">
        <f t="shared" si="0"/>
        <v>18</v>
      </c>
      <c r="C6" s="75" t="s">
        <v>133</v>
      </c>
      <c r="D6" s="75" t="s">
        <v>24</v>
      </c>
      <c r="E6" s="75">
        <f ca="1">OFFSET(rooms!$B$2,MATCH(D6,rooms!$D$2:$D$8,0)-1,0)</f>
        <v>6</v>
      </c>
      <c r="F6" s="75">
        <v>3.3124000000000002</v>
      </c>
      <c r="G6" s="75">
        <v>4.51</v>
      </c>
      <c r="H6" s="75" t="s">
        <v>131</v>
      </c>
    </row>
    <row r="7" spans="1:8">
      <c r="A7" s="72" t="s">
        <v>53</v>
      </c>
      <c r="B7" s="75"/>
      <c r="C7" s="75"/>
      <c r="D7" s="75"/>
      <c r="E7" s="75"/>
      <c r="F7" s="75"/>
      <c r="G7" s="75"/>
      <c r="H7" s="75"/>
    </row>
    <row r="8" spans="1:8">
      <c r="A8" s="72" t="s">
        <v>54</v>
      </c>
      <c r="B8" s="75"/>
      <c r="C8" s="75"/>
      <c r="D8" s="75"/>
      <c r="E8" s="75"/>
      <c r="F8" s="75"/>
      <c r="G8" s="75"/>
      <c r="H8" s="75"/>
    </row>
    <row r="9" spans="1:8">
      <c r="A9" s="72" t="s">
        <v>55</v>
      </c>
      <c r="B9" s="75"/>
      <c r="C9" s="75"/>
      <c r="D9" s="75"/>
      <c r="E9" s="75"/>
      <c r="F9" s="75"/>
      <c r="G9" s="75"/>
      <c r="H9" s="75"/>
    </row>
    <row r="10" spans="1:8">
      <c r="A10" s="72" t="s">
        <v>56</v>
      </c>
      <c r="B10" s="75"/>
      <c r="C10" s="75"/>
      <c r="D10" s="75"/>
      <c r="E10" s="75"/>
      <c r="F10" s="75"/>
      <c r="G10" s="75"/>
      <c r="H10" s="75"/>
    </row>
    <row r="11" spans="1:8">
      <c r="A11" s="72" t="s">
        <v>57</v>
      </c>
      <c r="B11" s="75"/>
      <c r="C11" s="75"/>
      <c r="D11" s="75"/>
      <c r="E11" s="75"/>
      <c r="F11" s="75"/>
      <c r="G11" s="75"/>
      <c r="H11" s="75"/>
    </row>
    <row r="12" spans="1:8">
      <c r="A12" s="72" t="s">
        <v>58</v>
      </c>
      <c r="B12" s="75"/>
      <c r="C12" s="75"/>
      <c r="D12" s="75"/>
      <c r="E12" s="75"/>
      <c r="F12" s="75"/>
      <c r="G12" s="75"/>
      <c r="H12" s="75"/>
    </row>
    <row r="13" spans="1:8">
      <c r="A13" s="72" t="s">
        <v>59</v>
      </c>
      <c r="B13" s="75"/>
      <c r="C13" s="75"/>
      <c r="D13" s="75"/>
      <c r="E13" s="75"/>
      <c r="F13" s="75"/>
      <c r="G13" s="75"/>
      <c r="H13" s="75"/>
    </row>
    <row r="14" spans="1:8">
      <c r="A14" s="72" t="s">
        <v>60</v>
      </c>
      <c r="B14" s="75"/>
      <c r="C14" s="75"/>
      <c r="D14" s="75"/>
      <c r="E14" s="75"/>
      <c r="F14" s="75"/>
      <c r="G14" s="75"/>
      <c r="H14" s="75"/>
    </row>
    <row r="15" spans="1:8">
      <c r="A15" s="72" t="s">
        <v>63</v>
      </c>
      <c r="B15" s="75"/>
      <c r="C15" s="75"/>
      <c r="D15" s="75"/>
      <c r="E15" s="75"/>
      <c r="F15" s="75"/>
      <c r="G15" s="75"/>
      <c r="H15" s="75"/>
    </row>
    <row r="16" spans="1:8">
      <c r="A16" s="72" t="s">
        <v>64</v>
      </c>
      <c r="B16" s="75"/>
      <c r="C16" s="75"/>
      <c r="D16" s="75"/>
      <c r="E16" s="75"/>
      <c r="F16" s="75"/>
      <c r="G16" s="75"/>
      <c r="H16" s="75"/>
    </row>
    <row r="17" spans="1:8">
      <c r="A17" s="72" t="s">
        <v>67</v>
      </c>
      <c r="B17" s="75"/>
      <c r="C17" s="75"/>
      <c r="D17" s="75"/>
      <c r="E17" s="75"/>
      <c r="F17" s="75"/>
      <c r="G17" s="75"/>
      <c r="H17" s="75"/>
    </row>
    <row r="18" spans="1:8">
      <c r="A18" s="72" t="s">
        <v>69</v>
      </c>
      <c r="B18" s="75"/>
      <c r="C18" s="75"/>
      <c r="D18" s="75"/>
      <c r="E18" s="75"/>
      <c r="F18" s="75"/>
      <c r="G18" s="75"/>
      <c r="H18" s="75"/>
    </row>
    <row r="19" spans="1:8">
      <c r="A19" s="72" t="s">
        <v>81</v>
      </c>
      <c r="B19" s="75"/>
      <c r="C19" s="75"/>
      <c r="D19" s="75"/>
      <c r="E19" s="75"/>
      <c r="F19" s="75"/>
      <c r="G19" s="75"/>
      <c r="H19" s="75"/>
    </row>
    <row r="20" spans="1:8">
      <c r="A20" s="72" t="s">
        <v>83</v>
      </c>
      <c r="B20" s="75"/>
      <c r="C20" s="75"/>
      <c r="D20" s="75"/>
      <c r="E20" s="75"/>
      <c r="F20" s="75"/>
      <c r="G20" s="75"/>
      <c r="H20" s="75"/>
    </row>
    <row r="21" spans="1:8">
      <c r="A21" s="72" t="s">
        <v>84</v>
      </c>
      <c r="B21" s="75"/>
      <c r="C21" s="75"/>
      <c r="D21" s="75"/>
      <c r="E21" s="75"/>
      <c r="F21" s="75"/>
      <c r="G21" s="75"/>
      <c r="H21" s="75"/>
    </row>
    <row r="22" spans="1:8">
      <c r="A22" s="72" t="s">
        <v>85</v>
      </c>
      <c r="B22" s="75"/>
      <c r="C22" s="75"/>
      <c r="D22" s="75"/>
      <c r="E22" s="75"/>
      <c r="F22" s="75"/>
      <c r="G22" s="75"/>
      <c r="H22" s="75"/>
    </row>
    <row r="23" spans="1:8">
      <c r="A23" s="72" t="s">
        <v>86</v>
      </c>
      <c r="B23" s="75"/>
      <c r="C23" s="75"/>
      <c r="D23" s="75"/>
      <c r="E23" s="75"/>
      <c r="F23" s="75"/>
      <c r="G23" s="75"/>
      <c r="H23" s="75"/>
    </row>
    <row r="24" spans="1:8">
      <c r="A24" s="72" t="s">
        <v>87</v>
      </c>
      <c r="B24" s="75"/>
      <c r="C24" s="75"/>
      <c r="D24" s="75"/>
      <c r="E24" s="75"/>
      <c r="F24" s="75"/>
      <c r="G24" s="75"/>
      <c r="H24" s="75"/>
    </row>
    <row r="25" spans="1:8">
      <c r="A25" s="72" t="s">
        <v>88</v>
      </c>
      <c r="B25" s="75"/>
      <c r="C25" s="75"/>
      <c r="D25" s="75"/>
      <c r="E25" s="75"/>
      <c r="F25" s="75"/>
      <c r="G25" s="75"/>
      <c r="H25" s="75"/>
    </row>
    <row r="26" spans="1:8">
      <c r="A26" s="72" t="s">
        <v>90</v>
      </c>
      <c r="B26" s="75"/>
      <c r="C26" s="75"/>
      <c r="D26" s="75"/>
      <c r="E26" s="75"/>
      <c r="F26" s="75"/>
      <c r="G26" s="75"/>
      <c r="H26" s="75"/>
    </row>
    <row r="27" spans="1:8">
      <c r="A27" s="72" t="s">
        <v>91</v>
      </c>
      <c r="B27" s="75"/>
      <c r="C27" s="75"/>
      <c r="D27" s="75"/>
      <c r="E27" s="75"/>
      <c r="F27" s="75"/>
      <c r="G27" s="75"/>
      <c r="H27" s="75"/>
    </row>
    <row r="28" spans="1:8">
      <c r="A28" s="72" t="s">
        <v>92</v>
      </c>
      <c r="B28" s="75"/>
      <c r="C28" s="75"/>
      <c r="D28" s="75"/>
      <c r="E28" s="75"/>
      <c r="F28" s="75"/>
      <c r="G28" s="75"/>
      <c r="H28" s="75"/>
    </row>
    <row r="29" spans="1:8">
      <c r="A29" s="72" t="s">
        <v>93</v>
      </c>
      <c r="B29" s="75"/>
      <c r="C29" s="75"/>
      <c r="D29" s="75"/>
      <c r="E29" s="75"/>
      <c r="F29" s="75"/>
      <c r="G29" s="75"/>
      <c r="H29" s="75"/>
    </row>
    <row r="30" spans="1:8">
      <c r="A30" s="72" t="s">
        <v>94</v>
      </c>
      <c r="B30" s="75"/>
      <c r="C30" s="75"/>
      <c r="D30" s="75"/>
      <c r="E30" s="75"/>
      <c r="F30" s="75"/>
      <c r="G30" s="75"/>
      <c r="H30" s="75"/>
    </row>
    <row r="31" spans="1:8">
      <c r="A31" s="72" t="s">
        <v>95</v>
      </c>
      <c r="B31" s="75"/>
      <c r="C31" s="75"/>
      <c r="D31" s="75"/>
      <c r="E31" s="75"/>
      <c r="F31" s="75"/>
      <c r="G31" s="75"/>
      <c r="H31" s="75"/>
    </row>
  </sheetData>
  <phoneticPr fontId="2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9FAD-8A74-4ACF-84CE-332EE9765262}">
  <sheetPr codeName="Sheet11"/>
  <dimension ref="A1:O31"/>
  <sheetViews>
    <sheetView workbookViewId="0">
      <selection activeCell="H21" sqref="H21"/>
    </sheetView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1.125" style="74" bestFit="1" customWidth="1"/>
    <col min="4" max="4" width="13" style="74" bestFit="1" customWidth="1"/>
    <col min="5" max="5" width="7.75" style="74" bestFit="1" customWidth="1"/>
    <col min="6" max="6" width="7.25" style="74" bestFit="1" customWidth="1"/>
    <col min="7" max="7" width="8.75" style="74" bestFit="1" customWidth="1"/>
    <col min="8" max="8" width="9" style="74" bestFit="1"/>
    <col min="9" max="9" width="8.5" style="74" bestFit="1" customWidth="1"/>
    <col min="10" max="10" width="15.125" style="74" bestFit="1" customWidth="1"/>
    <col min="11" max="11" width="8.25" style="74" bestFit="1" customWidth="1"/>
    <col min="12" max="12" width="18" style="74" bestFit="1" customWidth="1"/>
    <col min="13" max="15" width="6.625" style="74" bestFit="1" customWidth="1"/>
    <col min="16" max="16384" width="9" style="74"/>
  </cols>
  <sheetData>
    <row r="1" spans="1:15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71</v>
      </c>
      <c r="F1" s="73" t="s">
        <v>72</v>
      </c>
      <c r="G1" s="73" t="s">
        <v>127</v>
      </c>
      <c r="H1" s="72" t="s">
        <v>152</v>
      </c>
      <c r="I1" s="72" t="s">
        <v>153</v>
      </c>
      <c r="J1" s="72" t="s">
        <v>154</v>
      </c>
      <c r="K1" s="72" t="s">
        <v>75</v>
      </c>
      <c r="L1" s="72" t="s">
        <v>155</v>
      </c>
      <c r="M1" s="73" t="s">
        <v>156</v>
      </c>
      <c r="N1" s="73" t="s">
        <v>157</v>
      </c>
      <c r="O1" s="73" t="s">
        <v>158</v>
      </c>
    </row>
    <row r="2" spans="1:15">
      <c r="A2" s="72" t="s">
        <v>48</v>
      </c>
      <c r="B2" s="75">
        <f>external_opaque_parts!B6+1</f>
        <v>19</v>
      </c>
      <c r="C2" s="75" t="s">
        <v>159</v>
      </c>
      <c r="D2" s="97" t="s">
        <v>2222</v>
      </c>
      <c r="E2" s="75">
        <f ca="1">OFFSET(rooms!$B$2,MATCH(D2,rooms!$D$2:$D$19,0)-1,0)</f>
        <v>2</v>
      </c>
      <c r="F2" s="76" cm="1">
        <f t="array" aca="1" ref="F2" ca="1">_xlfn.IFS(外皮面積!$T$23=1,砂川さんエクセルデータ!G3,外皮面積!$T$23=0,砂川さんエクセルデータ!F3)</f>
        <v>4.59</v>
      </c>
      <c r="G2" s="76">
        <f ca="1">外皮面積!$M$10</f>
        <v>4.8978953862365673</v>
      </c>
      <c r="H2" s="78">
        <f ca="1">外皮面積!$N$10</f>
        <v>0.77928031250355267</v>
      </c>
      <c r="I2" s="76" t="s">
        <v>2172</v>
      </c>
      <c r="J2" s="75">
        <v>1</v>
      </c>
      <c r="K2" s="75" t="s">
        <v>82</v>
      </c>
      <c r="L2" s="75" t="b">
        <v>1</v>
      </c>
      <c r="M2" s="75">
        <v>0.3</v>
      </c>
      <c r="N2" s="76" cm="1">
        <f t="array" ref="N2">_xlfn.IFS(計算条件!$F$3="寒冷地",1.3,計算条件!$F$3="温暖地",1.8)</f>
        <v>1.8</v>
      </c>
      <c r="O2" s="75">
        <v>0.6</v>
      </c>
    </row>
    <row r="3" spans="1:15">
      <c r="A3" s="72" t="s">
        <v>49</v>
      </c>
      <c r="B3" s="75">
        <f t="shared" ref="B3:B17" si="0">B2+1</f>
        <v>20</v>
      </c>
      <c r="C3" s="75" t="s">
        <v>159</v>
      </c>
      <c r="D3" s="97" t="s">
        <v>2220</v>
      </c>
      <c r="E3" s="75">
        <f ca="1">OFFSET(rooms!$B$2,MATCH(D3,rooms!$D$2:$D$19,0)-1,0)</f>
        <v>0</v>
      </c>
      <c r="F3" s="76" cm="1">
        <f t="array" aca="1" ref="F3" ca="1">_xlfn.IFS(外皮面積!$T$23=1,砂川さんエクセルデータ!G5,外皮面積!$T$23=0,砂川さんエクセルデータ!F5)</f>
        <v>3.47</v>
      </c>
      <c r="G3" s="76">
        <f ca="1">外皮面積!$M$10</f>
        <v>4.8978953862365673</v>
      </c>
      <c r="H3" s="78">
        <f ca="1">外皮面積!$N$10</f>
        <v>0.77928031250355267</v>
      </c>
      <c r="I3" s="76" t="s">
        <v>2172</v>
      </c>
      <c r="J3" s="75">
        <v>1</v>
      </c>
      <c r="K3" s="75" t="s">
        <v>82</v>
      </c>
      <c r="L3" s="75" t="b">
        <v>1</v>
      </c>
      <c r="M3" s="75">
        <v>0.91</v>
      </c>
      <c r="N3" s="76" cm="1">
        <f t="array" ref="N3">_xlfn.IFS(計算条件!$F$3="寒冷地",1.8,計算条件!$F$3="温暖地",2.1)</f>
        <v>2.1</v>
      </c>
      <c r="O3" s="75">
        <v>0.48</v>
      </c>
    </row>
    <row r="4" spans="1:15">
      <c r="A4" s="72" t="s">
        <v>50</v>
      </c>
      <c r="B4" s="75">
        <f t="shared" si="0"/>
        <v>21</v>
      </c>
      <c r="C4" s="75" t="s">
        <v>159</v>
      </c>
      <c r="D4" s="97" t="s">
        <v>2220</v>
      </c>
      <c r="E4" s="75">
        <f ca="1">OFFSET(rooms!$B$2,MATCH(D4,rooms!$D$2:$D$19,0)-1,0)</f>
        <v>0</v>
      </c>
      <c r="F4" s="76" cm="1">
        <f t="array" aca="1" ref="F4" ca="1">_xlfn.IFS(外皮面積!$T$23=1,砂川さんエクセルデータ!G4,外皮面積!$T$23=0,砂川さんエクセルデータ!F4)</f>
        <v>3.47</v>
      </c>
      <c r="G4" s="76">
        <f ca="1">外皮面積!$M$10</f>
        <v>4.8978953862365673</v>
      </c>
      <c r="H4" s="78">
        <f ca="1">外皮面積!$N$10</f>
        <v>0.77928031250355267</v>
      </c>
      <c r="I4" s="76" t="s">
        <v>2172</v>
      </c>
      <c r="J4" s="75">
        <v>1</v>
      </c>
      <c r="K4" s="75" t="s">
        <v>82</v>
      </c>
      <c r="L4" s="75" t="b">
        <v>1</v>
      </c>
      <c r="M4" s="75">
        <v>0.91</v>
      </c>
      <c r="N4" s="76" cm="1">
        <f t="array" ref="N4">_xlfn.IFS(計算条件!$F$3="寒冷地",1.3,計算条件!$F$3="温暖地",2.1)</f>
        <v>2.1</v>
      </c>
      <c r="O4" s="75">
        <v>0.48</v>
      </c>
    </row>
    <row r="5" spans="1:15">
      <c r="A5" s="72" t="s">
        <v>51</v>
      </c>
      <c r="B5" s="75">
        <f t="shared" si="0"/>
        <v>22</v>
      </c>
      <c r="C5" s="75" t="s">
        <v>159</v>
      </c>
      <c r="D5" s="97" t="s">
        <v>2220</v>
      </c>
      <c r="E5" s="75">
        <f ca="1">OFFSET(rooms!$B$2,MATCH(D5,rooms!$D$2:$D$19,0)-1,0)</f>
        <v>0</v>
      </c>
      <c r="F5" s="75" cm="1">
        <f t="array" aca="1" ref="F5" ca="1">_xlfn.IFS(外皮面積!$T$23=1,砂川さんエクセルデータ!G26,外皮面積!$T$23=0,砂川さんエクセルデータ!F26)</f>
        <v>2.15</v>
      </c>
      <c r="G5" s="76">
        <f ca="1">外皮面積!$M$10</f>
        <v>4.8978953862365673</v>
      </c>
      <c r="H5" s="78">
        <f ca="1">外皮面積!$N$10</f>
        <v>0.77928031250355267</v>
      </c>
      <c r="I5" s="76" t="s">
        <v>2172</v>
      </c>
      <c r="J5" s="75">
        <v>1</v>
      </c>
      <c r="K5" s="75" t="s">
        <v>78</v>
      </c>
      <c r="L5" s="75" t="b">
        <v>0</v>
      </c>
      <c r="M5" s="75"/>
      <c r="N5" s="75"/>
      <c r="O5" s="75"/>
    </row>
    <row r="6" spans="1:15">
      <c r="A6" s="72" t="s">
        <v>52</v>
      </c>
      <c r="B6" s="75">
        <f t="shared" si="0"/>
        <v>23</v>
      </c>
      <c r="C6" s="75" t="s">
        <v>159</v>
      </c>
      <c r="D6" s="97" t="s">
        <v>2220</v>
      </c>
      <c r="E6" s="75">
        <f ca="1">OFFSET(rooms!$B$2,MATCH(D6,rooms!$D$2:$D$19,0)-1,0)</f>
        <v>0</v>
      </c>
      <c r="F6" s="76" cm="1">
        <f t="array" aca="1" ref="F6" ca="1">_xlfn.IFS(外皮面積!$T$23=1,砂川さんエクセルデータ!G27,外皮面積!$T$23=0,砂川さんエクセルデータ!F27)</f>
        <v>0.98</v>
      </c>
      <c r="G6" s="76">
        <f ca="1">外皮面積!$M$10</f>
        <v>4.8978953862365673</v>
      </c>
      <c r="H6" s="78">
        <f ca="1">外皮面積!$N$10</f>
        <v>0.77928031250355267</v>
      </c>
      <c r="I6" s="76" t="s">
        <v>2172</v>
      </c>
      <c r="J6" s="75">
        <v>1</v>
      </c>
      <c r="K6" s="75" t="s">
        <v>78</v>
      </c>
      <c r="L6" s="75" t="b">
        <v>0</v>
      </c>
      <c r="M6" s="75"/>
      <c r="N6" s="75"/>
      <c r="O6" s="75"/>
    </row>
    <row r="7" spans="1:15">
      <c r="A7" s="72" t="s">
        <v>53</v>
      </c>
      <c r="B7" s="75">
        <f t="shared" si="0"/>
        <v>24</v>
      </c>
      <c r="C7" s="75" t="s">
        <v>159</v>
      </c>
      <c r="D7" s="97" t="s">
        <v>2222</v>
      </c>
      <c r="E7" s="75">
        <f ca="1">OFFSET(rooms!$B$2,MATCH(D7,rooms!$D$2:$D$19,0)-1,0)</f>
        <v>2</v>
      </c>
      <c r="F7" s="76" cm="1">
        <f t="array" aca="1" ref="F7" ca="1">_xlfn.IFS(外皮面積!$T$23=1,砂川さんエクセルデータ!G19,外皮面積!$T$23=0,砂川さんエクセルデータ!F19)</f>
        <v>0.54</v>
      </c>
      <c r="G7" s="76">
        <f ca="1">外皮面積!$M$10</f>
        <v>4.8978953862365673</v>
      </c>
      <c r="H7" s="78">
        <f ca="1">外皮面積!$N$10</f>
        <v>0.77928031250355267</v>
      </c>
      <c r="I7" s="76" t="s">
        <v>2172</v>
      </c>
      <c r="J7" s="75">
        <v>1</v>
      </c>
      <c r="K7" s="75" t="s">
        <v>80</v>
      </c>
      <c r="L7" s="75" t="b">
        <v>0</v>
      </c>
      <c r="M7" s="75"/>
      <c r="N7" s="75"/>
      <c r="O7" s="75"/>
    </row>
    <row r="8" spans="1:15">
      <c r="A8" s="72" t="s">
        <v>54</v>
      </c>
      <c r="B8" s="75">
        <f t="shared" si="0"/>
        <v>25</v>
      </c>
      <c r="C8" s="75" t="s">
        <v>159</v>
      </c>
      <c r="D8" s="97" t="s">
        <v>2222</v>
      </c>
      <c r="E8" s="75">
        <f ca="1">OFFSET(rooms!$B$2,MATCH(D8,rooms!$D$2:$D$19,0)-1,0)</f>
        <v>2</v>
      </c>
      <c r="F8" s="76" cm="1">
        <f t="array" aca="1" ref="F8" ca="1">_xlfn.IFS(外皮面積!$T$23=1,砂川さんエクセルデータ!G20,外皮面積!$T$23=0,砂川さんエクセルデータ!F20)</f>
        <v>0.54</v>
      </c>
      <c r="G8" s="76">
        <f ca="1">外皮面積!$M$10</f>
        <v>4.8978953862365673</v>
      </c>
      <c r="H8" s="78">
        <f ca="1">外皮面積!$N$10</f>
        <v>0.77928031250355267</v>
      </c>
      <c r="I8" s="76" t="s">
        <v>2172</v>
      </c>
      <c r="J8" s="75">
        <v>1</v>
      </c>
      <c r="K8" s="75" t="s">
        <v>80</v>
      </c>
      <c r="L8" s="75" t="b">
        <v>0</v>
      </c>
      <c r="M8" s="75"/>
      <c r="N8" s="75"/>
      <c r="O8" s="75"/>
    </row>
    <row r="9" spans="1:15">
      <c r="A9" s="72" t="s">
        <v>55</v>
      </c>
      <c r="B9" s="75">
        <f t="shared" si="0"/>
        <v>26</v>
      </c>
      <c r="C9" s="75" t="s">
        <v>159</v>
      </c>
      <c r="D9" s="97" t="s">
        <v>2222</v>
      </c>
      <c r="E9" s="75">
        <f ca="1">OFFSET(rooms!$B$2,MATCH(D9,rooms!$D$2:$D$19,0)-1,0)</f>
        <v>2</v>
      </c>
      <c r="F9" s="76" cm="1">
        <f t="array" aca="1" ref="F9" ca="1">_xlfn.IFS(外皮面積!$T$23=1,砂川さんエクセルデータ!G11,外皮面積!$T$23=0,砂川さんエクセルデータ!F11)</f>
        <v>0.54</v>
      </c>
      <c r="G9" s="76">
        <f ca="1">外皮面積!$M$10</f>
        <v>4.8978953862365673</v>
      </c>
      <c r="H9" s="78">
        <f ca="1">外皮面積!$N$10</f>
        <v>0.77928031250355267</v>
      </c>
      <c r="I9" s="76" t="s">
        <v>2172</v>
      </c>
      <c r="J9" s="75">
        <v>1</v>
      </c>
      <c r="K9" s="75" t="s">
        <v>89</v>
      </c>
      <c r="L9" s="75" t="b">
        <v>0</v>
      </c>
      <c r="M9" s="75"/>
      <c r="N9" s="75"/>
      <c r="O9" s="75"/>
    </row>
    <row r="10" spans="1:15">
      <c r="A10" s="72" t="s">
        <v>56</v>
      </c>
      <c r="B10" s="75">
        <f t="shared" si="0"/>
        <v>27</v>
      </c>
      <c r="C10" s="75" t="s">
        <v>159</v>
      </c>
      <c r="D10" s="97" t="s">
        <v>2222</v>
      </c>
      <c r="E10" s="75">
        <f ca="1">OFFSET(rooms!$B$2,MATCH(D10,rooms!$D$2:$D$19,0)-1,0)</f>
        <v>2</v>
      </c>
      <c r="F10" s="76" cm="1">
        <f t="array" aca="1" ref="F10" ca="1">_xlfn.IFS(外皮面積!$T$23=1,砂川さんエクセルデータ!G21,外皮面積!$T$23=0,砂川さんエクセルデータ!F21)</f>
        <v>0.54</v>
      </c>
      <c r="G10" s="76">
        <f ca="1">外皮面積!$M$10</f>
        <v>4.8978953862365673</v>
      </c>
      <c r="H10" s="78">
        <f ca="1">外皮面積!$N$10</f>
        <v>0.77928031250355267</v>
      </c>
      <c r="I10" s="76" t="s">
        <v>2172</v>
      </c>
      <c r="J10" s="75">
        <v>1</v>
      </c>
      <c r="K10" s="75" t="s">
        <v>80</v>
      </c>
      <c r="L10" s="75" t="b">
        <v>0</v>
      </c>
      <c r="M10" s="75"/>
      <c r="N10" s="75"/>
      <c r="O10" s="75"/>
    </row>
    <row r="11" spans="1:15">
      <c r="A11" s="72" t="s">
        <v>57</v>
      </c>
      <c r="B11" s="75">
        <f t="shared" si="0"/>
        <v>28</v>
      </c>
      <c r="C11" s="75" t="s">
        <v>159</v>
      </c>
      <c r="D11" s="97" t="s">
        <v>2231</v>
      </c>
      <c r="E11" s="75">
        <f ca="1">OFFSET(rooms!$B$2,MATCH(D11,rooms!$D$2:$D$19,0)-1,0)</f>
        <v>1</v>
      </c>
      <c r="F11" s="76" cm="1">
        <f t="array" aca="1" ref="F11" ca="1">_xlfn.IFS(外皮面積!$T$23=1,砂川さんエクセルデータ!G6,外皮面積!$T$23=0,砂川さんエクセルデータ!F6)</f>
        <v>1.73</v>
      </c>
      <c r="G11" s="76">
        <f ca="1">外皮面積!$M$10</f>
        <v>4.8978953862365673</v>
      </c>
      <c r="H11" s="78">
        <f ca="1">外皮面積!$N$10</f>
        <v>0.77928031250355267</v>
      </c>
      <c r="I11" s="76" t="s">
        <v>2172</v>
      </c>
      <c r="J11" s="75">
        <v>1</v>
      </c>
      <c r="K11" s="75" t="s">
        <v>82</v>
      </c>
      <c r="L11" s="75" t="b">
        <v>1</v>
      </c>
      <c r="M11" s="75">
        <v>0.65</v>
      </c>
      <c r="N11" s="76" cm="1">
        <f t="array" ref="N11">_xlfn.IFS(計算条件!$F$3="寒冷地",1.1,計算条件!$F$3="温暖地",1.05)</f>
        <v>1.05</v>
      </c>
      <c r="O11" s="75">
        <v>0.45</v>
      </c>
    </row>
    <row r="12" spans="1:15">
      <c r="A12" s="72" t="s">
        <v>58</v>
      </c>
      <c r="B12" s="75">
        <f t="shared" si="0"/>
        <v>29</v>
      </c>
      <c r="C12" s="75" t="s">
        <v>159</v>
      </c>
      <c r="D12" s="97" t="s">
        <v>2231</v>
      </c>
      <c r="E12" s="75">
        <f ca="1">OFFSET(rooms!$B$2,MATCH(D12,rooms!$D$2:$D$19,0)-1,0)</f>
        <v>1</v>
      </c>
      <c r="F12" s="76" cm="1">
        <f t="array" aca="1" ref="F12" ca="1">_xlfn.IFS(外皮面積!$T$23=1,砂川さんエクセルデータ!G7,外皮面積!$T$23=0,砂川さんエクセルデータ!F7)</f>
        <v>3.22</v>
      </c>
      <c r="G12" s="76">
        <f ca="1">外皮面積!$M$10</f>
        <v>4.8978953862365673</v>
      </c>
      <c r="H12" s="78">
        <f ca="1">外皮面積!$N$10</f>
        <v>0.77928031250355267</v>
      </c>
      <c r="I12" s="76" t="s">
        <v>2172</v>
      </c>
      <c r="J12" s="75">
        <v>1</v>
      </c>
      <c r="K12" s="75" t="s">
        <v>82</v>
      </c>
      <c r="L12" s="75" t="b">
        <v>1</v>
      </c>
      <c r="M12" s="75">
        <v>0.65</v>
      </c>
      <c r="N12" s="76" cm="1">
        <f t="array" ref="N12">_xlfn.IFS(計算条件!$F$3="寒冷地",1.8,計算条件!$F$3="温暖地",1.95)</f>
        <v>1.95</v>
      </c>
      <c r="O12" s="75">
        <v>0.45</v>
      </c>
    </row>
    <row r="13" spans="1:15">
      <c r="A13" s="72" t="s">
        <v>59</v>
      </c>
      <c r="B13" s="75">
        <f t="shared" si="0"/>
        <v>30</v>
      </c>
      <c r="C13" s="75" t="s">
        <v>159</v>
      </c>
      <c r="D13" s="97" t="s">
        <v>2231</v>
      </c>
      <c r="E13" s="75">
        <f ca="1">OFFSET(rooms!$B$2,MATCH(D13,rooms!$D$2:$D$19,0)-1,0)</f>
        <v>1</v>
      </c>
      <c r="F13" s="76" cm="1">
        <f t="array" aca="1" ref="F13" ca="1">_xlfn.IFS(外皮面積!$T$23=1,砂川さんエクセルデータ!G8,外皮面積!$T$23=0,砂川さんエクセルデータ!F8)</f>
        <v>3.22</v>
      </c>
      <c r="G13" s="76">
        <f ca="1">外皮面積!$M$10</f>
        <v>4.8978953862365673</v>
      </c>
      <c r="H13" s="78">
        <f ca="1">外皮面積!$N$10</f>
        <v>0.77928031250355267</v>
      </c>
      <c r="I13" s="76" t="s">
        <v>2172</v>
      </c>
      <c r="J13" s="75">
        <v>1</v>
      </c>
      <c r="K13" s="75" t="s">
        <v>82</v>
      </c>
      <c r="L13" s="75" t="b">
        <v>1</v>
      </c>
      <c r="M13" s="75">
        <v>0.65</v>
      </c>
      <c r="N13" s="76" cm="1">
        <f t="array" ref="N13">_xlfn.IFS(計算条件!$F$3="寒冷地",1.8,計算条件!$F$3="温暖地",1.95)</f>
        <v>1.95</v>
      </c>
      <c r="O13" s="75">
        <v>0.45</v>
      </c>
    </row>
    <row r="14" spans="1:15">
      <c r="A14" s="72" t="s">
        <v>60</v>
      </c>
      <c r="B14" s="75">
        <f t="shared" si="0"/>
        <v>31</v>
      </c>
      <c r="C14" s="75" t="s">
        <v>159</v>
      </c>
      <c r="D14" s="97" t="s">
        <v>2231</v>
      </c>
      <c r="E14" s="75">
        <f ca="1">OFFSET(rooms!$B$2,MATCH(D14,rooms!$D$2:$D$19,0)-1,0)</f>
        <v>1</v>
      </c>
      <c r="F14" s="76" cm="1">
        <f t="array" aca="1" ref="F14" ca="1">_xlfn.IFS(外皮面積!$T$23=1,砂川さんエクセルデータ!G28,外皮面積!$T$23=0,砂川さんエクセルデータ!F28)</f>
        <v>0.66</v>
      </c>
      <c r="G14" s="76">
        <f ca="1">外皮面積!$M$10</f>
        <v>4.8978953862365673</v>
      </c>
      <c r="H14" s="78">
        <f ca="1">外皮面積!$N$10</f>
        <v>0.77928031250355267</v>
      </c>
      <c r="I14" s="76" t="s">
        <v>2172</v>
      </c>
      <c r="J14" s="75">
        <v>1</v>
      </c>
      <c r="K14" s="75" t="s">
        <v>78</v>
      </c>
      <c r="L14" s="75" t="b">
        <v>0</v>
      </c>
      <c r="M14" s="75"/>
      <c r="N14" s="75"/>
      <c r="O14" s="75"/>
    </row>
    <row r="15" spans="1:15">
      <c r="A15" s="72" t="s">
        <v>63</v>
      </c>
      <c r="B15" s="75">
        <f t="shared" si="0"/>
        <v>32</v>
      </c>
      <c r="C15" s="75" t="s">
        <v>159</v>
      </c>
      <c r="D15" s="97" t="s">
        <v>2222</v>
      </c>
      <c r="E15" s="75">
        <f ca="1">OFFSET(rooms!$B$2,MATCH(D15,rooms!$D$2:$D$19,0)-1,0)</f>
        <v>2</v>
      </c>
      <c r="F15" s="76" cm="1">
        <f t="array" aca="1" ref="F15" ca="1">_xlfn.IFS(外皮面積!$T$23=1,砂川さんエクセルデータ!G23,外皮面積!$T$23=0,砂川さんエクセルデータ!F23)</f>
        <v>0.99</v>
      </c>
      <c r="G15" s="76">
        <f ca="1">外皮面積!$M$10</f>
        <v>4.8978953862365673</v>
      </c>
      <c r="H15" s="78">
        <f ca="1">外皮面積!$N$10</f>
        <v>0.77928031250355267</v>
      </c>
      <c r="I15" s="76" t="s">
        <v>2172</v>
      </c>
      <c r="J15" s="75">
        <v>1</v>
      </c>
      <c r="K15" s="75" t="s">
        <v>80</v>
      </c>
      <c r="L15" s="75" t="b">
        <v>0</v>
      </c>
      <c r="M15" s="75"/>
      <c r="N15" s="75"/>
      <c r="O15" s="75"/>
    </row>
    <row r="16" spans="1:15">
      <c r="A16" s="72" t="s">
        <v>64</v>
      </c>
      <c r="B16" s="75">
        <f t="shared" si="0"/>
        <v>33</v>
      </c>
      <c r="C16" s="75" t="s">
        <v>159</v>
      </c>
      <c r="D16" s="97" t="s">
        <v>2231</v>
      </c>
      <c r="E16" s="75">
        <f ca="1">OFFSET(rooms!$B$2,MATCH(D16,rooms!$D$2:$D$19,0)-1,0)</f>
        <v>1</v>
      </c>
      <c r="F16" s="76" cm="1">
        <f t="array" aca="1" ref="F16" ca="1">_xlfn.IFS(外皮面積!$T$23=1,砂川さんエクセルデータ!G14,外皮面積!$T$23=0,砂川さんエクセルデータ!F14)</f>
        <v>0.99</v>
      </c>
      <c r="G16" s="76">
        <f ca="1">外皮面積!$M$10</f>
        <v>4.8978953862365673</v>
      </c>
      <c r="H16" s="78">
        <f ca="1">外皮面積!$N$10</f>
        <v>0.77928031250355267</v>
      </c>
      <c r="I16" s="76" t="s">
        <v>2172</v>
      </c>
      <c r="J16" s="75">
        <v>1</v>
      </c>
      <c r="K16" s="75" t="s">
        <v>89</v>
      </c>
      <c r="L16" s="75" t="b">
        <v>0</v>
      </c>
      <c r="M16" s="75"/>
      <c r="N16" s="75"/>
      <c r="O16" s="75"/>
    </row>
    <row r="17" spans="1:15">
      <c r="A17" s="72" t="s">
        <v>67</v>
      </c>
      <c r="B17" s="75">
        <f t="shared" si="0"/>
        <v>34</v>
      </c>
      <c r="C17" s="75" t="s">
        <v>159</v>
      </c>
      <c r="D17" s="97" t="s">
        <v>2222</v>
      </c>
      <c r="E17" s="75">
        <f ca="1">OFFSET(rooms!$B$2,MATCH(D17,rooms!$D$2:$D$19,0)-1,0)</f>
        <v>2</v>
      </c>
      <c r="F17" s="76" cm="1">
        <f t="array" aca="1" ref="F17" ca="1">_xlfn.IFS(外皮面積!$T$23=1,砂川さんエクセルデータ!G24,外皮面積!$T$23=0,砂川さんエクセルデータ!F24)</f>
        <v>0.54</v>
      </c>
      <c r="G17" s="76">
        <f ca="1">外皮面積!$M$10</f>
        <v>4.8978953862365673</v>
      </c>
      <c r="H17" s="78">
        <f ca="1">外皮面積!$N$10</f>
        <v>0.77928031250355267</v>
      </c>
      <c r="I17" s="76" t="s">
        <v>2172</v>
      </c>
      <c r="J17" s="75">
        <v>1</v>
      </c>
      <c r="K17" s="75" t="s">
        <v>80</v>
      </c>
      <c r="L17" s="75" t="b">
        <v>0</v>
      </c>
      <c r="M17" s="75"/>
      <c r="N17" s="75"/>
      <c r="O17" s="75"/>
    </row>
    <row r="18" spans="1:15">
      <c r="A18" s="72" t="s">
        <v>69</v>
      </c>
      <c r="B18" s="75">
        <f ca="1">IF(F18&gt;0,B17+1,999)</f>
        <v>35</v>
      </c>
      <c r="C18" s="75" t="s">
        <v>159</v>
      </c>
      <c r="D18" s="97" t="s">
        <v>2222</v>
      </c>
      <c r="E18" s="75">
        <f ca="1">OFFSET(rooms!$B$2,MATCH(D18,rooms!$D$2:$D$19,0)-1,0)</f>
        <v>2</v>
      </c>
      <c r="F18" s="76" cm="1">
        <f t="array" aca="1" ref="F18" ca="1">_xlfn.IFS(外皮面積!$T$23=1,砂川さんエクセルデータ!G13,外皮面積!$T$23=0,砂川さんエクセルデータ!F13)</f>
        <v>0.54</v>
      </c>
      <c r="G18" s="76">
        <f ca="1">外皮面積!$M$10</f>
        <v>4.8978953862365673</v>
      </c>
      <c r="H18" s="78">
        <f ca="1">外皮面積!$N$10</f>
        <v>0.77928031250355267</v>
      </c>
      <c r="I18" s="76" t="s">
        <v>2172</v>
      </c>
      <c r="J18" s="75">
        <v>1</v>
      </c>
      <c r="K18" s="75" t="s">
        <v>89</v>
      </c>
      <c r="L18" s="75" t="b">
        <v>0</v>
      </c>
      <c r="M18" s="75"/>
      <c r="N18" s="75"/>
      <c r="O18" s="75"/>
    </row>
    <row r="19" spans="1:15">
      <c r="A19" s="72" t="s">
        <v>81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</row>
    <row r="20" spans="1:15">
      <c r="A20" s="72" t="s">
        <v>83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</row>
    <row r="21" spans="1:15">
      <c r="A21" s="72" t="s">
        <v>84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</row>
    <row r="22" spans="1:15">
      <c r="A22" s="72" t="s">
        <v>85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</row>
    <row r="23" spans="1:15">
      <c r="A23" s="72" t="s">
        <v>86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</row>
    <row r="24" spans="1:15">
      <c r="A24" s="72" t="s">
        <v>87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</row>
    <row r="25" spans="1:15">
      <c r="A25" s="72" t="s">
        <v>88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</row>
    <row r="26" spans="1:15">
      <c r="A26" s="72" t="s">
        <v>90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</row>
    <row r="27" spans="1:15">
      <c r="A27" s="72" t="s">
        <v>91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</row>
    <row r="28" spans="1:15">
      <c r="A28" s="72" t="s">
        <v>92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</row>
    <row r="29" spans="1:15">
      <c r="A29" s="72" t="s">
        <v>93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</row>
    <row r="30" spans="1:15">
      <c r="A30" s="72" t="s">
        <v>94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</row>
    <row r="31" spans="1:15">
      <c r="A31" s="72" t="s">
        <v>95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</row>
  </sheetData>
  <autoFilter ref="A1:O31" xr:uid="{18969FAD-8A74-4ACF-84CE-332EE9765262}"/>
  <phoneticPr fontId="2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A6B8-B8B9-4046-AFA3-B532813F4FC9}">
  <sheetPr codeName="Sheet10"/>
  <dimension ref="A1:L69"/>
  <sheetViews>
    <sheetView topLeftCell="B1" workbookViewId="0">
      <selection activeCell="B21" sqref="B21:C64"/>
    </sheetView>
  </sheetViews>
  <sheetFormatPr defaultColWidth="9" defaultRowHeight="18.75"/>
  <cols>
    <col min="1" max="1" width="7.5" style="74" bestFit="1" customWidth="1"/>
    <col min="2" max="3" width="4.5" style="74" bestFit="1" customWidth="1"/>
    <col min="4" max="5" width="13" style="74" bestFit="1" customWidth="1"/>
    <col min="6" max="7" width="10.75" style="74" bestFit="1" customWidth="1"/>
    <col min="8" max="9" width="8.75" style="74" bestFit="1" customWidth="1"/>
    <col min="10" max="10" width="8" style="74" bestFit="1" customWidth="1"/>
    <col min="11" max="11" width="14.125" style="74" bestFit="1" customWidth="1"/>
    <col min="12" max="12" width="10.75" style="74" bestFit="1" customWidth="1"/>
    <col min="13" max="16384" width="9" style="74"/>
  </cols>
  <sheetData>
    <row r="1" spans="1:12" ht="37.5">
      <c r="A1" s="72" t="s">
        <v>40</v>
      </c>
      <c r="B1" s="72" t="s">
        <v>140</v>
      </c>
      <c r="C1" s="72" t="s">
        <v>141</v>
      </c>
      <c r="D1" s="72" t="s">
        <v>142</v>
      </c>
      <c r="E1" s="72" t="s">
        <v>143</v>
      </c>
      <c r="F1" s="72" t="s">
        <v>144</v>
      </c>
      <c r="G1" s="72" t="s">
        <v>145</v>
      </c>
      <c r="H1" s="72" t="s">
        <v>146</v>
      </c>
      <c r="I1" s="72" t="s">
        <v>147</v>
      </c>
      <c r="J1" s="73" t="s">
        <v>72</v>
      </c>
      <c r="K1" s="72" t="s">
        <v>137</v>
      </c>
      <c r="L1" s="72" t="s">
        <v>148</v>
      </c>
    </row>
    <row r="2" spans="1:12">
      <c r="A2" s="72" t="s">
        <v>48</v>
      </c>
      <c r="B2" s="79">
        <f ca="1">IF(external_transparent_parts!F18&gt;0,external_transparent_parts!B18+1,external_transparent_parts!B17+1)</f>
        <v>36</v>
      </c>
      <c r="C2" s="79">
        <f ca="1">B2+1</f>
        <v>37</v>
      </c>
      <c r="D2" s="79" t="str">
        <f>内壁!D78</f>
        <v>主たる居室</v>
      </c>
      <c r="E2" s="79" t="str">
        <f>内壁!E78</f>
        <v>非居室</v>
      </c>
      <c r="F2" s="79"/>
      <c r="G2" s="79"/>
      <c r="H2" s="79">
        <f ca="1">OFFSET(rooms!$B$2,MATCH(D2,rooms!$D$2:$D$19,0)-1,0)</f>
        <v>0</v>
      </c>
      <c r="I2" s="79">
        <f ca="1">OFFSET(rooms!$B$2,MATCH(E2,rooms!$D$2:$D$19,0)-1,0)</f>
        <v>2</v>
      </c>
      <c r="J2" s="98">
        <f>内壁!J78</f>
        <v>25.84</v>
      </c>
      <c r="K2" s="98" t="str">
        <f>内壁!K78</f>
        <v>間仕切</v>
      </c>
      <c r="L2" s="98" t="str">
        <f>内壁!L78</f>
        <v>horizontal</v>
      </c>
    </row>
    <row r="3" spans="1:12">
      <c r="A3" s="72" t="s">
        <v>49</v>
      </c>
      <c r="B3" s="79">
        <f ca="1">C2+1</f>
        <v>38</v>
      </c>
      <c r="C3" s="79">
        <f t="shared" ref="C3:C20" ca="1" si="0">B3+1</f>
        <v>39</v>
      </c>
      <c r="D3" s="79" t="str">
        <f>内壁!D80</f>
        <v>主たる居室</v>
      </c>
      <c r="E3" s="79" t="str">
        <f>内壁!E80</f>
        <v>床下</v>
      </c>
      <c r="F3" s="79"/>
      <c r="G3" s="79"/>
      <c r="H3" s="79">
        <f ca="1">OFFSET(rooms!$B$2,MATCH(D3,rooms!$D$2:$D$19,0)-1,0)</f>
        <v>0</v>
      </c>
      <c r="I3" s="79">
        <f ca="1">OFFSET(rooms!$B$2,MATCH(E3,rooms!$D$2:$D$19,0)-1,0)</f>
        <v>7</v>
      </c>
      <c r="J3" s="98">
        <f>内壁!J80</f>
        <v>29.810000000000002</v>
      </c>
      <c r="K3" s="98" t="str">
        <f>内壁!K80</f>
        <v>外壁床</v>
      </c>
      <c r="L3" s="98" t="str">
        <f>内壁!L80</f>
        <v>downward</v>
      </c>
    </row>
    <row r="4" spans="1:12">
      <c r="A4" s="72" t="s">
        <v>50</v>
      </c>
      <c r="B4" s="79">
        <f t="shared" ref="B4:B20" ca="1" si="1">C3+1</f>
        <v>40</v>
      </c>
      <c r="C4" s="79">
        <f t="shared" ca="1" si="0"/>
        <v>41</v>
      </c>
      <c r="D4" s="79" t="str">
        <f>内壁!D85</f>
        <v>主たる居室</v>
      </c>
      <c r="E4" s="79" t="str">
        <f>内壁!E85</f>
        <v>小屋裏2</v>
      </c>
      <c r="F4" s="79"/>
      <c r="G4" s="79"/>
      <c r="H4" s="79">
        <f ca="1">OFFSET(rooms!$B$2,MATCH(D4,rooms!$D$2:$D$19,0)-1,0)</f>
        <v>0</v>
      </c>
      <c r="I4" s="79">
        <f ca="1">OFFSET(rooms!$B$2,MATCH(E4,rooms!$D$2:$D$19,0)-1,0)</f>
        <v>5</v>
      </c>
      <c r="J4" s="98">
        <f>内壁!J85</f>
        <v>4.1399999999999997</v>
      </c>
      <c r="K4" s="98" t="str">
        <f>内壁!K85</f>
        <v>屋根</v>
      </c>
      <c r="L4" s="98" t="str">
        <f>内壁!L85</f>
        <v>upward</v>
      </c>
    </row>
    <row r="5" spans="1:12">
      <c r="A5" s="72" t="s">
        <v>51</v>
      </c>
      <c r="B5" s="79">
        <f t="shared" ca="1" si="1"/>
        <v>42</v>
      </c>
      <c r="C5" s="79">
        <f t="shared" ca="1" si="0"/>
        <v>43</v>
      </c>
      <c r="D5" s="79" t="str">
        <f>内壁!D87</f>
        <v>主たる居室</v>
      </c>
      <c r="E5" s="79" t="str">
        <f>内壁!E87</f>
        <v>小屋裏2</v>
      </c>
      <c r="F5" s="79"/>
      <c r="G5" s="79"/>
      <c r="H5" s="79">
        <f ca="1">OFFSET(rooms!$B$2,MATCH(D5,rooms!$D$2:$D$19,0)-1,0)</f>
        <v>0</v>
      </c>
      <c r="I5" s="79">
        <f ca="1">OFFSET(rooms!$B$2,MATCH(E5,rooms!$D$2:$D$19,0)-1,0)</f>
        <v>5</v>
      </c>
      <c r="J5" s="98">
        <f>内壁!J87</f>
        <v>0.34</v>
      </c>
      <c r="K5" s="98" t="str">
        <f>内壁!K87</f>
        <v>外壁</v>
      </c>
      <c r="L5" s="98" t="str">
        <f>内壁!L87</f>
        <v>horizontal</v>
      </c>
    </row>
    <row r="6" spans="1:12">
      <c r="A6" s="72" t="s">
        <v>52</v>
      </c>
      <c r="B6" s="79">
        <f t="shared" ca="1" si="1"/>
        <v>44</v>
      </c>
      <c r="C6" s="79">
        <f t="shared" ca="1" si="0"/>
        <v>45</v>
      </c>
      <c r="D6" s="79" t="str">
        <f>内壁!D92</f>
        <v>階間(L4)</v>
      </c>
      <c r="E6" s="79" t="str">
        <f>内壁!E92</f>
        <v>主たる居室</v>
      </c>
      <c r="F6" s="79"/>
      <c r="G6" s="79"/>
      <c r="H6" s="79">
        <f ca="1">OFFSET(rooms!$B$2,MATCH(D6,rooms!$D$2:$D$19,0)-1,0)</f>
        <v>3</v>
      </c>
      <c r="I6" s="79">
        <f ca="1">OFFSET(rooms!$B$2,MATCH(E6,rooms!$D$2:$D$19,0)-1,0)</f>
        <v>0</v>
      </c>
      <c r="J6" s="98">
        <f>内壁!J92</f>
        <v>25.67</v>
      </c>
      <c r="K6" s="98" t="str">
        <f>内壁!K92</f>
        <v>階間床</v>
      </c>
      <c r="L6" s="98" t="str">
        <f>内壁!L92</f>
        <v>downward</v>
      </c>
    </row>
    <row r="7" spans="1:12">
      <c r="A7" s="72" t="s">
        <v>53</v>
      </c>
      <c r="B7" s="79">
        <f t="shared" ca="1" si="1"/>
        <v>46</v>
      </c>
      <c r="C7" s="79">
        <f t="shared" ca="1" si="0"/>
        <v>47</v>
      </c>
      <c r="D7" s="79" t="str">
        <f>内壁!D96</f>
        <v>その他居室</v>
      </c>
      <c r="E7" s="79" t="str">
        <f>内壁!E96</f>
        <v>非居室</v>
      </c>
      <c r="F7" s="79"/>
      <c r="G7" s="79"/>
      <c r="H7" s="79">
        <f ca="1">OFFSET(rooms!$B$2,MATCH(D7,rooms!$D$2:$D$19,0)-1,0)</f>
        <v>1</v>
      </c>
      <c r="I7" s="79">
        <f ca="1">OFFSET(rooms!$B$2,MATCH(E7,rooms!$D$2:$D$19,0)-1,0)</f>
        <v>2</v>
      </c>
      <c r="J7" s="98">
        <f>内壁!J96</f>
        <v>22.92</v>
      </c>
      <c r="K7" s="98" t="str">
        <f>内壁!K96</f>
        <v>間仕切</v>
      </c>
      <c r="L7" s="98" t="str">
        <f>内壁!L96</f>
        <v>horizontal</v>
      </c>
    </row>
    <row r="8" spans="1:12">
      <c r="A8" s="72" t="s">
        <v>54</v>
      </c>
      <c r="B8" s="79">
        <f t="shared" ca="1" si="1"/>
        <v>48</v>
      </c>
      <c r="C8" s="79">
        <f t="shared" ca="1" si="0"/>
        <v>49</v>
      </c>
      <c r="D8" s="79" t="str">
        <f>内壁!D100</f>
        <v>その他居室</v>
      </c>
      <c r="E8" s="79" t="str">
        <f>内壁!E100</f>
        <v>小屋裏1</v>
      </c>
      <c r="F8" s="79"/>
      <c r="G8" s="79"/>
      <c r="H8" s="79">
        <f ca="1">OFFSET(rooms!$B$2,MATCH(D8,rooms!$D$2:$D$19,0)-1,0)</f>
        <v>1</v>
      </c>
      <c r="I8" s="79">
        <f ca="1">OFFSET(rooms!$B$2,MATCH(E8,rooms!$D$2:$D$19,0)-1,0)</f>
        <v>4</v>
      </c>
      <c r="J8" s="98">
        <f>内壁!J100</f>
        <v>34.78</v>
      </c>
      <c r="K8" s="98" t="str">
        <f>内壁!K100</f>
        <v>屋根</v>
      </c>
      <c r="L8" s="98" t="str">
        <f>内壁!L100</f>
        <v>upward</v>
      </c>
    </row>
    <row r="9" spans="1:12">
      <c r="A9" s="72" t="s">
        <v>55</v>
      </c>
      <c r="B9" s="79">
        <f t="shared" ca="1" si="1"/>
        <v>50</v>
      </c>
      <c r="C9" s="79">
        <f t="shared" ca="1" si="0"/>
        <v>51</v>
      </c>
      <c r="D9" s="79" t="str">
        <f>内壁!D110</f>
        <v>その他居室</v>
      </c>
      <c r="E9" s="79" t="str">
        <f>内壁!E110</f>
        <v>階間(L4)</v>
      </c>
      <c r="F9" s="79"/>
      <c r="G9" s="79"/>
      <c r="H9" s="79">
        <f ca="1">OFFSET(rooms!$B$2,MATCH(D9,rooms!$D$2:$D$19,0)-1,0)</f>
        <v>1</v>
      </c>
      <c r="I9" s="79">
        <f ca="1">OFFSET(rooms!$B$2,MATCH(E9,rooms!$D$2:$D$19,0)-1,0)</f>
        <v>3</v>
      </c>
      <c r="J9" s="98">
        <f>内壁!J110</f>
        <v>34.78</v>
      </c>
      <c r="K9" s="98" t="str">
        <f>内壁!K110</f>
        <v>2F床</v>
      </c>
      <c r="L9" s="98" t="str">
        <f>内壁!L110</f>
        <v>downward</v>
      </c>
    </row>
    <row r="10" spans="1:12">
      <c r="A10" s="72" t="s">
        <v>56</v>
      </c>
      <c r="B10" s="79">
        <f t="shared" ca="1" si="1"/>
        <v>52</v>
      </c>
      <c r="C10" s="79">
        <f t="shared" ca="1" si="0"/>
        <v>53</v>
      </c>
      <c r="D10" s="79" t="str">
        <f>内壁!D113</f>
        <v>非居室</v>
      </c>
      <c r="E10" s="79" t="str">
        <f>内壁!E113</f>
        <v>床下</v>
      </c>
      <c r="F10" s="79"/>
      <c r="G10" s="79"/>
      <c r="H10" s="79">
        <f ca="1">OFFSET(rooms!$B$2,MATCH(D10,rooms!$D$2:$D$19,0)-1,0)</f>
        <v>2</v>
      </c>
      <c r="I10" s="79">
        <f ca="1">OFFSET(rooms!$B$2,MATCH(E10,rooms!$D$2:$D$19,0)-1,0)</f>
        <v>7</v>
      </c>
      <c r="J10" s="98">
        <f>内壁!J113</f>
        <v>35.61</v>
      </c>
      <c r="K10" s="98" t="str">
        <f>内壁!K113</f>
        <v>外壁床</v>
      </c>
      <c r="L10" s="98" t="str">
        <f>内壁!L113</f>
        <v>downward</v>
      </c>
    </row>
    <row r="11" spans="1:12">
      <c r="A11" s="72" t="s">
        <v>57</v>
      </c>
      <c r="B11" s="79">
        <f t="shared" ca="1" si="1"/>
        <v>54</v>
      </c>
      <c r="C11" s="79">
        <f t="shared" ca="1" si="0"/>
        <v>55</v>
      </c>
      <c r="D11" s="79" t="str">
        <f>内壁!D114</f>
        <v>非居室</v>
      </c>
      <c r="E11" s="79" t="str">
        <f>内壁!E114</f>
        <v>床下</v>
      </c>
      <c r="F11" s="79"/>
      <c r="G11" s="79"/>
      <c r="H11" s="79">
        <f ca="1">OFFSET(rooms!$B$2,MATCH(D11,rooms!$D$2:$D$19,0)-1,0)</f>
        <v>2</v>
      </c>
      <c r="I11" s="79">
        <f ca="1">OFFSET(rooms!$B$2,MATCH(E11,rooms!$D$2:$D$19,0)-1,0)</f>
        <v>7</v>
      </c>
      <c r="J11" s="98">
        <f>内壁!J114</f>
        <v>0.63</v>
      </c>
      <c r="K11" s="98" t="str">
        <f>内壁!K114</f>
        <v>外壁</v>
      </c>
      <c r="L11" s="98" t="str">
        <f>内壁!L114</f>
        <v>horizontal</v>
      </c>
    </row>
    <row r="12" spans="1:12">
      <c r="A12" s="72" t="s">
        <v>58</v>
      </c>
      <c r="B12" s="79">
        <f t="shared" ca="1" si="1"/>
        <v>56</v>
      </c>
      <c r="C12" s="79">
        <f t="shared" ca="1" si="0"/>
        <v>57</v>
      </c>
      <c r="D12" s="79" t="str">
        <f>内壁!D115</f>
        <v>非居室</v>
      </c>
      <c r="E12" s="79" t="str">
        <f>内壁!E115</f>
        <v>小屋裏1</v>
      </c>
      <c r="F12" s="79"/>
      <c r="G12" s="79"/>
      <c r="H12" s="79">
        <f ca="1">OFFSET(rooms!$B$2,MATCH(D12,rooms!$D$2:$D$19,0)-1,0)</f>
        <v>2</v>
      </c>
      <c r="I12" s="79">
        <f ca="1">OFFSET(rooms!$B$2,MATCH(E12,rooms!$D$2:$D$19,0)-1,0)</f>
        <v>4</v>
      </c>
      <c r="J12" s="98">
        <f>内壁!J115</f>
        <v>17.399999999999999</v>
      </c>
      <c r="K12" s="98" t="str">
        <f>内壁!K115</f>
        <v>屋根</v>
      </c>
      <c r="L12" s="98" t="str">
        <f>内壁!L115</f>
        <v>upward</v>
      </c>
    </row>
    <row r="13" spans="1:12">
      <c r="A13" s="72" t="s">
        <v>59</v>
      </c>
      <c r="B13" s="79">
        <f t="shared" ca="1" si="1"/>
        <v>58</v>
      </c>
      <c r="C13" s="79">
        <f t="shared" ca="1" si="0"/>
        <v>59</v>
      </c>
      <c r="D13" s="79" t="str">
        <f>内壁!D117</f>
        <v>非居室</v>
      </c>
      <c r="E13" s="79" t="str">
        <f>内壁!E117</f>
        <v>小屋裏1</v>
      </c>
      <c r="F13" s="79"/>
      <c r="G13" s="79"/>
      <c r="H13" s="79">
        <f ca="1">OFFSET(rooms!$B$2,MATCH(D13,rooms!$D$2:$D$19,0)-1,0)</f>
        <v>2</v>
      </c>
      <c r="I13" s="79">
        <f ca="1">OFFSET(rooms!$B$2,MATCH(E13,rooms!$D$2:$D$19,0)-1,0)</f>
        <v>4</v>
      </c>
      <c r="J13" s="98">
        <f>内壁!J117</f>
        <v>2.2800000000000002</v>
      </c>
      <c r="K13" s="98" t="str">
        <f>内壁!K117</f>
        <v>外壁</v>
      </c>
      <c r="L13" s="98" t="str">
        <f>内壁!L117</f>
        <v>horizontal</v>
      </c>
    </row>
    <row r="14" spans="1:12">
      <c r="A14" s="72" t="s">
        <v>60</v>
      </c>
      <c r="B14" s="79">
        <f t="shared" ca="1" si="1"/>
        <v>60</v>
      </c>
      <c r="C14" s="79">
        <f t="shared" ca="1" si="0"/>
        <v>61</v>
      </c>
      <c r="D14" s="79" t="str">
        <f>内壁!D118</f>
        <v>非居室</v>
      </c>
      <c r="E14" s="79" t="str">
        <f>内壁!E118</f>
        <v>小屋裏2</v>
      </c>
      <c r="F14" s="79"/>
      <c r="G14" s="79"/>
      <c r="H14" s="79">
        <f ca="1">OFFSET(rooms!$B$2,MATCH(D14,rooms!$D$2:$D$19,0)-1,0)</f>
        <v>2</v>
      </c>
      <c r="I14" s="79">
        <f ca="1">OFFSET(rooms!$B$2,MATCH(E14,rooms!$D$2:$D$19,0)-1,0)</f>
        <v>5</v>
      </c>
      <c r="J14" s="98">
        <f>内壁!J118</f>
        <v>8.2799999999999994</v>
      </c>
      <c r="K14" s="98" t="str">
        <f>内壁!K118</f>
        <v>屋根</v>
      </c>
      <c r="L14" s="98" t="str">
        <f>内壁!L118</f>
        <v>upward</v>
      </c>
    </row>
    <row r="15" spans="1:12">
      <c r="A15" s="72" t="s">
        <v>63</v>
      </c>
      <c r="B15" s="79">
        <f t="shared" ca="1" si="1"/>
        <v>62</v>
      </c>
      <c r="C15" s="79">
        <f t="shared" ca="1" si="0"/>
        <v>63</v>
      </c>
      <c r="D15" s="79" t="str">
        <f>内壁!D120</f>
        <v>非居室</v>
      </c>
      <c r="E15" s="79" t="str">
        <f>内壁!E120</f>
        <v>小屋裏2</v>
      </c>
      <c r="F15" s="79"/>
      <c r="G15" s="79"/>
      <c r="H15" s="79">
        <f ca="1">OFFSET(rooms!$B$2,MATCH(D15,rooms!$D$2:$D$19,0)-1,0)</f>
        <v>2</v>
      </c>
      <c r="I15" s="79">
        <f ca="1">OFFSET(rooms!$B$2,MATCH(E15,rooms!$D$2:$D$19,0)-1,0)</f>
        <v>5</v>
      </c>
      <c r="J15" s="98">
        <f>内壁!J120</f>
        <v>0.93</v>
      </c>
      <c r="K15" s="98" t="str">
        <f>内壁!K120</f>
        <v>外壁</v>
      </c>
      <c r="L15" s="98" t="str">
        <f>内壁!L120</f>
        <v>horizontal</v>
      </c>
    </row>
    <row r="16" spans="1:12">
      <c r="A16" s="72" t="s">
        <v>64</v>
      </c>
      <c r="B16" s="79">
        <f t="shared" ca="1" si="1"/>
        <v>64</v>
      </c>
      <c r="C16" s="79">
        <f t="shared" ca="1" si="0"/>
        <v>65</v>
      </c>
      <c r="D16" s="79" t="str">
        <f>内壁!D121</f>
        <v>非居室</v>
      </c>
      <c r="E16" s="79" t="str">
        <f>内壁!E121</f>
        <v>小屋裏3</v>
      </c>
      <c r="F16" s="79"/>
      <c r="G16" s="79"/>
      <c r="H16" s="79">
        <f ca="1">OFFSET(rooms!$B$2,MATCH(D16,rooms!$D$2:$D$19,0)-1,0)</f>
        <v>2</v>
      </c>
      <c r="I16" s="79">
        <f ca="1">OFFSET(rooms!$B$2,MATCH(E16,rooms!$D$2:$D$19,0)-1,0)</f>
        <v>6</v>
      </c>
      <c r="J16" s="98">
        <f>内壁!J121</f>
        <v>3.31</v>
      </c>
      <c r="K16" s="98" t="str">
        <f>内壁!K121</f>
        <v>屋根</v>
      </c>
      <c r="L16" s="98" t="str">
        <f>内壁!L121</f>
        <v>upward</v>
      </c>
    </row>
    <row r="17" spans="1:12">
      <c r="A17" s="72" t="s">
        <v>67</v>
      </c>
      <c r="B17" s="79">
        <f t="shared" ca="1" si="1"/>
        <v>66</v>
      </c>
      <c r="C17" s="79">
        <f t="shared" ca="1" si="0"/>
        <v>67</v>
      </c>
      <c r="D17" s="79" t="str">
        <f>内壁!D125</f>
        <v>階間(L4)</v>
      </c>
      <c r="E17" s="79" t="str">
        <f>内壁!E125</f>
        <v>非居室</v>
      </c>
      <c r="F17" s="79"/>
      <c r="G17" s="79"/>
      <c r="H17" s="79">
        <f ca="1">OFFSET(rooms!$B$2,MATCH(D17,rooms!$D$2:$D$19,0)-1,0)</f>
        <v>3</v>
      </c>
      <c r="I17" s="79">
        <f ca="1">OFFSET(rooms!$B$2,MATCH(E17,rooms!$D$2:$D$19,0)-1,0)</f>
        <v>2</v>
      </c>
      <c r="J17" s="98">
        <f>内壁!J125</f>
        <v>38.099999999999994</v>
      </c>
      <c r="K17" s="98" t="str">
        <f>内壁!K125</f>
        <v>階間床</v>
      </c>
      <c r="L17" s="98" t="str">
        <f>内壁!L125</f>
        <v>downward</v>
      </c>
    </row>
    <row r="18" spans="1:12">
      <c r="A18" s="72" t="s">
        <v>69</v>
      </c>
      <c r="B18" s="79">
        <f t="shared" ca="1" si="1"/>
        <v>68</v>
      </c>
      <c r="C18" s="79">
        <f t="shared" ca="1" si="0"/>
        <v>69</v>
      </c>
      <c r="D18" s="79" t="str">
        <f>内壁!D126</f>
        <v>非居室</v>
      </c>
      <c r="E18" s="79" t="str">
        <f>内壁!E126</f>
        <v>階間(L4)</v>
      </c>
      <c r="F18" s="79"/>
      <c r="G18" s="79"/>
      <c r="H18" s="79">
        <f ca="1">OFFSET(rooms!$B$2,MATCH(D18,rooms!$D$2:$D$19,0)-1,0)</f>
        <v>2</v>
      </c>
      <c r="I18" s="79">
        <f ca="1">OFFSET(rooms!$B$2,MATCH(E18,rooms!$D$2:$D$19,0)-1,0)</f>
        <v>3</v>
      </c>
      <c r="J18" s="98">
        <f>内壁!J126</f>
        <v>2.5100000000000002</v>
      </c>
      <c r="K18" s="98" t="str">
        <f>内壁!K126</f>
        <v>間仕切</v>
      </c>
      <c r="L18" s="98" t="str">
        <f>内壁!L126</f>
        <v>horizontal</v>
      </c>
    </row>
    <row r="19" spans="1:12">
      <c r="A19" s="72" t="s">
        <v>81</v>
      </c>
      <c r="B19" s="79">
        <f t="shared" ca="1" si="1"/>
        <v>70</v>
      </c>
      <c r="C19" s="79">
        <f t="shared" ca="1" si="0"/>
        <v>71</v>
      </c>
      <c r="D19" s="79" t="str">
        <f>内壁!D153</f>
        <v>小屋裏2</v>
      </c>
      <c r="E19" s="79" t="str">
        <f>内壁!E153</f>
        <v>階間(L4)</v>
      </c>
      <c r="F19" s="79"/>
      <c r="G19" s="79"/>
      <c r="H19" s="79">
        <f ca="1">OFFSET(rooms!$B$2,MATCH(D19,rooms!$D$2:$D$19,0)-1,0)</f>
        <v>5</v>
      </c>
      <c r="I19" s="79">
        <f ca="1">OFFSET(rooms!$B$2,MATCH(E19,rooms!$D$2:$D$19,0)-1,0)</f>
        <v>3</v>
      </c>
      <c r="J19" s="98">
        <f>内壁!J153</f>
        <v>1.82</v>
      </c>
      <c r="K19" s="98" t="str">
        <f>内壁!K153</f>
        <v>外壁</v>
      </c>
      <c r="L19" s="98" t="str">
        <f>内壁!L153</f>
        <v>horizontal</v>
      </c>
    </row>
    <row r="20" spans="1:12">
      <c r="A20" s="72" t="s">
        <v>83</v>
      </c>
      <c r="B20" s="79">
        <f t="shared" ca="1" si="1"/>
        <v>72</v>
      </c>
      <c r="C20" s="79">
        <f t="shared" ca="1" si="0"/>
        <v>73</v>
      </c>
      <c r="D20" s="79" t="str">
        <f>内壁!D156</f>
        <v>小屋裏3</v>
      </c>
      <c r="E20" s="79" t="str">
        <f>内壁!E156</f>
        <v>階間(L4)</v>
      </c>
      <c r="F20" s="79"/>
      <c r="G20" s="79"/>
      <c r="H20" s="79">
        <f ca="1">OFFSET(rooms!$B$2,MATCH(D20,rooms!$D$2:$D$19,0)-1,0)</f>
        <v>6</v>
      </c>
      <c r="I20" s="79">
        <f ca="1">OFFSET(rooms!$B$2,MATCH(E20,rooms!$D$2:$D$19,0)-1,0)</f>
        <v>3</v>
      </c>
      <c r="J20" s="98">
        <f>内壁!J156</f>
        <v>2.48</v>
      </c>
      <c r="K20" s="98" t="str">
        <f>内壁!K156</f>
        <v>外壁</v>
      </c>
      <c r="L20" s="98" t="str">
        <f>内壁!L156</f>
        <v>horizontal</v>
      </c>
    </row>
    <row r="21" spans="1:12">
      <c r="A21" s="72" t="s">
        <v>84</v>
      </c>
      <c r="B21" s="79"/>
      <c r="C21" s="79"/>
      <c r="D21" s="79"/>
      <c r="E21" s="79"/>
      <c r="F21" s="79"/>
      <c r="G21" s="79"/>
      <c r="H21" s="79"/>
      <c r="I21" s="79"/>
      <c r="J21" s="98"/>
      <c r="K21" s="98"/>
      <c r="L21" s="98"/>
    </row>
    <row r="22" spans="1:12">
      <c r="A22" s="72" t="s">
        <v>85</v>
      </c>
      <c r="B22" s="79"/>
      <c r="C22" s="79"/>
      <c r="D22" s="79"/>
      <c r="E22" s="79"/>
      <c r="F22" s="79"/>
      <c r="G22" s="79"/>
      <c r="H22" s="79"/>
      <c r="I22" s="79"/>
      <c r="J22" s="98"/>
      <c r="K22" s="98"/>
      <c r="L22" s="98"/>
    </row>
    <row r="23" spans="1:12">
      <c r="A23" s="72" t="s">
        <v>86</v>
      </c>
      <c r="B23" s="79"/>
      <c r="C23" s="79"/>
      <c r="D23" s="79"/>
      <c r="E23" s="79"/>
      <c r="F23" s="79"/>
      <c r="G23" s="79"/>
      <c r="H23" s="79"/>
      <c r="I23" s="79"/>
      <c r="J23" s="98"/>
      <c r="K23" s="98"/>
      <c r="L23" s="98"/>
    </row>
    <row r="24" spans="1:12">
      <c r="A24" s="72" t="s">
        <v>87</v>
      </c>
      <c r="B24" s="79"/>
      <c r="C24" s="79"/>
      <c r="D24" s="79"/>
      <c r="E24" s="79"/>
      <c r="F24" s="79"/>
      <c r="G24" s="79"/>
      <c r="H24" s="79"/>
      <c r="I24" s="79"/>
      <c r="J24" s="98"/>
      <c r="K24" s="98"/>
      <c r="L24" s="98"/>
    </row>
    <row r="25" spans="1:12">
      <c r="A25" s="72" t="s">
        <v>88</v>
      </c>
      <c r="B25" s="79"/>
      <c r="C25" s="79"/>
      <c r="D25" s="79"/>
      <c r="E25" s="79"/>
      <c r="F25" s="79"/>
      <c r="G25" s="79"/>
      <c r="H25" s="79"/>
      <c r="I25" s="79"/>
      <c r="J25" s="98"/>
      <c r="K25" s="98"/>
      <c r="L25" s="98"/>
    </row>
    <row r="26" spans="1:12">
      <c r="A26" s="72" t="s">
        <v>90</v>
      </c>
      <c r="B26" s="79"/>
      <c r="C26" s="79"/>
      <c r="D26" s="79"/>
      <c r="E26" s="79"/>
      <c r="F26" s="79"/>
      <c r="G26" s="79"/>
      <c r="H26" s="79"/>
      <c r="I26" s="79"/>
      <c r="J26" s="98"/>
      <c r="K26" s="98"/>
      <c r="L26" s="98"/>
    </row>
    <row r="27" spans="1:12">
      <c r="A27" s="72" t="s">
        <v>91</v>
      </c>
      <c r="B27" s="79"/>
      <c r="C27" s="79"/>
      <c r="D27" s="79"/>
      <c r="E27" s="79"/>
      <c r="F27" s="79"/>
      <c r="G27" s="79"/>
      <c r="H27" s="79"/>
      <c r="I27" s="79"/>
      <c r="J27" s="98"/>
      <c r="K27" s="98"/>
      <c r="L27" s="98"/>
    </row>
    <row r="28" spans="1:12">
      <c r="A28" s="72" t="s">
        <v>92</v>
      </c>
      <c r="B28" s="79"/>
      <c r="C28" s="79"/>
      <c r="D28" s="79"/>
      <c r="E28" s="79"/>
      <c r="F28" s="79"/>
      <c r="G28" s="79"/>
      <c r="H28" s="79"/>
      <c r="I28" s="79"/>
      <c r="J28" s="98"/>
      <c r="K28" s="98"/>
      <c r="L28" s="98"/>
    </row>
    <row r="29" spans="1:12">
      <c r="A29" s="72" t="s">
        <v>93</v>
      </c>
      <c r="B29" s="79"/>
      <c r="C29" s="79"/>
      <c r="D29" s="79"/>
      <c r="E29" s="79"/>
      <c r="F29" s="79"/>
      <c r="G29" s="79"/>
      <c r="H29" s="79"/>
      <c r="I29" s="79"/>
      <c r="J29" s="98"/>
      <c r="K29" s="98"/>
      <c r="L29" s="98"/>
    </row>
    <row r="30" spans="1:12">
      <c r="A30" s="72" t="s">
        <v>94</v>
      </c>
      <c r="B30" s="79"/>
      <c r="C30" s="79"/>
      <c r="D30" s="79"/>
      <c r="E30" s="79"/>
      <c r="F30" s="79"/>
      <c r="G30" s="79"/>
      <c r="H30" s="79"/>
      <c r="I30" s="79"/>
      <c r="J30" s="98"/>
      <c r="K30" s="98"/>
      <c r="L30" s="98"/>
    </row>
    <row r="31" spans="1:12">
      <c r="A31" s="72" t="s">
        <v>95</v>
      </c>
      <c r="B31" s="79"/>
      <c r="C31" s="79"/>
      <c r="D31" s="79"/>
      <c r="E31" s="79"/>
      <c r="F31" s="79"/>
      <c r="G31" s="79"/>
      <c r="H31" s="79"/>
      <c r="I31" s="79"/>
      <c r="J31" s="98"/>
      <c r="K31" s="98"/>
      <c r="L31" s="98"/>
    </row>
    <row r="32" spans="1:12">
      <c r="A32" s="72" t="s">
        <v>96</v>
      </c>
      <c r="B32" s="79"/>
      <c r="C32" s="79"/>
      <c r="D32" s="79"/>
      <c r="E32" s="79"/>
      <c r="F32" s="79"/>
      <c r="G32" s="79"/>
      <c r="H32" s="79"/>
      <c r="I32" s="79"/>
      <c r="J32" s="98"/>
      <c r="K32" s="98"/>
      <c r="L32" s="98"/>
    </row>
    <row r="33" spans="1:12">
      <c r="A33" s="72" t="s">
        <v>97</v>
      </c>
      <c r="B33" s="79"/>
      <c r="C33" s="79"/>
      <c r="D33" s="79"/>
      <c r="E33" s="79"/>
      <c r="F33" s="79"/>
      <c r="G33" s="79"/>
      <c r="H33" s="79"/>
      <c r="I33" s="79"/>
      <c r="J33" s="98"/>
      <c r="K33" s="99"/>
      <c r="L33" s="98"/>
    </row>
    <row r="34" spans="1:12">
      <c r="A34" s="72" t="s">
        <v>100</v>
      </c>
      <c r="B34" s="79"/>
      <c r="C34" s="79"/>
      <c r="D34" s="79"/>
      <c r="E34" s="79"/>
      <c r="F34" s="79"/>
      <c r="G34" s="79"/>
      <c r="H34" s="79"/>
      <c r="I34" s="79"/>
      <c r="J34" s="98"/>
      <c r="K34" s="99"/>
      <c r="L34" s="98"/>
    </row>
    <row r="35" spans="1:12">
      <c r="A35" s="72" t="s">
        <v>104</v>
      </c>
      <c r="B35" s="79"/>
      <c r="C35" s="79"/>
      <c r="D35" s="79"/>
      <c r="E35" s="79"/>
      <c r="F35" s="79"/>
      <c r="G35" s="79"/>
      <c r="H35" s="79"/>
      <c r="I35" s="79"/>
      <c r="J35" s="98"/>
      <c r="K35" s="98"/>
      <c r="L35" s="98"/>
    </row>
    <row r="36" spans="1:12">
      <c r="A36" s="72" t="s">
        <v>105</v>
      </c>
      <c r="B36" s="79"/>
      <c r="C36" s="79"/>
      <c r="D36" s="79"/>
      <c r="E36" s="79"/>
      <c r="F36" s="79"/>
      <c r="G36" s="79"/>
      <c r="H36" s="79"/>
      <c r="I36" s="79"/>
      <c r="J36" s="98"/>
      <c r="K36" s="98"/>
      <c r="L36" s="98"/>
    </row>
    <row r="37" spans="1:12">
      <c r="A37" s="72" t="s">
        <v>106</v>
      </c>
      <c r="B37" s="79"/>
      <c r="C37" s="79"/>
      <c r="D37" s="79"/>
      <c r="E37" s="79"/>
      <c r="F37" s="79"/>
      <c r="G37" s="79"/>
      <c r="H37" s="79"/>
      <c r="I37" s="79"/>
      <c r="J37" s="98"/>
      <c r="K37" s="98"/>
      <c r="L37" s="98"/>
    </row>
    <row r="38" spans="1:12">
      <c r="A38" s="72" t="s">
        <v>107</v>
      </c>
      <c r="B38" s="79"/>
      <c r="C38" s="79"/>
      <c r="D38" s="79"/>
      <c r="E38" s="79"/>
      <c r="F38" s="79"/>
      <c r="G38" s="79"/>
      <c r="H38" s="79"/>
      <c r="I38" s="79"/>
      <c r="J38" s="98"/>
      <c r="K38" s="98"/>
      <c r="L38" s="98"/>
    </row>
    <row r="39" spans="1:12">
      <c r="A39" s="72" t="s">
        <v>108</v>
      </c>
      <c r="B39" s="79"/>
      <c r="C39" s="79"/>
      <c r="D39" s="79"/>
      <c r="E39" s="79"/>
      <c r="F39" s="79"/>
      <c r="G39" s="79"/>
      <c r="H39" s="79"/>
      <c r="I39" s="79"/>
      <c r="J39" s="98"/>
      <c r="K39" s="98"/>
      <c r="L39" s="98"/>
    </row>
    <row r="40" spans="1:12">
      <c r="A40" s="72" t="s">
        <v>109</v>
      </c>
      <c r="B40" s="79"/>
      <c r="C40" s="79"/>
      <c r="D40" s="79"/>
      <c r="E40" s="79"/>
      <c r="F40" s="79"/>
      <c r="G40" s="79"/>
      <c r="H40" s="79"/>
      <c r="I40" s="79"/>
      <c r="J40" s="99"/>
      <c r="K40" s="98"/>
      <c r="L40" s="98"/>
    </row>
    <row r="41" spans="1:12">
      <c r="A41" s="72" t="s">
        <v>110</v>
      </c>
      <c r="B41" s="79"/>
      <c r="C41" s="79"/>
      <c r="D41" s="79"/>
      <c r="E41" s="79"/>
      <c r="F41" s="79"/>
      <c r="G41" s="79"/>
      <c r="H41" s="79"/>
      <c r="I41" s="79"/>
      <c r="J41" s="99"/>
      <c r="K41" s="98"/>
      <c r="L41" s="98"/>
    </row>
    <row r="42" spans="1:12">
      <c r="A42" s="72" t="s">
        <v>111</v>
      </c>
      <c r="B42" s="79"/>
      <c r="C42" s="79"/>
      <c r="D42" s="79"/>
      <c r="E42" s="79"/>
      <c r="F42" s="79"/>
      <c r="G42" s="79"/>
      <c r="H42" s="79"/>
      <c r="I42" s="79"/>
      <c r="J42" s="98"/>
      <c r="K42" s="98"/>
      <c r="L42" s="98"/>
    </row>
    <row r="43" spans="1:12">
      <c r="A43" s="72" t="s">
        <v>112</v>
      </c>
      <c r="B43" s="79"/>
      <c r="C43" s="79"/>
      <c r="D43" s="79"/>
      <c r="E43" s="79"/>
      <c r="F43" s="79"/>
      <c r="G43" s="79"/>
      <c r="H43" s="79"/>
      <c r="I43" s="79"/>
      <c r="J43" s="98"/>
      <c r="K43" s="98"/>
      <c r="L43" s="98"/>
    </row>
    <row r="44" spans="1:12">
      <c r="A44" s="72" t="s">
        <v>113</v>
      </c>
      <c r="B44" s="79"/>
      <c r="C44" s="79"/>
      <c r="D44" s="79"/>
      <c r="E44" s="79"/>
      <c r="F44" s="79"/>
      <c r="G44" s="79"/>
      <c r="H44" s="79"/>
      <c r="I44" s="79"/>
      <c r="J44" s="98"/>
      <c r="K44" s="98"/>
      <c r="L44" s="98"/>
    </row>
    <row r="45" spans="1:12">
      <c r="A45" s="72" t="s">
        <v>114</v>
      </c>
      <c r="B45" s="79"/>
      <c r="C45" s="79"/>
      <c r="D45" s="79"/>
      <c r="E45" s="79"/>
      <c r="F45" s="79"/>
      <c r="G45" s="79"/>
      <c r="H45" s="79"/>
      <c r="I45" s="79"/>
      <c r="J45" s="98"/>
      <c r="K45" s="98"/>
      <c r="L45" s="98"/>
    </row>
    <row r="46" spans="1:12">
      <c r="A46" s="72" t="s">
        <v>115</v>
      </c>
      <c r="B46" s="79"/>
      <c r="C46" s="79"/>
      <c r="D46" s="79"/>
      <c r="E46" s="79"/>
      <c r="F46" s="79"/>
      <c r="G46" s="79"/>
      <c r="H46" s="79"/>
      <c r="I46" s="79"/>
      <c r="J46" s="98"/>
      <c r="K46" s="98"/>
      <c r="L46" s="98"/>
    </row>
    <row r="47" spans="1:12">
      <c r="A47" s="72" t="s">
        <v>116</v>
      </c>
      <c r="B47" s="79"/>
      <c r="C47" s="79"/>
      <c r="D47" s="79"/>
      <c r="E47" s="79"/>
      <c r="F47" s="79"/>
      <c r="G47" s="79"/>
      <c r="H47" s="79"/>
      <c r="I47" s="79"/>
      <c r="J47" s="98"/>
      <c r="K47" s="98"/>
      <c r="L47" s="98"/>
    </row>
    <row r="48" spans="1:12">
      <c r="A48" s="72" t="s">
        <v>117</v>
      </c>
      <c r="B48" s="79"/>
      <c r="C48" s="79"/>
      <c r="D48" s="79"/>
      <c r="E48" s="79"/>
      <c r="F48" s="79"/>
      <c r="G48" s="79"/>
      <c r="H48" s="79"/>
      <c r="I48" s="79"/>
      <c r="J48" s="98"/>
      <c r="K48" s="99"/>
      <c r="L48" s="98"/>
    </row>
    <row r="49" spans="1:12">
      <c r="A49" s="72" t="s">
        <v>118</v>
      </c>
      <c r="B49" s="79"/>
      <c r="C49" s="79"/>
      <c r="D49" s="79"/>
      <c r="E49" s="79"/>
      <c r="F49" s="79"/>
      <c r="G49" s="79"/>
      <c r="H49" s="79"/>
      <c r="I49" s="79"/>
      <c r="J49" s="98"/>
      <c r="K49" s="99"/>
      <c r="L49" s="98"/>
    </row>
    <row r="50" spans="1:12">
      <c r="A50" s="72" t="s">
        <v>119</v>
      </c>
      <c r="B50" s="79"/>
      <c r="C50" s="79"/>
      <c r="D50" s="79"/>
      <c r="E50" s="79"/>
      <c r="F50" s="79"/>
      <c r="G50" s="79"/>
      <c r="H50" s="79"/>
      <c r="I50" s="79"/>
      <c r="J50" s="98"/>
      <c r="K50" s="98"/>
      <c r="L50" s="98"/>
    </row>
    <row r="51" spans="1:12">
      <c r="A51" s="72" t="s">
        <v>120</v>
      </c>
      <c r="B51" s="79"/>
      <c r="C51" s="79"/>
      <c r="D51" s="79"/>
      <c r="E51" s="79"/>
      <c r="F51" s="79"/>
      <c r="G51" s="79"/>
      <c r="H51" s="79"/>
      <c r="I51" s="79"/>
      <c r="J51" s="98"/>
      <c r="K51" s="99"/>
      <c r="L51" s="98"/>
    </row>
    <row r="52" spans="1:12">
      <c r="A52" s="72" t="s">
        <v>121</v>
      </c>
      <c r="B52" s="79"/>
      <c r="C52" s="79"/>
      <c r="D52" s="75"/>
      <c r="E52" s="75"/>
      <c r="F52" s="75"/>
      <c r="G52" s="75"/>
      <c r="H52" s="79"/>
      <c r="I52" s="79"/>
      <c r="J52" s="98"/>
      <c r="K52" s="99"/>
      <c r="L52" s="98"/>
    </row>
    <row r="53" spans="1:12">
      <c r="A53" s="72" t="s">
        <v>122</v>
      </c>
      <c r="B53" s="79"/>
      <c r="C53" s="79"/>
      <c r="D53" s="75"/>
      <c r="E53" s="75"/>
      <c r="F53" s="75"/>
      <c r="G53" s="75"/>
      <c r="H53" s="79"/>
      <c r="I53" s="79"/>
      <c r="J53" s="98"/>
      <c r="K53" s="98"/>
      <c r="L53" s="98"/>
    </row>
    <row r="54" spans="1:12">
      <c r="A54" s="72" t="s">
        <v>123</v>
      </c>
      <c r="B54" s="79"/>
      <c r="C54" s="79"/>
      <c r="D54" s="75"/>
      <c r="E54" s="75"/>
      <c r="F54" s="75"/>
      <c r="G54" s="75"/>
      <c r="H54" s="79"/>
      <c r="I54" s="79"/>
      <c r="J54" s="98"/>
      <c r="K54" s="98"/>
      <c r="L54" s="98"/>
    </row>
    <row r="55" spans="1:12">
      <c r="A55" s="72" t="s">
        <v>124</v>
      </c>
      <c r="B55" s="79"/>
      <c r="C55" s="79"/>
      <c r="D55" s="75"/>
      <c r="E55" s="75"/>
      <c r="F55" s="75"/>
      <c r="G55" s="75"/>
      <c r="H55" s="79"/>
      <c r="I55" s="79"/>
      <c r="J55" s="98"/>
      <c r="K55" s="98"/>
      <c r="L55" s="98"/>
    </row>
    <row r="56" spans="1:12">
      <c r="A56" s="72" t="s">
        <v>125</v>
      </c>
      <c r="B56" s="79"/>
      <c r="C56" s="79"/>
      <c r="D56" s="75"/>
      <c r="E56" s="75"/>
      <c r="F56" s="75"/>
      <c r="G56" s="75"/>
      <c r="H56" s="79"/>
      <c r="I56" s="79"/>
      <c r="J56" s="98"/>
      <c r="K56" s="99"/>
      <c r="L56" s="98"/>
    </row>
    <row r="57" spans="1:12">
      <c r="A57" s="72" t="s">
        <v>126</v>
      </c>
      <c r="B57" s="79"/>
      <c r="C57" s="79"/>
      <c r="D57" s="75"/>
      <c r="E57" s="75"/>
      <c r="F57" s="75"/>
      <c r="G57" s="75"/>
      <c r="H57" s="79"/>
      <c r="I57" s="79"/>
      <c r="J57" s="98"/>
      <c r="K57" s="98"/>
      <c r="L57" s="98"/>
    </row>
    <row r="58" spans="1:12">
      <c r="A58" s="72" t="s">
        <v>2045</v>
      </c>
      <c r="B58" s="79"/>
      <c r="C58" s="79"/>
      <c r="D58" s="75"/>
      <c r="E58" s="75"/>
      <c r="F58" s="75"/>
      <c r="G58" s="75"/>
      <c r="H58" s="79"/>
      <c r="I58" s="79"/>
      <c r="J58" s="98"/>
      <c r="K58" s="98"/>
      <c r="L58" s="98"/>
    </row>
    <row r="59" spans="1:12">
      <c r="A59" s="72" t="s">
        <v>2046</v>
      </c>
      <c r="B59" s="79"/>
      <c r="C59" s="79"/>
      <c r="D59" s="75"/>
      <c r="E59" s="75"/>
      <c r="F59" s="75"/>
      <c r="G59" s="75"/>
      <c r="H59" s="79"/>
      <c r="I59" s="79"/>
      <c r="J59" s="98"/>
      <c r="K59" s="98"/>
      <c r="L59" s="98"/>
    </row>
    <row r="60" spans="1:12">
      <c r="A60" s="72" t="s">
        <v>2047</v>
      </c>
      <c r="B60" s="79"/>
      <c r="C60" s="79"/>
      <c r="D60" s="75"/>
      <c r="E60" s="75"/>
      <c r="F60" s="75"/>
      <c r="G60" s="75"/>
      <c r="H60" s="79"/>
      <c r="I60" s="79"/>
      <c r="J60" s="98"/>
      <c r="K60" s="98"/>
      <c r="L60" s="98"/>
    </row>
    <row r="61" spans="1:12">
      <c r="A61" s="72" t="s">
        <v>2048</v>
      </c>
      <c r="B61" s="79"/>
      <c r="C61" s="79"/>
      <c r="D61" s="75"/>
      <c r="E61" s="75"/>
      <c r="F61" s="75"/>
      <c r="G61" s="75"/>
      <c r="H61" s="79"/>
      <c r="I61" s="79"/>
      <c r="J61" s="98"/>
      <c r="K61" s="98"/>
      <c r="L61" s="98"/>
    </row>
    <row r="62" spans="1:12">
      <c r="A62" s="72" t="s">
        <v>2049</v>
      </c>
      <c r="B62" s="79"/>
      <c r="C62" s="79"/>
      <c r="D62" s="75"/>
      <c r="E62" s="75"/>
      <c r="F62" s="75"/>
      <c r="G62" s="75"/>
      <c r="H62" s="79"/>
      <c r="I62" s="79"/>
      <c r="J62" s="98"/>
      <c r="K62" s="99"/>
      <c r="L62" s="98"/>
    </row>
    <row r="63" spans="1:12">
      <c r="A63" s="72" t="s">
        <v>2050</v>
      </c>
      <c r="B63" s="79"/>
      <c r="C63" s="79"/>
      <c r="D63" s="75"/>
      <c r="E63" s="75"/>
      <c r="F63" s="75"/>
      <c r="G63" s="75"/>
      <c r="H63" s="79"/>
      <c r="I63" s="79"/>
      <c r="J63" s="98"/>
      <c r="K63" s="99"/>
      <c r="L63" s="98"/>
    </row>
    <row r="64" spans="1:12">
      <c r="A64" s="72" t="s">
        <v>2051</v>
      </c>
      <c r="B64" s="79"/>
      <c r="C64" s="79"/>
      <c r="D64" s="75"/>
      <c r="E64" s="75"/>
      <c r="F64" s="75"/>
      <c r="G64" s="75"/>
      <c r="H64" s="79"/>
      <c r="I64" s="79"/>
      <c r="J64" s="98"/>
      <c r="K64" s="98"/>
      <c r="L64" s="98"/>
    </row>
    <row r="65" spans="1:12">
      <c r="A65" s="72" t="s">
        <v>2052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</row>
    <row r="66" spans="1:12">
      <c r="A66" s="72" t="s">
        <v>2053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</row>
    <row r="67" spans="1:12">
      <c r="A67" s="72" t="s">
        <v>2054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</row>
    <row r="68" spans="1:12">
      <c r="A68" s="72" t="s">
        <v>2055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</row>
    <row r="69" spans="1:12">
      <c r="A69" s="72" t="s">
        <v>2056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</row>
  </sheetData>
  <autoFilter ref="A1:L69" xr:uid="{B0A2A6B8-B8B9-4046-AFA3-B532813F4FC9}"/>
  <phoneticPr fontId="2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98A8-D43A-47B9-8E55-E5F6951F690D}">
  <sheetPr filterMode="1"/>
  <dimension ref="A1:M156"/>
  <sheetViews>
    <sheetView topLeftCell="A69" workbookViewId="0">
      <selection activeCell="K113" sqref="K113"/>
    </sheetView>
  </sheetViews>
  <sheetFormatPr defaultColWidth="9" defaultRowHeight="18.75"/>
  <cols>
    <col min="1" max="1" width="7.5" style="74" bestFit="1" customWidth="1"/>
    <col min="2" max="3" width="4.5" style="74" bestFit="1" customWidth="1"/>
    <col min="4" max="5" width="13" style="74" bestFit="1" customWidth="1"/>
    <col min="6" max="7" width="10.75" style="74" bestFit="1" customWidth="1"/>
    <col min="8" max="9" width="8.75" style="74" bestFit="1" customWidth="1"/>
    <col min="10" max="10" width="8" style="74" bestFit="1" customWidth="1"/>
    <col min="11" max="11" width="14.125" style="74" bestFit="1" customWidth="1"/>
    <col min="12" max="12" width="10.75" style="74" bestFit="1" customWidth="1"/>
    <col min="13" max="16384" width="9" style="74"/>
  </cols>
  <sheetData>
    <row r="1" spans="1:13" ht="37.5">
      <c r="A1" s="72" t="s">
        <v>40</v>
      </c>
      <c r="B1" s="72" t="s">
        <v>140</v>
      </c>
      <c r="C1" s="72" t="s">
        <v>141</v>
      </c>
      <c r="D1" s="72" t="s">
        <v>142</v>
      </c>
      <c r="E1" s="72" t="s">
        <v>143</v>
      </c>
      <c r="F1" s="72" t="s">
        <v>144</v>
      </c>
      <c r="G1" s="72" t="s">
        <v>145</v>
      </c>
      <c r="H1" s="72" t="s">
        <v>146</v>
      </c>
      <c r="I1" s="72" t="s">
        <v>147</v>
      </c>
      <c r="J1" s="73" t="s">
        <v>72</v>
      </c>
      <c r="K1" s="72" t="s">
        <v>137</v>
      </c>
      <c r="L1" s="72" t="s">
        <v>148</v>
      </c>
    </row>
    <row r="2" spans="1:13">
      <c r="A2" s="72" t="s">
        <v>48</v>
      </c>
      <c r="B2" s="79">
        <f ca="1">IF(external_transparent_parts!F18&gt;0,external_transparent_parts!B18+1,external_transparent_parts!B17+1)</f>
        <v>36</v>
      </c>
      <c r="C2" s="79">
        <f ca="1">B2+1</f>
        <v>37</v>
      </c>
      <c r="D2" s="79" t="s">
        <v>2222</v>
      </c>
      <c r="E2" s="79" t="s">
        <v>2026</v>
      </c>
      <c r="F2" s="79"/>
      <c r="G2" s="79"/>
      <c r="H2" s="79">
        <f ca="1">OFFSET(rooms!$B$2,MATCH(D2,rooms!$D$2:$D$19,0)-1,0)</f>
        <v>2</v>
      </c>
      <c r="I2" s="79">
        <f ca="1">OFFSET(rooms!$B$2,MATCH(E2,rooms!$D$2:$D$19,0)-1,0)</f>
        <v>7</v>
      </c>
      <c r="J2" s="98">
        <v>16.559999999999999</v>
      </c>
      <c r="K2" s="98" t="s">
        <v>2036</v>
      </c>
      <c r="L2" s="98" t="s">
        <v>2058</v>
      </c>
      <c r="M2" t="str">
        <f>IF(D2&gt;E2,D2,E2)&amp;"-"&amp;IF(D2&lt;E2,D2,E2)</f>
        <v>非居室-床下</v>
      </c>
    </row>
    <row r="3" spans="1:13">
      <c r="A3" s="72" t="s">
        <v>49</v>
      </c>
      <c r="B3" s="79">
        <f ca="1">C2+1</f>
        <v>38</v>
      </c>
      <c r="C3" s="79">
        <f t="shared" ref="C3:C64" ca="1" si="0">B3+1</f>
        <v>39</v>
      </c>
      <c r="D3" s="79" t="s">
        <v>2220</v>
      </c>
      <c r="E3" s="79" t="s">
        <v>2026</v>
      </c>
      <c r="F3" s="79"/>
      <c r="G3" s="79"/>
      <c r="H3" s="79">
        <f ca="1">OFFSET(rooms!$B$2,MATCH(D3,rooms!$D$2:$D$19,0)-1,0)</f>
        <v>0</v>
      </c>
      <c r="I3" s="79">
        <f ca="1">OFFSET(rooms!$B$2,MATCH(E3,rooms!$D$2:$D$19,0)-1,0)</f>
        <v>7</v>
      </c>
      <c r="J3" s="98">
        <v>21.53</v>
      </c>
      <c r="K3" s="98" t="s">
        <v>2036</v>
      </c>
      <c r="L3" s="98" t="s">
        <v>2058</v>
      </c>
      <c r="M3" t="str">
        <f t="shared" ref="M3:M64" si="1">IF(D3&gt;E3,D3,E3)&amp;"-"&amp;IF(D3&lt;E3,D3,E3)</f>
        <v>床下-主たる居室</v>
      </c>
    </row>
    <row r="4" spans="1:13">
      <c r="A4" s="72" t="s">
        <v>50</v>
      </c>
      <c r="B4" s="79">
        <f t="shared" ref="B4:B64" ca="1" si="2">C3+1</f>
        <v>40</v>
      </c>
      <c r="C4" s="79">
        <f t="shared" ca="1" si="0"/>
        <v>41</v>
      </c>
      <c r="D4" s="79" t="s">
        <v>2220</v>
      </c>
      <c r="E4" s="79" t="s">
        <v>2222</v>
      </c>
      <c r="F4" s="79"/>
      <c r="G4" s="79"/>
      <c r="H4" s="79">
        <f ca="1">OFFSET(rooms!$B$2,MATCH(D4,rooms!$D$2:$D$19,0)-1,0)</f>
        <v>0</v>
      </c>
      <c r="I4" s="79">
        <f ca="1">OFFSET(rooms!$B$2,MATCH(E4,rooms!$D$2:$D$19,0)-1,0)</f>
        <v>2</v>
      </c>
      <c r="J4" s="98">
        <v>8.64</v>
      </c>
      <c r="K4" s="98" t="s">
        <v>2034</v>
      </c>
      <c r="L4" s="98" t="s">
        <v>2035</v>
      </c>
      <c r="M4" t="str">
        <f t="shared" si="1"/>
        <v>非居室-主たる居室</v>
      </c>
    </row>
    <row r="5" spans="1:13">
      <c r="A5" s="72" t="s">
        <v>51</v>
      </c>
      <c r="B5" s="79">
        <f t="shared" ca="1" si="2"/>
        <v>42</v>
      </c>
      <c r="C5" s="79">
        <f t="shared" ca="1" si="0"/>
        <v>43</v>
      </c>
      <c r="D5" s="79" t="s">
        <v>2220</v>
      </c>
      <c r="E5" s="79" t="s">
        <v>2220</v>
      </c>
      <c r="F5" s="79"/>
      <c r="G5" s="79"/>
      <c r="H5" s="79">
        <f ca="1">OFFSET(rooms!$B$2,MATCH(D5,rooms!$D$2:$D$19,0)-1,0)</f>
        <v>0</v>
      </c>
      <c r="I5" s="79">
        <f ca="1">OFFSET(rooms!$B$2,MATCH(E5,rooms!$D$2:$D$19,0)-1,0)</f>
        <v>0</v>
      </c>
      <c r="J5" s="98">
        <v>5.46</v>
      </c>
      <c r="K5" s="98" t="s">
        <v>2034</v>
      </c>
      <c r="L5" s="98" t="s">
        <v>2035</v>
      </c>
      <c r="M5" t="str">
        <f t="shared" si="1"/>
        <v>主たる居室-主たる居室</v>
      </c>
    </row>
    <row r="6" spans="1:13">
      <c r="A6" s="72" t="s">
        <v>52</v>
      </c>
      <c r="B6" s="79">
        <f t="shared" ca="1" si="2"/>
        <v>44</v>
      </c>
      <c r="C6" s="79">
        <f t="shared" ca="1" si="0"/>
        <v>45</v>
      </c>
      <c r="D6" s="79" t="s">
        <v>2222</v>
      </c>
      <c r="E6" s="79" t="s">
        <v>2222</v>
      </c>
      <c r="F6" s="79"/>
      <c r="G6" s="79"/>
      <c r="H6" s="79">
        <f ca="1">OFFSET(rooms!$B$2,MATCH(D6,rooms!$D$2:$D$19,0)-1,0)</f>
        <v>2</v>
      </c>
      <c r="I6" s="79">
        <f ca="1">OFFSET(rooms!$B$2,MATCH(E6,rooms!$D$2:$D$19,0)-1,0)</f>
        <v>2</v>
      </c>
      <c r="J6" s="98">
        <v>5.46</v>
      </c>
      <c r="K6" s="98" t="s">
        <v>2034</v>
      </c>
      <c r="L6" s="98" t="s">
        <v>2035</v>
      </c>
      <c r="M6" t="str">
        <f t="shared" si="1"/>
        <v>非居室-非居室</v>
      </c>
    </row>
    <row r="7" spans="1:13">
      <c r="A7" s="72" t="s">
        <v>53</v>
      </c>
      <c r="B7" s="79">
        <f t="shared" ca="1" si="2"/>
        <v>46</v>
      </c>
      <c r="C7" s="79">
        <f t="shared" ca="1" si="0"/>
        <v>47</v>
      </c>
      <c r="D7" s="79" t="s">
        <v>2222</v>
      </c>
      <c r="E7" s="79" t="s">
        <v>2220</v>
      </c>
      <c r="F7" s="79"/>
      <c r="G7" s="79"/>
      <c r="H7" s="79">
        <f ca="1">OFFSET(rooms!$B$2,MATCH(D7,rooms!$D$2:$D$19,0)-1,0)</f>
        <v>2</v>
      </c>
      <c r="I7" s="79">
        <f ca="1">OFFSET(rooms!$B$2,MATCH(E7,rooms!$D$2:$D$19,0)-1,0)</f>
        <v>0</v>
      </c>
      <c r="J7" s="98">
        <v>8.73</v>
      </c>
      <c r="K7" s="98" t="s">
        <v>2034</v>
      </c>
      <c r="L7" s="98" t="s">
        <v>2035</v>
      </c>
      <c r="M7" t="str">
        <f t="shared" si="1"/>
        <v>非居室-主たる居室</v>
      </c>
    </row>
    <row r="8" spans="1:13">
      <c r="A8" s="72" t="s">
        <v>54</v>
      </c>
      <c r="B8" s="79">
        <f t="shared" ca="1" si="2"/>
        <v>48</v>
      </c>
      <c r="C8" s="79">
        <f t="shared" ca="1" si="0"/>
        <v>49</v>
      </c>
      <c r="D8" s="79" t="s">
        <v>2222</v>
      </c>
      <c r="E8" s="79" t="s">
        <v>2220</v>
      </c>
      <c r="F8" s="79"/>
      <c r="G8" s="79"/>
      <c r="H8" s="79">
        <f ca="1">OFFSET(rooms!$B$2,MATCH(D8,rooms!$D$2:$D$19,0)-1,0)</f>
        <v>2</v>
      </c>
      <c r="I8" s="79">
        <f ca="1">OFFSET(rooms!$B$2,MATCH(E8,rooms!$D$2:$D$19,0)-1,0)</f>
        <v>0</v>
      </c>
      <c r="J8" s="98">
        <v>4.0999999999999996</v>
      </c>
      <c r="K8" s="98" t="s">
        <v>2034</v>
      </c>
      <c r="L8" s="98" t="s">
        <v>2035</v>
      </c>
      <c r="M8" t="str">
        <f t="shared" si="1"/>
        <v>非居室-主たる居室</v>
      </c>
    </row>
    <row r="9" spans="1:13">
      <c r="A9" s="72" t="s">
        <v>55</v>
      </c>
      <c r="B9" s="79">
        <f t="shared" ca="1" si="2"/>
        <v>50</v>
      </c>
      <c r="C9" s="79">
        <f t="shared" ca="1" si="0"/>
        <v>51</v>
      </c>
      <c r="D9" s="79" t="s">
        <v>2222</v>
      </c>
      <c r="E9" s="79" t="s">
        <v>2220</v>
      </c>
      <c r="F9" s="79"/>
      <c r="G9" s="79"/>
      <c r="H9" s="79">
        <f ca="1">OFFSET(rooms!$B$2,MATCH(D9,rooms!$D$2:$D$19,0)-1,0)</f>
        <v>2</v>
      </c>
      <c r="I9" s="79">
        <f ca="1">OFFSET(rooms!$B$2,MATCH(E9,rooms!$D$2:$D$19,0)-1,0)</f>
        <v>0</v>
      </c>
      <c r="J9" s="98">
        <v>4.37</v>
      </c>
      <c r="K9" s="98" t="s">
        <v>2034</v>
      </c>
      <c r="L9" s="98" t="s">
        <v>2035</v>
      </c>
      <c r="M9" t="str">
        <f t="shared" si="1"/>
        <v>非居室-主たる居室</v>
      </c>
    </row>
    <row r="10" spans="1:13">
      <c r="A10" s="72" t="s">
        <v>56</v>
      </c>
      <c r="B10" s="79">
        <f t="shared" ca="1" si="2"/>
        <v>52</v>
      </c>
      <c r="C10" s="79">
        <f t="shared" ca="1" si="0"/>
        <v>53</v>
      </c>
      <c r="D10" s="79" t="s">
        <v>2222</v>
      </c>
      <c r="E10" s="79" t="s">
        <v>2222</v>
      </c>
      <c r="F10" s="79"/>
      <c r="G10" s="79"/>
      <c r="H10" s="79">
        <f ca="1">OFFSET(rooms!$B$2,MATCH(D10,rooms!$D$2:$D$19,0)-1,0)</f>
        <v>2</v>
      </c>
      <c r="I10" s="79">
        <f ca="1">OFFSET(rooms!$B$2,MATCH(E10,rooms!$D$2:$D$19,0)-1,0)</f>
        <v>2</v>
      </c>
      <c r="J10" s="98">
        <v>4.0999999999999996</v>
      </c>
      <c r="K10" s="98" t="s">
        <v>2034</v>
      </c>
      <c r="L10" s="98" t="s">
        <v>2035</v>
      </c>
      <c r="M10" t="str">
        <f t="shared" si="1"/>
        <v>非居室-非居室</v>
      </c>
    </row>
    <row r="11" spans="1:13">
      <c r="A11" s="72" t="s">
        <v>57</v>
      </c>
      <c r="B11" s="79">
        <f t="shared" ca="1" si="2"/>
        <v>54</v>
      </c>
      <c r="C11" s="79">
        <f t="shared" ca="1" si="0"/>
        <v>55</v>
      </c>
      <c r="D11" s="79" t="s">
        <v>2222</v>
      </c>
      <c r="E11" s="79" t="s">
        <v>2222</v>
      </c>
      <c r="F11" s="79"/>
      <c r="G11" s="79"/>
      <c r="H11" s="79">
        <f ca="1">OFFSET(rooms!$B$2,MATCH(D11,rooms!$D$2:$D$19,0)-1,0)</f>
        <v>2</v>
      </c>
      <c r="I11" s="79">
        <f ca="1">OFFSET(rooms!$B$2,MATCH(E11,rooms!$D$2:$D$19,0)-1,0)</f>
        <v>2</v>
      </c>
      <c r="J11" s="98">
        <v>4.0999999999999996</v>
      </c>
      <c r="K11" s="98" t="s">
        <v>2034</v>
      </c>
      <c r="L11" s="98" t="s">
        <v>2035</v>
      </c>
      <c r="M11" t="str">
        <f t="shared" si="1"/>
        <v>非居室-非居室</v>
      </c>
    </row>
    <row r="12" spans="1:13">
      <c r="A12" s="72" t="s">
        <v>58</v>
      </c>
      <c r="B12" s="79">
        <f t="shared" ca="1" si="2"/>
        <v>56</v>
      </c>
      <c r="C12" s="79">
        <f t="shared" ca="1" si="0"/>
        <v>57</v>
      </c>
      <c r="D12" s="79" t="s">
        <v>2222</v>
      </c>
      <c r="E12" s="79" t="s">
        <v>2222</v>
      </c>
      <c r="F12" s="79"/>
      <c r="G12" s="79"/>
      <c r="H12" s="79">
        <f ca="1">OFFSET(rooms!$B$2,MATCH(D12,rooms!$D$2:$D$19,0)-1,0)</f>
        <v>2</v>
      </c>
      <c r="I12" s="79">
        <f ca="1">OFFSET(rooms!$B$2,MATCH(E12,rooms!$D$2:$D$19,0)-1,0)</f>
        <v>2</v>
      </c>
      <c r="J12" s="98">
        <v>4.0999999999999996</v>
      </c>
      <c r="K12" s="98" t="s">
        <v>2034</v>
      </c>
      <c r="L12" s="98" t="s">
        <v>2035</v>
      </c>
      <c r="M12" t="str">
        <f t="shared" si="1"/>
        <v>非居室-非居室</v>
      </c>
    </row>
    <row r="13" spans="1:13">
      <c r="A13" s="72" t="s">
        <v>59</v>
      </c>
      <c r="B13" s="79">
        <f t="shared" ca="1" si="2"/>
        <v>58</v>
      </c>
      <c r="C13" s="79">
        <f t="shared" ca="1" si="0"/>
        <v>59</v>
      </c>
      <c r="D13" s="79" t="s">
        <v>2222</v>
      </c>
      <c r="E13" s="79" t="s">
        <v>2222</v>
      </c>
      <c r="F13" s="79"/>
      <c r="G13" s="79"/>
      <c r="H13" s="79">
        <f ca="1">OFFSET(rooms!$B$2,MATCH(D13,rooms!$D$2:$D$19,0)-1,0)</f>
        <v>2</v>
      </c>
      <c r="I13" s="79">
        <f ca="1">OFFSET(rooms!$B$2,MATCH(E13,rooms!$D$2:$D$19,0)-1,0)</f>
        <v>2</v>
      </c>
      <c r="J13" s="98">
        <v>2.0499999999999998</v>
      </c>
      <c r="K13" s="98" t="s">
        <v>2034</v>
      </c>
      <c r="L13" s="98" t="s">
        <v>2035</v>
      </c>
      <c r="M13" t="str">
        <f t="shared" si="1"/>
        <v>非居室-非居室</v>
      </c>
    </row>
    <row r="14" spans="1:13">
      <c r="A14" s="72" t="s">
        <v>60</v>
      </c>
      <c r="B14" s="79">
        <f t="shared" ca="1" si="2"/>
        <v>60</v>
      </c>
      <c r="C14" s="79">
        <f t="shared" ca="1" si="0"/>
        <v>61</v>
      </c>
      <c r="D14" s="79" t="s">
        <v>2222</v>
      </c>
      <c r="E14" s="79" t="s">
        <v>2222</v>
      </c>
      <c r="F14" s="79"/>
      <c r="G14" s="79"/>
      <c r="H14" s="79">
        <f ca="1">OFFSET(rooms!$B$2,MATCH(D14,rooms!$D$2:$D$19,0)-1,0)</f>
        <v>2</v>
      </c>
      <c r="I14" s="79">
        <f ca="1">OFFSET(rooms!$B$2,MATCH(E14,rooms!$D$2:$D$19,0)-1,0)</f>
        <v>2</v>
      </c>
      <c r="J14" s="98">
        <v>4.09</v>
      </c>
      <c r="K14" s="98" t="s">
        <v>2034</v>
      </c>
      <c r="L14" s="98" t="s">
        <v>2035</v>
      </c>
      <c r="M14" t="str">
        <f t="shared" si="1"/>
        <v>非居室-非居室</v>
      </c>
    </row>
    <row r="15" spans="1:13">
      <c r="A15" s="72" t="s">
        <v>63</v>
      </c>
      <c r="B15" s="79">
        <f t="shared" ca="1" si="2"/>
        <v>62</v>
      </c>
      <c r="C15" s="79">
        <f t="shared" ca="1" si="0"/>
        <v>63</v>
      </c>
      <c r="D15" s="79" t="s">
        <v>2222</v>
      </c>
      <c r="E15" s="79" t="s">
        <v>2222</v>
      </c>
      <c r="F15" s="79"/>
      <c r="G15" s="79"/>
      <c r="H15" s="79">
        <f ca="1">OFFSET(rooms!$B$2,MATCH(D15,rooms!$D$2:$D$19,0)-1,0)</f>
        <v>2</v>
      </c>
      <c r="I15" s="79">
        <f ca="1">OFFSET(rooms!$B$2,MATCH(E15,rooms!$D$2:$D$19,0)-1,0)</f>
        <v>2</v>
      </c>
      <c r="J15" s="98">
        <v>3.28</v>
      </c>
      <c r="K15" s="98" t="s">
        <v>2034</v>
      </c>
      <c r="L15" s="98" t="s">
        <v>2035</v>
      </c>
      <c r="M15" t="str">
        <f t="shared" si="1"/>
        <v>非居室-非居室</v>
      </c>
    </row>
    <row r="16" spans="1:13">
      <c r="A16" s="72" t="s">
        <v>64</v>
      </c>
      <c r="B16" s="79">
        <f t="shared" ca="1" si="2"/>
        <v>64</v>
      </c>
      <c r="C16" s="79">
        <f t="shared" ca="1" si="0"/>
        <v>65</v>
      </c>
      <c r="D16" s="79" t="s">
        <v>2222</v>
      </c>
      <c r="E16" s="79" t="s">
        <v>2222</v>
      </c>
      <c r="F16" s="79"/>
      <c r="G16" s="79"/>
      <c r="H16" s="79">
        <f ca="1">OFFSET(rooms!$B$2,MATCH(D16,rooms!$D$2:$D$19,0)-1,0)</f>
        <v>2</v>
      </c>
      <c r="I16" s="79">
        <f ca="1">OFFSET(rooms!$B$2,MATCH(E16,rooms!$D$2:$D$19,0)-1,0)</f>
        <v>2</v>
      </c>
      <c r="J16" s="98">
        <v>2.9</v>
      </c>
      <c r="K16" s="98" t="s">
        <v>2037</v>
      </c>
      <c r="L16" s="98" t="s">
        <v>2058</v>
      </c>
      <c r="M16" t="str">
        <f t="shared" si="1"/>
        <v>非居室-非居室</v>
      </c>
    </row>
    <row r="17" spans="1:13">
      <c r="A17" s="72" t="s">
        <v>67</v>
      </c>
      <c r="B17" s="79">
        <f t="shared" ca="1" si="2"/>
        <v>66</v>
      </c>
      <c r="C17" s="79">
        <f t="shared" ca="1" si="0"/>
        <v>67</v>
      </c>
      <c r="D17" s="79" t="s">
        <v>2220</v>
      </c>
      <c r="E17" s="79" t="s">
        <v>2038</v>
      </c>
      <c r="F17" s="79"/>
      <c r="G17" s="79"/>
      <c r="H17" s="79">
        <f ca="1">OFFSET(rooms!$B$2,MATCH(D17,rooms!$D$2:$D$19,0)-1,0)</f>
        <v>0</v>
      </c>
      <c r="I17" s="79">
        <f ca="1">OFFSET(rooms!$B$2,MATCH(E17,rooms!$D$2:$D$19,0)-1,0)</f>
        <v>5</v>
      </c>
      <c r="J17" s="98">
        <v>4.1399999999999997</v>
      </c>
      <c r="K17" s="98" t="s">
        <v>2039</v>
      </c>
      <c r="L17" s="98" t="s">
        <v>2059</v>
      </c>
      <c r="M17" t="str">
        <f t="shared" si="1"/>
        <v>小屋裏2-主たる居室</v>
      </c>
    </row>
    <row r="18" spans="1:13">
      <c r="A18" s="72" t="s">
        <v>69</v>
      </c>
      <c r="B18" s="79">
        <f t="shared" ca="1" si="2"/>
        <v>68</v>
      </c>
      <c r="C18" s="79">
        <f t="shared" ca="1" si="0"/>
        <v>69</v>
      </c>
      <c r="D18" s="79" t="s">
        <v>2222</v>
      </c>
      <c r="E18" s="79" t="s">
        <v>2038</v>
      </c>
      <c r="F18" s="79"/>
      <c r="G18" s="79"/>
      <c r="H18" s="79">
        <f ca="1">OFFSET(rooms!$B$2,MATCH(D18,rooms!$D$2:$D$19,0)-1,0)</f>
        <v>2</v>
      </c>
      <c r="I18" s="79">
        <f ca="1">OFFSET(rooms!$B$2,MATCH(E18,rooms!$D$2:$D$19,0)-1,0)</f>
        <v>5</v>
      </c>
      <c r="J18" s="98">
        <v>3.31</v>
      </c>
      <c r="K18" s="98" t="s">
        <v>2039</v>
      </c>
      <c r="L18" s="98" t="s">
        <v>2059</v>
      </c>
      <c r="M18" t="str">
        <f t="shared" si="1"/>
        <v>非居室-小屋裏2</v>
      </c>
    </row>
    <row r="19" spans="1:13">
      <c r="A19" s="72" t="s">
        <v>81</v>
      </c>
      <c r="B19" s="79">
        <f t="shared" ca="1" si="2"/>
        <v>70</v>
      </c>
      <c r="C19" s="79">
        <f t="shared" ca="1" si="0"/>
        <v>71</v>
      </c>
      <c r="D19" s="79" t="s">
        <v>2222</v>
      </c>
      <c r="E19" s="79" t="s">
        <v>2038</v>
      </c>
      <c r="F19" s="79"/>
      <c r="G19" s="79"/>
      <c r="H19" s="79">
        <f ca="1">OFFSET(rooms!$B$2,MATCH(D19,rooms!$D$2:$D$19,0)-1,0)</f>
        <v>2</v>
      </c>
      <c r="I19" s="79">
        <f ca="1">OFFSET(rooms!$B$2,MATCH(E19,rooms!$D$2:$D$19,0)-1,0)</f>
        <v>5</v>
      </c>
      <c r="J19" s="98">
        <v>1.66</v>
      </c>
      <c r="K19" s="98" t="s">
        <v>2039</v>
      </c>
      <c r="L19" s="98" t="s">
        <v>2059</v>
      </c>
      <c r="M19" t="str">
        <f t="shared" si="1"/>
        <v>非居室-小屋裏2</v>
      </c>
    </row>
    <row r="20" spans="1:13">
      <c r="A20" s="72" t="s">
        <v>83</v>
      </c>
      <c r="B20" s="79">
        <f t="shared" ca="1" si="2"/>
        <v>72</v>
      </c>
      <c r="C20" s="79">
        <f t="shared" ca="1" si="0"/>
        <v>73</v>
      </c>
      <c r="D20" s="79" t="s">
        <v>2222</v>
      </c>
      <c r="E20" s="79" t="s">
        <v>2038</v>
      </c>
      <c r="F20" s="79"/>
      <c r="G20" s="79"/>
      <c r="H20" s="79">
        <f ca="1">OFFSET(rooms!$B$2,MATCH(D20,rooms!$D$2:$D$19,0)-1,0)</f>
        <v>2</v>
      </c>
      <c r="I20" s="79">
        <f ca="1">OFFSET(rooms!$B$2,MATCH(E20,rooms!$D$2:$D$19,0)-1,0)</f>
        <v>5</v>
      </c>
      <c r="J20" s="98">
        <v>3.31</v>
      </c>
      <c r="K20" s="98" t="s">
        <v>2039</v>
      </c>
      <c r="L20" s="98" t="s">
        <v>2059</v>
      </c>
      <c r="M20" t="str">
        <f t="shared" si="1"/>
        <v>非居室-小屋裏2</v>
      </c>
    </row>
    <row r="21" spans="1:13">
      <c r="A21" s="72" t="s">
        <v>84</v>
      </c>
      <c r="B21" s="79">
        <f t="shared" ca="1" si="2"/>
        <v>74</v>
      </c>
      <c r="C21" s="79">
        <f t="shared" ca="1" si="0"/>
        <v>75</v>
      </c>
      <c r="D21" s="79" t="s">
        <v>2221</v>
      </c>
      <c r="E21" s="79" t="s">
        <v>2222</v>
      </c>
      <c r="F21" s="79"/>
      <c r="G21" s="79"/>
      <c r="H21" s="79">
        <f ca="1">OFFSET(rooms!$B$2,MATCH(D21,rooms!$D$2:$D$19,0)-1,0)</f>
        <v>1</v>
      </c>
      <c r="I21" s="79">
        <f ca="1">OFFSET(rooms!$B$2,MATCH(E21,rooms!$D$2:$D$19,0)-1,0)</f>
        <v>2</v>
      </c>
      <c r="J21" s="98">
        <v>6.55</v>
      </c>
      <c r="K21" s="98" t="s">
        <v>2034</v>
      </c>
      <c r="L21" s="98" t="s">
        <v>2035</v>
      </c>
      <c r="M21" t="str">
        <f t="shared" si="1"/>
        <v>非居室-その他居室</v>
      </c>
    </row>
    <row r="22" spans="1:13">
      <c r="A22" s="72" t="s">
        <v>85</v>
      </c>
      <c r="B22" s="79">
        <f t="shared" ca="1" si="2"/>
        <v>76</v>
      </c>
      <c r="C22" s="79">
        <f t="shared" ca="1" si="0"/>
        <v>77</v>
      </c>
      <c r="D22" s="79" t="s">
        <v>2221</v>
      </c>
      <c r="E22" s="79" t="s">
        <v>2221</v>
      </c>
      <c r="F22" s="79"/>
      <c r="G22" s="79"/>
      <c r="H22" s="79">
        <f ca="1">OFFSET(rooms!$B$2,MATCH(D22,rooms!$D$2:$D$19,0)-1,0)</f>
        <v>1</v>
      </c>
      <c r="I22" s="79">
        <f ca="1">OFFSET(rooms!$B$2,MATCH(E22,rooms!$D$2:$D$19,0)-1,0)</f>
        <v>1</v>
      </c>
      <c r="J22" s="98">
        <v>8.74</v>
      </c>
      <c r="K22" s="98" t="s">
        <v>2034</v>
      </c>
      <c r="L22" s="98" t="s">
        <v>2035</v>
      </c>
      <c r="M22" t="str">
        <f t="shared" si="1"/>
        <v>その他居室-その他居室</v>
      </c>
    </row>
    <row r="23" spans="1:13">
      <c r="A23" s="72" t="s">
        <v>86</v>
      </c>
      <c r="B23" s="79">
        <f t="shared" ca="1" si="2"/>
        <v>78</v>
      </c>
      <c r="C23" s="79">
        <f t="shared" ca="1" si="0"/>
        <v>79</v>
      </c>
      <c r="D23" s="79" t="s">
        <v>2221</v>
      </c>
      <c r="E23" s="79" t="s">
        <v>2221</v>
      </c>
      <c r="F23" s="79"/>
      <c r="G23" s="79"/>
      <c r="H23" s="79">
        <f ca="1">OFFSET(rooms!$B$2,MATCH(D23,rooms!$D$2:$D$19,0)-1,0)</f>
        <v>1</v>
      </c>
      <c r="I23" s="79">
        <f ca="1">OFFSET(rooms!$B$2,MATCH(E23,rooms!$D$2:$D$19,0)-1,0)</f>
        <v>1</v>
      </c>
      <c r="J23" s="98">
        <v>8.74</v>
      </c>
      <c r="K23" s="98" t="s">
        <v>2034</v>
      </c>
      <c r="L23" s="98" t="s">
        <v>2035</v>
      </c>
      <c r="M23" t="str">
        <f t="shared" si="1"/>
        <v>その他居室-その他居室</v>
      </c>
    </row>
    <row r="24" spans="1:13">
      <c r="A24" s="72" t="s">
        <v>87</v>
      </c>
      <c r="B24" s="79">
        <f t="shared" ca="1" si="2"/>
        <v>80</v>
      </c>
      <c r="C24" s="79">
        <f t="shared" ca="1" si="0"/>
        <v>81</v>
      </c>
      <c r="D24" s="79" t="s">
        <v>2222</v>
      </c>
      <c r="E24" s="79" t="s">
        <v>2222</v>
      </c>
      <c r="F24" s="79"/>
      <c r="G24" s="79"/>
      <c r="H24" s="79">
        <f ca="1">OFFSET(rooms!$B$2,MATCH(D24,rooms!$D$2:$D$19,0)-1,0)</f>
        <v>2</v>
      </c>
      <c r="I24" s="79">
        <f ca="1">OFFSET(rooms!$B$2,MATCH(E24,rooms!$D$2:$D$19,0)-1,0)</f>
        <v>2</v>
      </c>
      <c r="J24" s="98">
        <v>4.37</v>
      </c>
      <c r="K24" s="98" t="s">
        <v>2034</v>
      </c>
      <c r="L24" s="98" t="s">
        <v>2035</v>
      </c>
      <c r="M24" t="str">
        <f t="shared" si="1"/>
        <v>非居室-非居室</v>
      </c>
    </row>
    <row r="25" spans="1:13">
      <c r="A25" s="72" t="s">
        <v>88</v>
      </c>
      <c r="B25" s="79">
        <f t="shared" ca="1" si="2"/>
        <v>82</v>
      </c>
      <c r="C25" s="79">
        <f t="shared" ca="1" si="0"/>
        <v>83</v>
      </c>
      <c r="D25" s="79" t="s">
        <v>2222</v>
      </c>
      <c r="E25" s="79" t="s">
        <v>2221</v>
      </c>
      <c r="F25" s="79"/>
      <c r="G25" s="79"/>
      <c r="H25" s="79">
        <f ca="1">OFFSET(rooms!$B$2,MATCH(D25,rooms!$D$2:$D$19,0)-1,0)</f>
        <v>2</v>
      </c>
      <c r="I25" s="79">
        <f ca="1">OFFSET(rooms!$B$2,MATCH(E25,rooms!$D$2:$D$19,0)-1,0)</f>
        <v>1</v>
      </c>
      <c r="J25" s="98">
        <v>2.1800000000000002</v>
      </c>
      <c r="K25" s="98" t="s">
        <v>2034</v>
      </c>
      <c r="L25" s="98" t="s">
        <v>2035</v>
      </c>
      <c r="M25" t="str">
        <f t="shared" si="1"/>
        <v>非居室-その他居室</v>
      </c>
    </row>
    <row r="26" spans="1:13">
      <c r="A26" s="72" t="s">
        <v>90</v>
      </c>
      <c r="B26" s="79">
        <f t="shared" ca="1" si="2"/>
        <v>84</v>
      </c>
      <c r="C26" s="79">
        <f t="shared" ca="1" si="0"/>
        <v>85</v>
      </c>
      <c r="D26" s="79" t="s">
        <v>2222</v>
      </c>
      <c r="E26" s="79" t="s">
        <v>2221</v>
      </c>
      <c r="F26" s="79"/>
      <c r="G26" s="79"/>
      <c r="H26" s="79">
        <f ca="1">OFFSET(rooms!$B$2,MATCH(D26,rooms!$D$2:$D$19,0)-1,0)</f>
        <v>2</v>
      </c>
      <c r="I26" s="79">
        <f ca="1">OFFSET(rooms!$B$2,MATCH(E26,rooms!$D$2:$D$19,0)-1,0)</f>
        <v>1</v>
      </c>
      <c r="J26" s="98">
        <v>7.09</v>
      </c>
      <c r="K26" s="98" t="s">
        <v>2034</v>
      </c>
      <c r="L26" s="98" t="s">
        <v>2035</v>
      </c>
      <c r="M26" t="str">
        <f t="shared" si="1"/>
        <v>非居室-その他居室</v>
      </c>
    </row>
    <row r="27" spans="1:13">
      <c r="A27" s="72" t="s">
        <v>91</v>
      </c>
      <c r="B27" s="79">
        <f t="shared" ca="1" si="2"/>
        <v>86</v>
      </c>
      <c r="C27" s="79">
        <f t="shared" ca="1" si="0"/>
        <v>87</v>
      </c>
      <c r="D27" s="79" t="s">
        <v>2222</v>
      </c>
      <c r="E27" s="79" t="s">
        <v>2221</v>
      </c>
      <c r="F27" s="79"/>
      <c r="G27" s="79"/>
      <c r="H27" s="79">
        <f ca="1">OFFSET(rooms!$B$2,MATCH(D27,rooms!$D$2:$D$19,0)-1,0)</f>
        <v>2</v>
      </c>
      <c r="I27" s="79">
        <f ca="1">OFFSET(rooms!$B$2,MATCH(E27,rooms!$D$2:$D$19,0)-1,0)</f>
        <v>1</v>
      </c>
      <c r="J27" s="98">
        <v>7.1</v>
      </c>
      <c r="K27" s="98" t="s">
        <v>2034</v>
      </c>
      <c r="L27" s="98" t="s">
        <v>2035</v>
      </c>
      <c r="M27" t="str">
        <f t="shared" si="1"/>
        <v>非居室-その他居室</v>
      </c>
    </row>
    <row r="28" spans="1:13">
      <c r="A28" s="72" t="s">
        <v>92</v>
      </c>
      <c r="B28" s="79">
        <f t="shared" ca="1" si="2"/>
        <v>88</v>
      </c>
      <c r="C28" s="79">
        <f t="shared" ca="1" si="0"/>
        <v>89</v>
      </c>
      <c r="D28" s="79" t="s">
        <v>2222</v>
      </c>
      <c r="E28" s="79" t="s">
        <v>2040</v>
      </c>
      <c r="F28" s="79"/>
      <c r="G28" s="79"/>
      <c r="H28" s="79">
        <f ca="1">OFFSET(rooms!$B$2,MATCH(D28,rooms!$D$2:$D$19,0)-1,0)</f>
        <v>2</v>
      </c>
      <c r="I28" s="79">
        <f ca="1">OFFSET(rooms!$B$2,MATCH(E28,rooms!$D$2:$D$19,0)-1,0)</f>
        <v>4</v>
      </c>
      <c r="J28" s="98">
        <v>4.97</v>
      </c>
      <c r="K28" s="98" t="s">
        <v>2039</v>
      </c>
      <c r="L28" s="98" t="s">
        <v>2057</v>
      </c>
      <c r="M28" t="str">
        <f t="shared" si="1"/>
        <v>非居室-小屋裏1</v>
      </c>
    </row>
    <row r="29" spans="1:13">
      <c r="A29" s="72" t="s">
        <v>93</v>
      </c>
      <c r="B29" s="79">
        <f t="shared" ca="1" si="2"/>
        <v>90</v>
      </c>
      <c r="C29" s="79">
        <f t="shared" ca="1" si="0"/>
        <v>91</v>
      </c>
      <c r="D29" s="79" t="s">
        <v>2221</v>
      </c>
      <c r="E29" s="79" t="s">
        <v>2040</v>
      </c>
      <c r="F29" s="79"/>
      <c r="G29" s="79"/>
      <c r="H29" s="79">
        <f ca="1">OFFSET(rooms!$B$2,MATCH(D29,rooms!$D$2:$D$19,0)-1,0)</f>
        <v>1</v>
      </c>
      <c r="I29" s="79">
        <f ca="1">OFFSET(rooms!$B$2,MATCH(E29,rooms!$D$2:$D$19,0)-1,0)</f>
        <v>4</v>
      </c>
      <c r="J29" s="98">
        <v>13.25</v>
      </c>
      <c r="K29" s="98" t="s">
        <v>2039</v>
      </c>
      <c r="L29" s="98" t="s">
        <v>2057</v>
      </c>
      <c r="M29" t="str">
        <f t="shared" si="1"/>
        <v>小屋裏1-その他居室</v>
      </c>
    </row>
    <row r="30" spans="1:13">
      <c r="A30" s="72" t="s">
        <v>94</v>
      </c>
      <c r="B30" s="79">
        <f t="shared" ca="1" si="2"/>
        <v>92</v>
      </c>
      <c r="C30" s="79">
        <f t="shared" ca="1" si="0"/>
        <v>93</v>
      </c>
      <c r="D30" s="79" t="s">
        <v>2221</v>
      </c>
      <c r="E30" s="79" t="s">
        <v>2040</v>
      </c>
      <c r="F30" s="79"/>
      <c r="G30" s="79"/>
      <c r="H30" s="79">
        <f ca="1">OFFSET(rooms!$B$2,MATCH(D30,rooms!$D$2:$D$19,0)-1,0)</f>
        <v>1</v>
      </c>
      <c r="I30" s="79">
        <f ca="1">OFFSET(rooms!$B$2,MATCH(E30,rooms!$D$2:$D$19,0)-1,0)</f>
        <v>4</v>
      </c>
      <c r="J30" s="98">
        <v>10.76</v>
      </c>
      <c r="K30" s="98" t="s">
        <v>2039</v>
      </c>
      <c r="L30" s="98" t="s">
        <v>2057</v>
      </c>
      <c r="M30" t="str">
        <f t="shared" si="1"/>
        <v>小屋裏1-その他居室</v>
      </c>
    </row>
    <row r="31" spans="1:13">
      <c r="A31" s="72" t="s">
        <v>95</v>
      </c>
      <c r="B31" s="79">
        <f t="shared" ca="1" si="2"/>
        <v>94</v>
      </c>
      <c r="C31" s="79">
        <f t="shared" ca="1" si="0"/>
        <v>95</v>
      </c>
      <c r="D31" s="79" t="s">
        <v>2221</v>
      </c>
      <c r="E31" s="79" t="s">
        <v>2040</v>
      </c>
      <c r="F31" s="79"/>
      <c r="G31" s="79"/>
      <c r="H31" s="79">
        <f ca="1">OFFSET(rooms!$B$2,MATCH(D31,rooms!$D$2:$D$19,0)-1,0)</f>
        <v>1</v>
      </c>
      <c r="I31" s="79">
        <f ca="1">OFFSET(rooms!$B$2,MATCH(E31,rooms!$D$2:$D$19,0)-1,0)</f>
        <v>4</v>
      </c>
      <c r="J31" s="98">
        <v>10.77</v>
      </c>
      <c r="K31" s="98" t="s">
        <v>2039</v>
      </c>
      <c r="L31" s="98" t="s">
        <v>2057</v>
      </c>
      <c r="M31" t="str">
        <f t="shared" si="1"/>
        <v>小屋裏1-その他居室</v>
      </c>
    </row>
    <row r="32" spans="1:13">
      <c r="A32" s="72" t="s">
        <v>96</v>
      </c>
      <c r="B32" s="79">
        <f t="shared" ca="1" si="2"/>
        <v>96</v>
      </c>
      <c r="C32" s="79">
        <f t="shared" ca="1" si="0"/>
        <v>97</v>
      </c>
      <c r="D32" s="79" t="s">
        <v>2222</v>
      </c>
      <c r="E32" s="79" t="s">
        <v>2040</v>
      </c>
      <c r="F32" s="79"/>
      <c r="G32" s="79"/>
      <c r="H32" s="79">
        <f ca="1">OFFSET(rooms!$B$2,MATCH(D32,rooms!$D$2:$D$19,0)-1,0)</f>
        <v>2</v>
      </c>
      <c r="I32" s="79">
        <f ca="1">OFFSET(rooms!$B$2,MATCH(E32,rooms!$D$2:$D$19,0)-1,0)</f>
        <v>4</v>
      </c>
      <c r="J32" s="98">
        <v>10.77</v>
      </c>
      <c r="K32" s="98" t="s">
        <v>2039</v>
      </c>
      <c r="L32" s="98" t="s">
        <v>2057</v>
      </c>
      <c r="M32" t="str">
        <f t="shared" si="1"/>
        <v>非居室-小屋裏1</v>
      </c>
    </row>
    <row r="33" spans="1:13">
      <c r="A33" s="72" t="s">
        <v>97</v>
      </c>
      <c r="B33" s="79">
        <f t="shared" ca="1" si="2"/>
        <v>98</v>
      </c>
      <c r="C33" s="79">
        <f t="shared" ca="1" si="0"/>
        <v>99</v>
      </c>
      <c r="D33" s="79" t="s">
        <v>2222</v>
      </c>
      <c r="E33" s="79" t="s">
        <v>2040</v>
      </c>
      <c r="F33" s="79"/>
      <c r="G33" s="79"/>
      <c r="H33" s="79">
        <f ca="1">OFFSET(rooms!$B$2,MATCH(D33,rooms!$D$2:$D$19,0)-1,0)</f>
        <v>2</v>
      </c>
      <c r="I33" s="79">
        <f ca="1">OFFSET(rooms!$B$2,MATCH(E33,rooms!$D$2:$D$19,0)-1,0)</f>
        <v>4</v>
      </c>
      <c r="J33" s="98">
        <v>1.59</v>
      </c>
      <c r="K33" s="99" t="s">
        <v>2041</v>
      </c>
      <c r="L33" s="98" t="s">
        <v>2035</v>
      </c>
      <c r="M33" t="str">
        <f t="shared" si="1"/>
        <v>非居室-小屋裏1</v>
      </c>
    </row>
    <row r="34" spans="1:13">
      <c r="A34" s="72" t="s">
        <v>100</v>
      </c>
      <c r="B34" s="79">
        <f t="shared" ca="1" si="2"/>
        <v>100</v>
      </c>
      <c r="C34" s="79">
        <f t="shared" ca="1" si="0"/>
        <v>101</v>
      </c>
      <c r="D34" s="79" t="s">
        <v>2222</v>
      </c>
      <c r="E34" s="79" t="s">
        <v>2040</v>
      </c>
      <c r="F34" s="79"/>
      <c r="G34" s="79"/>
      <c r="H34" s="79">
        <f ca="1">OFFSET(rooms!$B$2,MATCH(D34,rooms!$D$2:$D$19,0)-1,0)</f>
        <v>2</v>
      </c>
      <c r="I34" s="79">
        <f ca="1">OFFSET(rooms!$B$2,MATCH(E34,rooms!$D$2:$D$19,0)-1,0)</f>
        <v>4</v>
      </c>
      <c r="J34" s="98">
        <v>0.69</v>
      </c>
      <c r="K34" s="99" t="s">
        <v>2041</v>
      </c>
      <c r="L34" s="98" t="s">
        <v>2035</v>
      </c>
      <c r="M34" t="str">
        <f t="shared" si="1"/>
        <v>非居室-小屋裏1</v>
      </c>
    </row>
    <row r="35" spans="1:13">
      <c r="A35" s="72" t="s">
        <v>104</v>
      </c>
      <c r="B35" s="79">
        <f t="shared" ca="1" si="2"/>
        <v>102</v>
      </c>
      <c r="C35" s="79">
        <f t="shared" ca="1" si="0"/>
        <v>103</v>
      </c>
      <c r="D35" s="79" t="s">
        <v>2222</v>
      </c>
      <c r="E35" s="79" t="s">
        <v>2042</v>
      </c>
      <c r="F35" s="79"/>
      <c r="G35" s="79"/>
      <c r="H35" s="79">
        <f ca="1">OFFSET(rooms!$B$2,MATCH(D35,rooms!$D$2:$D$19,0)-1,0)</f>
        <v>2</v>
      </c>
      <c r="I35" s="79">
        <f ca="1">OFFSET(rooms!$B$2,MATCH(E35,rooms!$D$2:$D$19,0)-1,0)</f>
        <v>6</v>
      </c>
      <c r="J35" s="98">
        <v>3.31</v>
      </c>
      <c r="K35" s="98" t="s">
        <v>2041</v>
      </c>
      <c r="L35" s="98" t="s">
        <v>2059</v>
      </c>
      <c r="M35" t="str">
        <f t="shared" si="1"/>
        <v>非居室-小屋裏3</v>
      </c>
    </row>
    <row r="36" spans="1:13">
      <c r="A36" s="72" t="s">
        <v>105</v>
      </c>
      <c r="B36" s="79">
        <f t="shared" ca="1" si="2"/>
        <v>104</v>
      </c>
      <c r="C36" s="79">
        <f t="shared" ca="1" si="0"/>
        <v>105</v>
      </c>
      <c r="D36" s="79" t="s">
        <v>2043</v>
      </c>
      <c r="E36" s="79" t="s">
        <v>2222</v>
      </c>
      <c r="F36" s="79"/>
      <c r="G36" s="79"/>
      <c r="H36" s="79">
        <f ca="1">OFFSET(rooms!$B$2,MATCH(D36,rooms!$D$2:$D$19,0)-1,0)</f>
        <v>3</v>
      </c>
      <c r="I36" s="79">
        <f ca="1">OFFSET(rooms!$B$2,MATCH(E36,rooms!$D$2:$D$19,0)-1,0)</f>
        <v>2</v>
      </c>
      <c r="J36" s="98">
        <v>13.25</v>
      </c>
      <c r="K36" s="98" t="s">
        <v>2044</v>
      </c>
      <c r="L36" s="98" t="s">
        <v>2058</v>
      </c>
      <c r="M36" t="str">
        <f t="shared" si="1"/>
        <v>非居室-階間(L4)</v>
      </c>
    </row>
    <row r="37" spans="1:13">
      <c r="A37" s="72" t="s">
        <v>106</v>
      </c>
      <c r="B37" s="79">
        <f t="shared" ca="1" si="2"/>
        <v>106</v>
      </c>
      <c r="C37" s="79">
        <f t="shared" ca="1" si="0"/>
        <v>107</v>
      </c>
      <c r="D37" s="79" t="s">
        <v>2043</v>
      </c>
      <c r="E37" s="79" t="s">
        <v>2220</v>
      </c>
      <c r="F37" s="79"/>
      <c r="G37" s="79"/>
      <c r="H37" s="79">
        <f ca="1">OFFSET(rooms!$B$2,MATCH(D37,rooms!$D$2:$D$19,0)-1,0)</f>
        <v>3</v>
      </c>
      <c r="I37" s="79">
        <f ca="1">OFFSET(rooms!$B$2,MATCH(E37,rooms!$D$2:$D$19,0)-1,0)</f>
        <v>0</v>
      </c>
      <c r="J37" s="98">
        <v>21.53</v>
      </c>
      <c r="K37" s="98" t="s">
        <v>2044</v>
      </c>
      <c r="L37" s="98" t="s">
        <v>2058</v>
      </c>
      <c r="M37" t="str">
        <f t="shared" si="1"/>
        <v>主たる居室-階間(L4)</v>
      </c>
    </row>
    <row r="38" spans="1:13">
      <c r="A38" s="72" t="s">
        <v>107</v>
      </c>
      <c r="B38" s="79">
        <f t="shared" ca="1" si="2"/>
        <v>108</v>
      </c>
      <c r="C38" s="79">
        <f t="shared" ca="1" si="0"/>
        <v>109</v>
      </c>
      <c r="D38" s="79" t="s">
        <v>2043</v>
      </c>
      <c r="E38" s="79" t="s">
        <v>2222</v>
      </c>
      <c r="F38" s="79"/>
      <c r="G38" s="79"/>
      <c r="H38" s="79">
        <f ca="1">OFFSET(rooms!$B$2,MATCH(D38,rooms!$D$2:$D$19,0)-1,0)</f>
        <v>3</v>
      </c>
      <c r="I38" s="79">
        <f ca="1">OFFSET(rooms!$B$2,MATCH(E38,rooms!$D$2:$D$19,0)-1,0)</f>
        <v>2</v>
      </c>
      <c r="J38" s="98">
        <v>2.48</v>
      </c>
      <c r="K38" s="98" t="s">
        <v>2044</v>
      </c>
      <c r="L38" s="98" t="s">
        <v>2058</v>
      </c>
      <c r="M38" t="str">
        <f t="shared" si="1"/>
        <v>非居室-階間(L4)</v>
      </c>
    </row>
    <row r="39" spans="1:13">
      <c r="A39" s="72" t="s">
        <v>108</v>
      </c>
      <c r="B39" s="79">
        <f t="shared" ca="1" si="2"/>
        <v>110</v>
      </c>
      <c r="C39" s="79">
        <f t="shared" ca="1" si="0"/>
        <v>111</v>
      </c>
      <c r="D39" s="79" t="s">
        <v>2043</v>
      </c>
      <c r="E39" s="79" t="s">
        <v>2222</v>
      </c>
      <c r="F39" s="79"/>
      <c r="G39" s="79"/>
      <c r="H39" s="79">
        <f ca="1">OFFSET(rooms!$B$2,MATCH(D39,rooms!$D$2:$D$19,0)-1,0)</f>
        <v>3</v>
      </c>
      <c r="I39" s="79">
        <f ca="1">OFFSET(rooms!$B$2,MATCH(E39,rooms!$D$2:$D$19,0)-1,0)</f>
        <v>2</v>
      </c>
      <c r="J39" s="98">
        <v>7.87</v>
      </c>
      <c r="K39" s="98" t="s">
        <v>2044</v>
      </c>
      <c r="L39" s="98" t="s">
        <v>2058</v>
      </c>
      <c r="M39" t="str">
        <f t="shared" si="1"/>
        <v>非居室-階間(L4)</v>
      </c>
    </row>
    <row r="40" spans="1:13">
      <c r="A40" s="72" t="s">
        <v>109</v>
      </c>
      <c r="B40" s="79">
        <f t="shared" ca="1" si="2"/>
        <v>112</v>
      </c>
      <c r="C40" s="79">
        <f t="shared" ca="1" si="0"/>
        <v>113</v>
      </c>
      <c r="D40" s="79" t="s">
        <v>2043</v>
      </c>
      <c r="E40" s="79" t="s">
        <v>2222</v>
      </c>
      <c r="F40" s="79"/>
      <c r="G40" s="79"/>
      <c r="H40" s="79">
        <f ca="1">OFFSET(rooms!$B$2,MATCH(D40,rooms!$D$2:$D$19,0)-1,0)</f>
        <v>3</v>
      </c>
      <c r="I40" s="79">
        <f ca="1">OFFSET(rooms!$B$2,MATCH(E40,rooms!$D$2:$D$19,0)-1,0)</f>
        <v>2</v>
      </c>
      <c r="J40" s="99">
        <v>0.46</v>
      </c>
      <c r="K40" s="98" t="s">
        <v>2034</v>
      </c>
      <c r="L40" s="98" t="s">
        <v>2035</v>
      </c>
      <c r="M40" t="str">
        <f t="shared" si="1"/>
        <v>非居室-階間(L4)</v>
      </c>
    </row>
    <row r="41" spans="1:13">
      <c r="A41" s="72" t="s">
        <v>110</v>
      </c>
      <c r="B41" s="79">
        <f t="shared" ca="1" si="2"/>
        <v>114</v>
      </c>
      <c r="C41" s="79">
        <f t="shared" ca="1" si="0"/>
        <v>115</v>
      </c>
      <c r="D41" s="79" t="s">
        <v>2043</v>
      </c>
      <c r="E41" s="79" t="s">
        <v>2222</v>
      </c>
      <c r="F41" s="79"/>
      <c r="G41" s="79"/>
      <c r="H41" s="79">
        <f ca="1">OFFSET(rooms!$B$2,MATCH(D41,rooms!$D$2:$D$19,0)-1,0)</f>
        <v>3</v>
      </c>
      <c r="I41" s="79">
        <f ca="1">OFFSET(rooms!$B$2,MATCH(E41,rooms!$D$2:$D$19,0)-1,0)</f>
        <v>2</v>
      </c>
      <c r="J41" s="99">
        <v>0.46</v>
      </c>
      <c r="K41" s="98" t="s">
        <v>2034</v>
      </c>
      <c r="L41" s="98" t="s">
        <v>2035</v>
      </c>
      <c r="M41" t="str">
        <f t="shared" si="1"/>
        <v>非居室-階間(L4)</v>
      </c>
    </row>
    <row r="42" spans="1:13">
      <c r="A42" s="72" t="s">
        <v>111</v>
      </c>
      <c r="B42" s="79">
        <f t="shared" ca="1" si="2"/>
        <v>116</v>
      </c>
      <c r="C42" s="79">
        <f t="shared" ca="1" si="0"/>
        <v>117</v>
      </c>
      <c r="D42" s="79" t="s">
        <v>2043</v>
      </c>
      <c r="E42" s="79" t="s">
        <v>2222</v>
      </c>
      <c r="F42" s="79"/>
      <c r="G42" s="79"/>
      <c r="H42" s="79">
        <f ca="1">OFFSET(rooms!$B$2,MATCH(D42,rooms!$D$2:$D$19,0)-1,0)</f>
        <v>3</v>
      </c>
      <c r="I42" s="79">
        <f ca="1">OFFSET(rooms!$B$2,MATCH(E42,rooms!$D$2:$D$19,0)-1,0)</f>
        <v>2</v>
      </c>
      <c r="J42" s="98">
        <v>1.59</v>
      </c>
      <c r="K42" s="98" t="s">
        <v>2034</v>
      </c>
      <c r="L42" s="98" t="s">
        <v>2035</v>
      </c>
      <c r="M42" t="str">
        <f t="shared" si="1"/>
        <v>非居室-階間(L4)</v>
      </c>
    </row>
    <row r="43" spans="1:13">
      <c r="A43" s="72" t="s">
        <v>112</v>
      </c>
      <c r="B43" s="79">
        <f t="shared" ca="1" si="2"/>
        <v>118</v>
      </c>
      <c r="C43" s="79">
        <f t="shared" ca="1" si="0"/>
        <v>119</v>
      </c>
      <c r="D43" s="79" t="s">
        <v>2222</v>
      </c>
      <c r="E43" s="79" t="s">
        <v>2043</v>
      </c>
      <c r="F43" s="79"/>
      <c r="G43" s="79"/>
      <c r="H43" s="79">
        <f ca="1">OFFSET(rooms!$B$2,MATCH(D43,rooms!$D$2:$D$19,0)-1,0)</f>
        <v>2</v>
      </c>
      <c r="I43" s="79">
        <f ca="1">OFFSET(rooms!$B$2,MATCH(E43,rooms!$D$2:$D$19,0)-1,0)</f>
        <v>3</v>
      </c>
      <c r="J43" s="98">
        <v>4.97</v>
      </c>
      <c r="K43" s="98" t="s">
        <v>2037</v>
      </c>
      <c r="L43" s="98" t="s">
        <v>2058</v>
      </c>
      <c r="M43" t="str">
        <f t="shared" si="1"/>
        <v>非居室-階間(L4)</v>
      </c>
    </row>
    <row r="44" spans="1:13">
      <c r="A44" s="72" t="s">
        <v>113</v>
      </c>
      <c r="B44" s="79">
        <f t="shared" ca="1" si="2"/>
        <v>120</v>
      </c>
      <c r="C44" s="79">
        <f t="shared" ca="1" si="0"/>
        <v>121</v>
      </c>
      <c r="D44" s="79" t="s">
        <v>2221</v>
      </c>
      <c r="E44" s="79" t="s">
        <v>2043</v>
      </c>
      <c r="F44" s="79"/>
      <c r="G44" s="79"/>
      <c r="H44" s="79">
        <f ca="1">OFFSET(rooms!$B$2,MATCH(D44,rooms!$D$2:$D$19,0)-1,0)</f>
        <v>1</v>
      </c>
      <c r="I44" s="79">
        <f ca="1">OFFSET(rooms!$B$2,MATCH(E44,rooms!$D$2:$D$19,0)-1,0)</f>
        <v>3</v>
      </c>
      <c r="J44" s="98">
        <v>13.25</v>
      </c>
      <c r="K44" s="98" t="s">
        <v>2037</v>
      </c>
      <c r="L44" s="98" t="s">
        <v>2058</v>
      </c>
      <c r="M44" t="str">
        <f t="shared" si="1"/>
        <v>階間(L4)-その他居室</v>
      </c>
    </row>
    <row r="45" spans="1:13">
      <c r="A45" s="72" t="s">
        <v>114</v>
      </c>
      <c r="B45" s="79">
        <f t="shared" ca="1" si="2"/>
        <v>122</v>
      </c>
      <c r="C45" s="79">
        <f t="shared" ca="1" si="0"/>
        <v>123</v>
      </c>
      <c r="D45" s="79" t="s">
        <v>2221</v>
      </c>
      <c r="E45" s="79" t="s">
        <v>2043</v>
      </c>
      <c r="F45" s="79"/>
      <c r="G45" s="79"/>
      <c r="H45" s="79">
        <f ca="1">OFFSET(rooms!$B$2,MATCH(D45,rooms!$D$2:$D$19,0)-1,0)</f>
        <v>1</v>
      </c>
      <c r="I45" s="79">
        <f ca="1">OFFSET(rooms!$B$2,MATCH(E45,rooms!$D$2:$D$19,0)-1,0)</f>
        <v>3</v>
      </c>
      <c r="J45" s="98">
        <v>10.76</v>
      </c>
      <c r="K45" s="98" t="s">
        <v>2037</v>
      </c>
      <c r="L45" s="98" t="s">
        <v>2058</v>
      </c>
      <c r="M45" t="str">
        <f t="shared" si="1"/>
        <v>階間(L4)-その他居室</v>
      </c>
    </row>
    <row r="46" spans="1:13">
      <c r="A46" s="72" t="s">
        <v>115</v>
      </c>
      <c r="B46" s="79">
        <f t="shared" ca="1" si="2"/>
        <v>124</v>
      </c>
      <c r="C46" s="79">
        <f t="shared" ca="1" si="0"/>
        <v>125</v>
      </c>
      <c r="D46" s="79" t="s">
        <v>2221</v>
      </c>
      <c r="E46" s="79" t="s">
        <v>2043</v>
      </c>
      <c r="F46" s="79"/>
      <c r="G46" s="79"/>
      <c r="H46" s="79">
        <f ca="1">OFFSET(rooms!$B$2,MATCH(D46,rooms!$D$2:$D$19,0)-1,0)</f>
        <v>1</v>
      </c>
      <c r="I46" s="79">
        <f ca="1">OFFSET(rooms!$B$2,MATCH(E46,rooms!$D$2:$D$19,0)-1,0)</f>
        <v>3</v>
      </c>
      <c r="J46" s="98">
        <v>10.77</v>
      </c>
      <c r="K46" s="98" t="s">
        <v>2037</v>
      </c>
      <c r="L46" s="98" t="s">
        <v>2058</v>
      </c>
      <c r="M46" t="str">
        <f t="shared" si="1"/>
        <v>階間(L4)-その他居室</v>
      </c>
    </row>
    <row r="47" spans="1:13">
      <c r="A47" s="72" t="s">
        <v>116</v>
      </c>
      <c r="B47" s="79">
        <f t="shared" ca="1" si="2"/>
        <v>126</v>
      </c>
      <c r="C47" s="79">
        <f t="shared" ca="1" si="0"/>
        <v>127</v>
      </c>
      <c r="D47" s="79" t="s">
        <v>2222</v>
      </c>
      <c r="E47" s="79" t="s">
        <v>2043</v>
      </c>
      <c r="F47" s="79"/>
      <c r="G47" s="79"/>
      <c r="H47" s="79">
        <f ca="1">OFFSET(rooms!$B$2,MATCH(D47,rooms!$D$2:$D$19,0)-1,0)</f>
        <v>2</v>
      </c>
      <c r="I47" s="79">
        <f ca="1">OFFSET(rooms!$B$2,MATCH(E47,rooms!$D$2:$D$19,0)-1,0)</f>
        <v>3</v>
      </c>
      <c r="J47" s="98">
        <v>7.87</v>
      </c>
      <c r="K47" s="98" t="s">
        <v>2037</v>
      </c>
      <c r="L47" s="98" t="s">
        <v>2058</v>
      </c>
      <c r="M47" t="str">
        <f t="shared" si="1"/>
        <v>非居室-階間(L4)</v>
      </c>
    </row>
    <row r="48" spans="1:13">
      <c r="A48" s="72" t="s">
        <v>117</v>
      </c>
      <c r="B48" s="79">
        <f t="shared" ca="1" si="2"/>
        <v>128</v>
      </c>
      <c r="C48" s="79">
        <f t="shared" ca="1" si="0"/>
        <v>129</v>
      </c>
      <c r="D48" s="79" t="s">
        <v>2043</v>
      </c>
      <c r="E48" s="79" t="s">
        <v>2038</v>
      </c>
      <c r="F48" s="79"/>
      <c r="G48" s="79"/>
      <c r="H48" s="79">
        <f ca="1">OFFSET(rooms!$B$2,MATCH(D48,rooms!$D$2:$D$19,0)-1,0)</f>
        <v>3</v>
      </c>
      <c r="I48" s="79">
        <f ca="1">OFFSET(rooms!$B$2,MATCH(E48,rooms!$D$2:$D$19,0)-1,0)</f>
        <v>5</v>
      </c>
      <c r="J48" s="98">
        <v>1.82</v>
      </c>
      <c r="K48" s="99" t="s">
        <v>2041</v>
      </c>
      <c r="L48" s="98" t="s">
        <v>2035</v>
      </c>
      <c r="M48" t="str">
        <f t="shared" si="1"/>
        <v>小屋裏2-階間(L4)</v>
      </c>
    </row>
    <row r="49" spans="1:13">
      <c r="A49" s="72" t="s">
        <v>118</v>
      </c>
      <c r="B49" s="79">
        <f t="shared" ca="1" si="2"/>
        <v>130</v>
      </c>
      <c r="C49" s="79">
        <f t="shared" ca="1" si="0"/>
        <v>131</v>
      </c>
      <c r="D49" s="79" t="s">
        <v>2043</v>
      </c>
      <c r="E49" s="79" t="s">
        <v>2042</v>
      </c>
      <c r="F49" s="79"/>
      <c r="G49" s="79"/>
      <c r="H49" s="79">
        <f ca="1">OFFSET(rooms!$B$2,MATCH(D49,rooms!$D$2:$D$19,0)-1,0)</f>
        <v>3</v>
      </c>
      <c r="I49" s="79">
        <f ca="1">OFFSET(rooms!$B$2,MATCH(E49,rooms!$D$2:$D$19,0)-1,0)</f>
        <v>6</v>
      </c>
      <c r="J49" s="98">
        <v>2.48</v>
      </c>
      <c r="K49" s="99" t="s">
        <v>2041</v>
      </c>
      <c r="L49" s="98" t="s">
        <v>2035</v>
      </c>
      <c r="M49" t="str">
        <f t="shared" si="1"/>
        <v>小屋裏3-階間(L4)</v>
      </c>
    </row>
    <row r="50" spans="1:13">
      <c r="A50" s="72" t="s">
        <v>119</v>
      </c>
      <c r="B50" s="79">
        <f t="shared" ca="1" si="2"/>
        <v>132</v>
      </c>
      <c r="C50" s="79">
        <f t="shared" ca="1" si="0"/>
        <v>133</v>
      </c>
      <c r="D50" s="79" t="s">
        <v>2043</v>
      </c>
      <c r="E50" s="79" t="s">
        <v>2220</v>
      </c>
      <c r="F50" s="79"/>
      <c r="G50" s="79"/>
      <c r="H50" s="79">
        <f ca="1">OFFSET(rooms!$B$2,MATCH(D50,rooms!$D$2:$D$19,0)-1,0)</f>
        <v>3</v>
      </c>
      <c r="I50" s="79">
        <f ca="1">OFFSET(rooms!$B$2,MATCH(E50,rooms!$D$2:$D$19,0)-1,0)</f>
        <v>0</v>
      </c>
      <c r="J50" s="98">
        <v>4.1399999999999997</v>
      </c>
      <c r="K50" s="98" t="s">
        <v>2044</v>
      </c>
      <c r="L50" s="98" t="s">
        <v>2058</v>
      </c>
      <c r="M50" t="str">
        <f t="shared" si="1"/>
        <v>主たる居室-階間(L4)</v>
      </c>
    </row>
    <row r="51" spans="1:13">
      <c r="A51" s="72" t="s">
        <v>120</v>
      </c>
      <c r="B51" s="79">
        <f t="shared" ca="1" si="2"/>
        <v>134</v>
      </c>
      <c r="C51" s="79">
        <f t="shared" ca="1" si="0"/>
        <v>135</v>
      </c>
      <c r="D51" s="79" t="s">
        <v>2220</v>
      </c>
      <c r="E51" s="79" t="s">
        <v>2038</v>
      </c>
      <c r="F51" s="79"/>
      <c r="G51" s="79"/>
      <c r="H51" s="79">
        <f ca="1">OFFSET(rooms!$B$2,MATCH(D51,rooms!$D$2:$D$19,0)-1,0)</f>
        <v>0</v>
      </c>
      <c r="I51" s="79">
        <f ca="1">OFFSET(rooms!$B$2,MATCH(E51,rooms!$D$2:$D$19,0)-1,0)</f>
        <v>5</v>
      </c>
      <c r="J51" s="98">
        <v>0.34</v>
      </c>
      <c r="K51" s="99" t="s">
        <v>2041</v>
      </c>
      <c r="L51" s="98" t="s">
        <v>2035</v>
      </c>
      <c r="M51" t="str">
        <f t="shared" si="1"/>
        <v>小屋裏2-主たる居室</v>
      </c>
    </row>
    <row r="52" spans="1:13">
      <c r="A52" s="72" t="s">
        <v>121</v>
      </c>
      <c r="B52" s="79">
        <f t="shared" ca="1" si="2"/>
        <v>136</v>
      </c>
      <c r="C52" s="79">
        <f t="shared" ca="1" si="0"/>
        <v>137</v>
      </c>
      <c r="D52" s="75" t="s">
        <v>2222</v>
      </c>
      <c r="E52" s="75" t="s">
        <v>2038</v>
      </c>
      <c r="F52" s="75"/>
      <c r="G52" s="75"/>
      <c r="H52" s="79">
        <f ca="1">OFFSET(rooms!$B$2,MATCH(D52,rooms!$D$2:$D$19,0)-1,0)</f>
        <v>2</v>
      </c>
      <c r="I52" s="79">
        <f ca="1">OFFSET(rooms!$B$2,MATCH(E52,rooms!$D$2:$D$19,0)-1,0)</f>
        <v>5</v>
      </c>
      <c r="J52" s="98">
        <v>0.68</v>
      </c>
      <c r="K52" s="99" t="s">
        <v>2041</v>
      </c>
      <c r="L52" s="98" t="s">
        <v>2035</v>
      </c>
      <c r="M52" t="str">
        <f t="shared" si="1"/>
        <v>非居室-小屋裏2</v>
      </c>
    </row>
    <row r="53" spans="1:13">
      <c r="A53" s="72" t="s">
        <v>122</v>
      </c>
      <c r="B53" s="79">
        <f t="shared" ca="1" si="2"/>
        <v>138</v>
      </c>
      <c r="C53" s="79">
        <f t="shared" ca="1" si="0"/>
        <v>139</v>
      </c>
      <c r="D53" s="75" t="s">
        <v>2222</v>
      </c>
      <c r="E53" s="75" t="s">
        <v>2222</v>
      </c>
      <c r="F53" s="75"/>
      <c r="G53" s="75"/>
      <c r="H53" s="79">
        <f ca="1">OFFSET(rooms!$B$2,MATCH(D53,rooms!$D$2:$D$19,0)-1,0)</f>
        <v>2</v>
      </c>
      <c r="I53" s="79">
        <f ca="1">OFFSET(rooms!$B$2,MATCH(E53,rooms!$D$2:$D$19,0)-1,0)</f>
        <v>2</v>
      </c>
      <c r="J53" s="98">
        <v>4.37</v>
      </c>
      <c r="K53" s="98" t="s">
        <v>2034</v>
      </c>
      <c r="L53" s="98" t="s">
        <v>2035</v>
      </c>
      <c r="M53" t="str">
        <f t="shared" si="1"/>
        <v>非居室-非居室</v>
      </c>
    </row>
    <row r="54" spans="1:13">
      <c r="A54" s="72" t="s">
        <v>123</v>
      </c>
      <c r="B54" s="79">
        <f t="shared" ca="1" si="2"/>
        <v>140</v>
      </c>
      <c r="C54" s="79">
        <f t="shared" ca="1" si="0"/>
        <v>141</v>
      </c>
      <c r="D54" s="75" t="s">
        <v>2222</v>
      </c>
      <c r="E54" s="75" t="s">
        <v>2222</v>
      </c>
      <c r="F54" s="75"/>
      <c r="G54" s="75"/>
      <c r="H54" s="79">
        <f ca="1">OFFSET(rooms!$B$2,MATCH(D54,rooms!$D$2:$D$19,0)-1,0)</f>
        <v>2</v>
      </c>
      <c r="I54" s="79">
        <f ca="1">OFFSET(rooms!$B$2,MATCH(E54,rooms!$D$2:$D$19,0)-1,0)</f>
        <v>2</v>
      </c>
      <c r="J54" s="98">
        <v>2.1800000000000002</v>
      </c>
      <c r="K54" s="98" t="s">
        <v>2034</v>
      </c>
      <c r="L54" s="98" t="s">
        <v>2035</v>
      </c>
      <c r="M54" t="str">
        <f t="shared" si="1"/>
        <v>非居室-非居室</v>
      </c>
    </row>
    <row r="55" spans="1:13">
      <c r="A55" s="72" t="s">
        <v>124</v>
      </c>
      <c r="B55" s="79">
        <f t="shared" ca="1" si="2"/>
        <v>142</v>
      </c>
      <c r="C55" s="79">
        <f t="shared" ca="1" si="0"/>
        <v>143</v>
      </c>
      <c r="D55" s="75" t="s">
        <v>2222</v>
      </c>
      <c r="E55" s="75" t="s">
        <v>2040</v>
      </c>
      <c r="F55" s="75"/>
      <c r="G55" s="75"/>
      <c r="H55" s="79">
        <f ca="1">OFFSET(rooms!$B$2,MATCH(D55,rooms!$D$2:$D$19,0)-1,0)</f>
        <v>2</v>
      </c>
      <c r="I55" s="79">
        <f ca="1">OFFSET(rooms!$B$2,MATCH(E55,rooms!$D$2:$D$19,0)-1,0)</f>
        <v>4</v>
      </c>
      <c r="J55" s="98">
        <v>1.66</v>
      </c>
      <c r="K55" s="98" t="s">
        <v>2039</v>
      </c>
      <c r="L55" s="98" t="s">
        <v>2059</v>
      </c>
      <c r="M55" t="str">
        <f t="shared" si="1"/>
        <v>非居室-小屋裏1</v>
      </c>
    </row>
    <row r="56" spans="1:13">
      <c r="A56" s="72" t="s">
        <v>125</v>
      </c>
      <c r="B56" s="79">
        <f t="shared" ca="1" si="2"/>
        <v>144</v>
      </c>
      <c r="C56" s="79">
        <f t="shared" ca="1" si="0"/>
        <v>145</v>
      </c>
      <c r="D56" s="75" t="s">
        <v>2222</v>
      </c>
      <c r="E56" s="75" t="s">
        <v>2038</v>
      </c>
      <c r="F56" s="75"/>
      <c r="G56" s="75"/>
      <c r="H56" s="79">
        <f ca="1">OFFSET(rooms!$B$2,MATCH(D56,rooms!$D$2:$D$19,0)-1,0)</f>
        <v>2</v>
      </c>
      <c r="I56" s="79">
        <f ca="1">OFFSET(rooms!$B$2,MATCH(E56,rooms!$D$2:$D$19,0)-1,0)</f>
        <v>5</v>
      </c>
      <c r="J56" s="98">
        <v>0.25</v>
      </c>
      <c r="K56" s="99" t="s">
        <v>2041</v>
      </c>
      <c r="L56" s="98" t="s">
        <v>2035</v>
      </c>
      <c r="M56" t="str">
        <f t="shared" si="1"/>
        <v>非居室-小屋裏2</v>
      </c>
    </row>
    <row r="57" spans="1:13">
      <c r="A57" s="72" t="s">
        <v>126</v>
      </c>
      <c r="B57" s="79">
        <f t="shared" ca="1" si="2"/>
        <v>146</v>
      </c>
      <c r="C57" s="79">
        <f t="shared" ca="1" si="0"/>
        <v>147</v>
      </c>
      <c r="D57" s="75" t="s">
        <v>2222</v>
      </c>
      <c r="E57" s="75" t="s">
        <v>2043</v>
      </c>
      <c r="F57" s="75"/>
      <c r="G57" s="75"/>
      <c r="H57" s="79">
        <f ca="1">OFFSET(rooms!$B$2,MATCH(D57,rooms!$D$2:$D$19,0)-1,0)</f>
        <v>2</v>
      </c>
      <c r="I57" s="79">
        <f ca="1">OFFSET(rooms!$B$2,MATCH(E57,rooms!$D$2:$D$19,0)-1,0)</f>
        <v>3</v>
      </c>
      <c r="J57" s="98">
        <v>1.66</v>
      </c>
      <c r="K57" s="98" t="s">
        <v>2037</v>
      </c>
      <c r="L57" s="98" t="s">
        <v>2058</v>
      </c>
      <c r="M57" t="str">
        <f t="shared" si="1"/>
        <v>非居室-階間(L4)</v>
      </c>
    </row>
    <row r="58" spans="1:13">
      <c r="A58" s="72" t="s">
        <v>2045</v>
      </c>
      <c r="B58" s="79">
        <f t="shared" ca="1" si="2"/>
        <v>148</v>
      </c>
      <c r="C58" s="79">
        <f t="shared" ca="1" si="0"/>
        <v>149</v>
      </c>
      <c r="D58" s="75" t="s">
        <v>2220</v>
      </c>
      <c r="E58" s="75" t="s">
        <v>2026</v>
      </c>
      <c r="F58" s="75"/>
      <c r="G58" s="75"/>
      <c r="H58" s="79">
        <f ca="1">OFFSET(rooms!$B$2,MATCH(D58,rooms!$D$2:$D$19,0)-1,0)</f>
        <v>0</v>
      </c>
      <c r="I58" s="79">
        <f ca="1">OFFSET(rooms!$B$2,MATCH(E58,rooms!$D$2:$D$19,0)-1,0)</f>
        <v>7</v>
      </c>
      <c r="J58" s="98">
        <v>8.2799999999999994</v>
      </c>
      <c r="K58" s="98" t="s">
        <v>2036</v>
      </c>
      <c r="L58" s="98" t="s">
        <v>2058</v>
      </c>
      <c r="M58" t="str">
        <f t="shared" si="1"/>
        <v>床下-主たる居室</v>
      </c>
    </row>
    <row r="59" spans="1:13">
      <c r="A59" s="72" t="s">
        <v>2046</v>
      </c>
      <c r="B59" s="79">
        <f t="shared" ca="1" si="2"/>
        <v>150</v>
      </c>
      <c r="C59" s="79">
        <f t="shared" ca="1" si="0"/>
        <v>151</v>
      </c>
      <c r="D59" s="75" t="s">
        <v>2222</v>
      </c>
      <c r="E59" s="75" t="s">
        <v>2026</v>
      </c>
      <c r="F59" s="75"/>
      <c r="G59" s="75"/>
      <c r="H59" s="79">
        <f ca="1">OFFSET(rooms!$B$2,MATCH(D59,rooms!$D$2:$D$19,0)-1,0)</f>
        <v>2</v>
      </c>
      <c r="I59" s="79">
        <f ca="1">OFFSET(rooms!$B$2,MATCH(E59,rooms!$D$2:$D$19,0)-1,0)</f>
        <v>7</v>
      </c>
      <c r="J59" s="98">
        <v>1.66</v>
      </c>
      <c r="K59" s="98" t="s">
        <v>2036</v>
      </c>
      <c r="L59" s="98" t="s">
        <v>2058</v>
      </c>
      <c r="M59" t="str">
        <f t="shared" si="1"/>
        <v>非居室-床下</v>
      </c>
    </row>
    <row r="60" spans="1:13">
      <c r="A60" s="72" t="s">
        <v>2047</v>
      </c>
      <c r="B60" s="79">
        <f t="shared" ca="1" si="2"/>
        <v>152</v>
      </c>
      <c r="C60" s="79">
        <f t="shared" ca="1" si="0"/>
        <v>153</v>
      </c>
      <c r="D60" s="75" t="s">
        <v>2222</v>
      </c>
      <c r="E60" s="75" t="s">
        <v>2026</v>
      </c>
      <c r="F60" s="75"/>
      <c r="G60" s="75"/>
      <c r="H60" s="79">
        <f ca="1">OFFSET(rooms!$B$2,MATCH(D60,rooms!$D$2:$D$19,0)-1,0)</f>
        <v>2</v>
      </c>
      <c r="I60" s="79">
        <f ca="1">OFFSET(rooms!$B$2,MATCH(E60,rooms!$D$2:$D$19,0)-1,0)</f>
        <v>7</v>
      </c>
      <c r="J60" s="98">
        <v>3.31</v>
      </c>
      <c r="K60" s="98" t="s">
        <v>2036</v>
      </c>
      <c r="L60" s="98" t="s">
        <v>2058</v>
      </c>
      <c r="M60" t="str">
        <f t="shared" si="1"/>
        <v>非居室-床下</v>
      </c>
    </row>
    <row r="61" spans="1:13">
      <c r="A61" s="72" t="s">
        <v>2048</v>
      </c>
      <c r="B61" s="79">
        <f t="shared" ca="1" si="2"/>
        <v>154</v>
      </c>
      <c r="C61" s="79">
        <f t="shared" ca="1" si="0"/>
        <v>155</v>
      </c>
      <c r="D61" s="75" t="s">
        <v>2222</v>
      </c>
      <c r="E61" s="75" t="s">
        <v>2026</v>
      </c>
      <c r="F61" s="75"/>
      <c r="G61" s="75"/>
      <c r="H61" s="79">
        <f ca="1">OFFSET(rooms!$B$2,MATCH(D61,rooms!$D$2:$D$19,0)-1,0)</f>
        <v>2</v>
      </c>
      <c r="I61" s="79">
        <f ca="1">OFFSET(rooms!$B$2,MATCH(E61,rooms!$D$2:$D$19,0)-1,0)</f>
        <v>7</v>
      </c>
      <c r="J61" s="98">
        <v>10.77</v>
      </c>
      <c r="K61" s="98" t="s">
        <v>2036</v>
      </c>
      <c r="L61" s="98" t="s">
        <v>2058</v>
      </c>
      <c r="M61" t="str">
        <f t="shared" si="1"/>
        <v>非居室-床下</v>
      </c>
    </row>
    <row r="62" spans="1:13">
      <c r="A62" s="72" t="s">
        <v>2049</v>
      </c>
      <c r="B62" s="79">
        <f t="shared" ca="1" si="2"/>
        <v>156</v>
      </c>
      <c r="C62" s="79">
        <f t="shared" ca="1" si="0"/>
        <v>157</v>
      </c>
      <c r="D62" s="75" t="s">
        <v>2222</v>
      </c>
      <c r="E62" s="75" t="s">
        <v>2026</v>
      </c>
      <c r="F62" s="75"/>
      <c r="G62" s="75"/>
      <c r="H62" s="79">
        <f ca="1">OFFSET(rooms!$B$2,MATCH(D62,rooms!$D$2:$D$19,0)-1,0)</f>
        <v>2</v>
      </c>
      <c r="I62" s="79">
        <f ca="1">OFFSET(rooms!$B$2,MATCH(E62,rooms!$D$2:$D$19,0)-1,0)</f>
        <v>7</v>
      </c>
      <c r="J62" s="98">
        <v>0.27</v>
      </c>
      <c r="K62" s="99" t="s">
        <v>2041</v>
      </c>
      <c r="L62" s="98" t="s">
        <v>2035</v>
      </c>
      <c r="M62" t="str">
        <f t="shared" si="1"/>
        <v>非居室-床下</v>
      </c>
    </row>
    <row r="63" spans="1:13">
      <c r="A63" s="72" t="s">
        <v>2050</v>
      </c>
      <c r="B63" s="79">
        <f t="shared" ca="1" si="2"/>
        <v>158</v>
      </c>
      <c r="C63" s="79">
        <f t="shared" ca="1" si="0"/>
        <v>159</v>
      </c>
      <c r="D63" s="75" t="s">
        <v>2222</v>
      </c>
      <c r="E63" s="75" t="s">
        <v>2026</v>
      </c>
      <c r="F63" s="75"/>
      <c r="G63" s="75"/>
      <c r="H63" s="79">
        <f ca="1">OFFSET(rooms!$B$2,MATCH(D63,rooms!$D$2:$D$19,0)-1,0)</f>
        <v>2</v>
      </c>
      <c r="I63" s="79">
        <f ca="1">OFFSET(rooms!$B$2,MATCH(E63,rooms!$D$2:$D$19,0)-1,0)</f>
        <v>7</v>
      </c>
      <c r="J63" s="98">
        <v>0.36</v>
      </c>
      <c r="K63" s="99" t="s">
        <v>2041</v>
      </c>
      <c r="L63" s="98" t="s">
        <v>2035</v>
      </c>
      <c r="M63" t="str">
        <f t="shared" si="1"/>
        <v>非居室-床下</v>
      </c>
    </row>
    <row r="64" spans="1:13">
      <c r="A64" s="72" t="s">
        <v>2051</v>
      </c>
      <c r="B64" s="79">
        <f t="shared" ca="1" si="2"/>
        <v>160</v>
      </c>
      <c r="C64" s="79">
        <f t="shared" ca="1" si="0"/>
        <v>161</v>
      </c>
      <c r="D64" s="75" t="s">
        <v>2222</v>
      </c>
      <c r="E64" s="75" t="s">
        <v>2026</v>
      </c>
      <c r="F64" s="75"/>
      <c r="G64" s="75"/>
      <c r="H64" s="79">
        <f ca="1">OFFSET(rooms!$B$2,MATCH(D64,rooms!$D$2:$D$19,0)-1,0)</f>
        <v>2</v>
      </c>
      <c r="I64" s="79">
        <f ca="1">OFFSET(rooms!$B$2,MATCH(E64,rooms!$D$2:$D$19,0)-1,0)</f>
        <v>7</v>
      </c>
      <c r="J64" s="98">
        <v>3.31</v>
      </c>
      <c r="K64" s="98" t="s">
        <v>2036</v>
      </c>
      <c r="L64" s="98" t="s">
        <v>2058</v>
      </c>
      <c r="M64" t="str">
        <f t="shared" si="1"/>
        <v>非居室-床下</v>
      </c>
    </row>
    <row r="65" spans="1:13">
      <c r="A65" s="72" t="s">
        <v>2052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/>
    </row>
    <row r="66" spans="1:13">
      <c r="A66" s="72" t="s">
        <v>2053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/>
    </row>
    <row r="67" spans="1:13">
      <c r="A67" s="72" t="s">
        <v>2054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/>
    </row>
    <row r="68" spans="1:13">
      <c r="A68" s="72" t="s">
        <v>2055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/>
    </row>
    <row r="69" spans="1:13">
      <c r="A69" s="72" t="s">
        <v>2056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/>
    </row>
    <row r="73" spans="1:13" hidden="1">
      <c r="A73" t="str">
        <f>IF(D73&gt;E73,D73,E73)&amp;"-"&amp;IF(D73&lt;E73,D73,E73)</f>
        <v>主たる居室-その他居室</v>
      </c>
      <c r="D73" s="74" t="s">
        <v>2220</v>
      </c>
      <c r="E73" s="74" t="s">
        <v>2231</v>
      </c>
      <c r="J73" s="74">
        <f>SUMIFS($J$2:$J$64,$M$2:$M$64,$A73,$L$2:$L$64,$L73)</f>
        <v>0</v>
      </c>
      <c r="L73" s="74" t="s">
        <v>2059</v>
      </c>
    </row>
    <row r="74" spans="1:13" hidden="1">
      <c r="A74" t="str">
        <f t="shared" ref="A74:A137" si="3">IF(D74&gt;E74,D74,E74)&amp;"-"&amp;IF(D74&lt;E74,D74,E74)</f>
        <v>主たる居室-その他居室</v>
      </c>
      <c r="D74" s="74" t="s">
        <v>2220</v>
      </c>
      <c r="E74" s="74" t="s">
        <v>2231</v>
      </c>
      <c r="J74" s="74">
        <f t="shared" ref="J74:J137" si="4">SUMIFS($J$2:$J$64,$M$2:$M$64,$A74,$L$2:$L$64,$L74)</f>
        <v>0</v>
      </c>
      <c r="L74" s="74" t="s">
        <v>2232</v>
      </c>
    </row>
    <row r="75" spans="1:13" hidden="1">
      <c r="A75" t="str">
        <f t="shared" si="3"/>
        <v>主たる居室-その他居室</v>
      </c>
      <c r="D75" s="74" t="s">
        <v>2220</v>
      </c>
      <c r="E75" s="74" t="s">
        <v>2231</v>
      </c>
      <c r="J75" s="74">
        <f t="shared" si="4"/>
        <v>0</v>
      </c>
      <c r="L75" s="74" t="s">
        <v>2035</v>
      </c>
    </row>
    <row r="76" spans="1:13" hidden="1">
      <c r="A76" t="str">
        <f t="shared" si="3"/>
        <v>非居室-主たる居室</v>
      </c>
      <c r="D76" s="74" t="s">
        <v>2220</v>
      </c>
      <c r="E76" s="74" t="s">
        <v>2222</v>
      </c>
      <c r="J76" s="74">
        <f t="shared" si="4"/>
        <v>0</v>
      </c>
      <c r="L76" s="74" t="s">
        <v>2059</v>
      </c>
    </row>
    <row r="77" spans="1:13" hidden="1">
      <c r="A77" t="str">
        <f t="shared" si="3"/>
        <v>非居室-主たる居室</v>
      </c>
      <c r="D77" s="74" t="s">
        <v>2220</v>
      </c>
      <c r="E77" s="74" t="s">
        <v>2222</v>
      </c>
      <c r="J77" s="74">
        <f t="shared" si="4"/>
        <v>0</v>
      </c>
      <c r="L77" s="74" t="s">
        <v>2232</v>
      </c>
    </row>
    <row r="78" spans="1:13">
      <c r="A78" t="str">
        <f t="shared" si="3"/>
        <v>非居室-主たる居室</v>
      </c>
      <c r="D78" s="74" t="s">
        <v>2220</v>
      </c>
      <c r="E78" s="74" t="s">
        <v>2222</v>
      </c>
      <c r="J78" s="74">
        <f t="shared" si="4"/>
        <v>25.84</v>
      </c>
      <c r="K78" s="74" t="s">
        <v>2233</v>
      </c>
      <c r="L78" s="74" t="s">
        <v>2035</v>
      </c>
    </row>
    <row r="79" spans="1:13" hidden="1">
      <c r="A79" t="str">
        <f t="shared" si="3"/>
        <v>床下-主たる居室</v>
      </c>
      <c r="D79" s="74" t="s">
        <v>2220</v>
      </c>
      <c r="E79" s="74" t="s">
        <v>2026</v>
      </c>
      <c r="J79" s="74">
        <f t="shared" si="4"/>
        <v>0</v>
      </c>
      <c r="L79" s="74" t="s">
        <v>2059</v>
      </c>
    </row>
    <row r="80" spans="1:13">
      <c r="A80" t="str">
        <f t="shared" si="3"/>
        <v>床下-主たる居室</v>
      </c>
      <c r="D80" s="74" t="s">
        <v>2220</v>
      </c>
      <c r="E80" s="74" t="s">
        <v>2026</v>
      </c>
      <c r="J80" s="74">
        <f t="shared" si="4"/>
        <v>29.810000000000002</v>
      </c>
      <c r="K80" s="74" t="s">
        <v>2036</v>
      </c>
      <c r="L80" s="74" t="s">
        <v>2232</v>
      </c>
    </row>
    <row r="81" spans="1:12" hidden="1">
      <c r="A81" t="str">
        <f t="shared" si="3"/>
        <v>床下-主たる居室</v>
      </c>
      <c r="D81" s="74" t="s">
        <v>2220</v>
      </c>
      <c r="E81" s="74" t="s">
        <v>2026</v>
      </c>
      <c r="J81" s="74">
        <f t="shared" si="4"/>
        <v>0</v>
      </c>
      <c r="L81" s="74" t="s">
        <v>2035</v>
      </c>
    </row>
    <row r="82" spans="1:12" hidden="1">
      <c r="A82" t="str">
        <f t="shared" si="3"/>
        <v>小屋裏1-主たる居室</v>
      </c>
      <c r="D82" s="74" t="s">
        <v>2220</v>
      </c>
      <c r="E82" s="74" t="s">
        <v>2040</v>
      </c>
      <c r="J82" s="74">
        <f t="shared" si="4"/>
        <v>0</v>
      </c>
      <c r="L82" s="74" t="s">
        <v>2059</v>
      </c>
    </row>
    <row r="83" spans="1:12" hidden="1">
      <c r="A83" t="str">
        <f t="shared" si="3"/>
        <v>小屋裏1-主たる居室</v>
      </c>
      <c r="D83" s="74" t="s">
        <v>2220</v>
      </c>
      <c r="E83" s="74" t="s">
        <v>2040</v>
      </c>
      <c r="J83" s="74">
        <f t="shared" si="4"/>
        <v>0</v>
      </c>
      <c r="L83" s="74" t="s">
        <v>2232</v>
      </c>
    </row>
    <row r="84" spans="1:12" hidden="1">
      <c r="A84" t="str">
        <f t="shared" si="3"/>
        <v>小屋裏1-主たる居室</v>
      </c>
      <c r="D84" s="74" t="s">
        <v>2220</v>
      </c>
      <c r="E84" s="74" t="s">
        <v>2040</v>
      </c>
      <c r="J84" s="74">
        <f t="shared" si="4"/>
        <v>0</v>
      </c>
      <c r="L84" s="74" t="s">
        <v>2035</v>
      </c>
    </row>
    <row r="85" spans="1:12">
      <c r="A85" t="str">
        <f t="shared" si="3"/>
        <v>小屋裏2-主たる居室</v>
      </c>
      <c r="D85" s="74" t="s">
        <v>2220</v>
      </c>
      <c r="E85" s="74" t="s">
        <v>2038</v>
      </c>
      <c r="J85" s="74">
        <f t="shared" si="4"/>
        <v>4.1399999999999997</v>
      </c>
      <c r="K85" s="74" t="s">
        <v>2039</v>
      </c>
      <c r="L85" s="74" t="s">
        <v>2059</v>
      </c>
    </row>
    <row r="86" spans="1:12" hidden="1">
      <c r="A86" t="str">
        <f t="shared" si="3"/>
        <v>小屋裏2-主たる居室</v>
      </c>
      <c r="D86" s="74" t="s">
        <v>2220</v>
      </c>
      <c r="E86" s="74" t="s">
        <v>2038</v>
      </c>
      <c r="J86" s="74">
        <f t="shared" si="4"/>
        <v>0</v>
      </c>
      <c r="L86" s="74" t="s">
        <v>2232</v>
      </c>
    </row>
    <row r="87" spans="1:12">
      <c r="A87" t="str">
        <f t="shared" si="3"/>
        <v>小屋裏2-主たる居室</v>
      </c>
      <c r="D87" s="74" t="s">
        <v>2220</v>
      </c>
      <c r="E87" s="74" t="s">
        <v>2038</v>
      </c>
      <c r="J87" s="74">
        <f t="shared" si="4"/>
        <v>0.34</v>
      </c>
      <c r="K87" s="74" t="s">
        <v>2041</v>
      </c>
      <c r="L87" s="74" t="s">
        <v>2035</v>
      </c>
    </row>
    <row r="88" spans="1:12" hidden="1">
      <c r="A88" t="str">
        <f t="shared" si="3"/>
        <v>小屋裏3-主たる居室</v>
      </c>
      <c r="D88" s="74" t="s">
        <v>2220</v>
      </c>
      <c r="E88" s="74" t="s">
        <v>2042</v>
      </c>
      <c r="J88" s="74">
        <f t="shared" si="4"/>
        <v>0</v>
      </c>
      <c r="L88" s="74" t="s">
        <v>2059</v>
      </c>
    </row>
    <row r="89" spans="1:12" hidden="1">
      <c r="A89" t="str">
        <f t="shared" si="3"/>
        <v>小屋裏3-主たる居室</v>
      </c>
      <c r="D89" s="74" t="s">
        <v>2220</v>
      </c>
      <c r="E89" s="74" t="s">
        <v>2042</v>
      </c>
      <c r="J89" s="74">
        <f t="shared" si="4"/>
        <v>0</v>
      </c>
      <c r="L89" s="74" t="s">
        <v>2232</v>
      </c>
    </row>
    <row r="90" spans="1:12" hidden="1">
      <c r="A90" t="str">
        <f t="shared" si="3"/>
        <v>小屋裏3-主たる居室</v>
      </c>
      <c r="D90" s="74" t="s">
        <v>2220</v>
      </c>
      <c r="E90" s="74" t="s">
        <v>2042</v>
      </c>
      <c r="J90" s="74">
        <f t="shared" si="4"/>
        <v>0</v>
      </c>
      <c r="L90" s="74" t="s">
        <v>2035</v>
      </c>
    </row>
    <row r="91" spans="1:12" hidden="1">
      <c r="A91" t="str">
        <f t="shared" si="3"/>
        <v>主たる居室-階間(L4)</v>
      </c>
      <c r="D91" s="74" t="s">
        <v>2220</v>
      </c>
      <c r="E91" s="74" t="s">
        <v>2043</v>
      </c>
      <c r="J91" s="74">
        <f t="shared" si="4"/>
        <v>0</v>
      </c>
      <c r="L91" s="74" t="s">
        <v>2059</v>
      </c>
    </row>
    <row r="92" spans="1:12">
      <c r="A92" t="str">
        <f t="shared" si="3"/>
        <v>主たる居室-階間(L4)</v>
      </c>
      <c r="D92" s="74" t="s">
        <v>2043</v>
      </c>
      <c r="E92" s="74" t="s">
        <v>2220</v>
      </c>
      <c r="J92" s="74">
        <f t="shared" si="4"/>
        <v>25.67</v>
      </c>
      <c r="K92" s="74" t="s">
        <v>2044</v>
      </c>
      <c r="L92" s="74" t="s">
        <v>2232</v>
      </c>
    </row>
    <row r="93" spans="1:12" hidden="1">
      <c r="A93" t="str">
        <f t="shared" si="3"/>
        <v>主たる居室-階間(L4)</v>
      </c>
      <c r="D93" s="74" t="s">
        <v>2220</v>
      </c>
      <c r="E93" s="74" t="s">
        <v>2043</v>
      </c>
      <c r="J93" s="74">
        <f t="shared" si="4"/>
        <v>0</v>
      </c>
      <c r="L93" s="74" t="s">
        <v>2035</v>
      </c>
    </row>
    <row r="94" spans="1:12" hidden="1">
      <c r="A94" t="str">
        <f t="shared" si="3"/>
        <v>非居室-その他居室</v>
      </c>
      <c r="D94" s="74" t="s">
        <v>2221</v>
      </c>
      <c r="E94" s="74" t="s">
        <v>2222</v>
      </c>
      <c r="J94" s="74">
        <f t="shared" si="4"/>
        <v>0</v>
      </c>
      <c r="L94" s="74" t="s">
        <v>2059</v>
      </c>
    </row>
    <row r="95" spans="1:12" hidden="1">
      <c r="A95" t="str">
        <f t="shared" si="3"/>
        <v>非居室-その他居室</v>
      </c>
      <c r="D95" s="74" t="s">
        <v>2221</v>
      </c>
      <c r="E95" s="74" t="s">
        <v>2222</v>
      </c>
      <c r="J95" s="74">
        <f t="shared" si="4"/>
        <v>0</v>
      </c>
      <c r="L95" s="74" t="s">
        <v>2232</v>
      </c>
    </row>
    <row r="96" spans="1:12">
      <c r="A96" t="str">
        <f t="shared" si="3"/>
        <v>非居室-その他居室</v>
      </c>
      <c r="D96" s="74" t="s">
        <v>2221</v>
      </c>
      <c r="E96" s="74" t="s">
        <v>2222</v>
      </c>
      <c r="J96" s="74">
        <f t="shared" si="4"/>
        <v>22.92</v>
      </c>
      <c r="K96" s="74" t="s">
        <v>2233</v>
      </c>
      <c r="L96" s="74" t="s">
        <v>2035</v>
      </c>
    </row>
    <row r="97" spans="1:12" hidden="1">
      <c r="A97" t="str">
        <f t="shared" si="3"/>
        <v>床下-その他居室</v>
      </c>
      <c r="D97" s="74" t="s">
        <v>2221</v>
      </c>
      <c r="E97" s="74" t="s">
        <v>2026</v>
      </c>
      <c r="J97" s="74">
        <f t="shared" si="4"/>
        <v>0</v>
      </c>
      <c r="L97" s="74" t="s">
        <v>2059</v>
      </c>
    </row>
    <row r="98" spans="1:12" hidden="1">
      <c r="A98" t="str">
        <f t="shared" si="3"/>
        <v>床下-その他居室</v>
      </c>
      <c r="D98" s="74" t="s">
        <v>2221</v>
      </c>
      <c r="E98" s="74" t="s">
        <v>2026</v>
      </c>
      <c r="J98" s="74">
        <f t="shared" si="4"/>
        <v>0</v>
      </c>
      <c r="L98" s="74" t="s">
        <v>2232</v>
      </c>
    </row>
    <row r="99" spans="1:12" hidden="1">
      <c r="A99" t="str">
        <f t="shared" si="3"/>
        <v>床下-その他居室</v>
      </c>
      <c r="D99" s="74" t="s">
        <v>2221</v>
      </c>
      <c r="E99" s="74" t="s">
        <v>2026</v>
      </c>
      <c r="J99" s="74">
        <f t="shared" si="4"/>
        <v>0</v>
      </c>
      <c r="L99" s="74" t="s">
        <v>2035</v>
      </c>
    </row>
    <row r="100" spans="1:12">
      <c r="A100" t="str">
        <f t="shared" si="3"/>
        <v>小屋裏1-その他居室</v>
      </c>
      <c r="D100" s="74" t="s">
        <v>2221</v>
      </c>
      <c r="E100" s="74" t="s">
        <v>2040</v>
      </c>
      <c r="J100" s="74">
        <f t="shared" si="4"/>
        <v>34.78</v>
      </c>
      <c r="K100" s="74" t="s">
        <v>2039</v>
      </c>
      <c r="L100" s="74" t="s">
        <v>2059</v>
      </c>
    </row>
    <row r="101" spans="1:12" hidden="1">
      <c r="A101" t="str">
        <f t="shared" si="3"/>
        <v>小屋裏1-その他居室</v>
      </c>
      <c r="D101" s="74" t="s">
        <v>2221</v>
      </c>
      <c r="E101" s="74" t="s">
        <v>2040</v>
      </c>
      <c r="J101" s="74">
        <f t="shared" si="4"/>
        <v>0</v>
      </c>
      <c r="L101" s="74" t="s">
        <v>2232</v>
      </c>
    </row>
    <row r="102" spans="1:12" hidden="1">
      <c r="A102" t="str">
        <f t="shared" si="3"/>
        <v>小屋裏1-その他居室</v>
      </c>
      <c r="D102" s="74" t="s">
        <v>2221</v>
      </c>
      <c r="E102" s="74" t="s">
        <v>2040</v>
      </c>
      <c r="J102" s="74">
        <f t="shared" si="4"/>
        <v>0</v>
      </c>
      <c r="L102" s="74" t="s">
        <v>2035</v>
      </c>
    </row>
    <row r="103" spans="1:12" hidden="1">
      <c r="A103" t="str">
        <f t="shared" si="3"/>
        <v>小屋裏2-その他居室</v>
      </c>
      <c r="D103" s="74" t="s">
        <v>2221</v>
      </c>
      <c r="E103" s="74" t="s">
        <v>2038</v>
      </c>
      <c r="J103" s="74">
        <f t="shared" si="4"/>
        <v>0</v>
      </c>
      <c r="L103" s="74" t="s">
        <v>2059</v>
      </c>
    </row>
    <row r="104" spans="1:12" hidden="1">
      <c r="A104" t="str">
        <f t="shared" si="3"/>
        <v>小屋裏2-その他居室</v>
      </c>
      <c r="D104" s="74" t="s">
        <v>2221</v>
      </c>
      <c r="E104" s="74" t="s">
        <v>2038</v>
      </c>
      <c r="J104" s="74">
        <f t="shared" si="4"/>
        <v>0</v>
      </c>
      <c r="L104" s="74" t="s">
        <v>2232</v>
      </c>
    </row>
    <row r="105" spans="1:12" hidden="1">
      <c r="A105" t="str">
        <f t="shared" si="3"/>
        <v>小屋裏2-その他居室</v>
      </c>
      <c r="D105" s="74" t="s">
        <v>2221</v>
      </c>
      <c r="E105" s="74" t="s">
        <v>2038</v>
      </c>
      <c r="J105" s="74">
        <f t="shared" si="4"/>
        <v>0</v>
      </c>
      <c r="L105" s="74" t="s">
        <v>2035</v>
      </c>
    </row>
    <row r="106" spans="1:12" hidden="1">
      <c r="A106" t="str">
        <f t="shared" si="3"/>
        <v>小屋裏3-その他居室</v>
      </c>
      <c r="D106" s="74" t="s">
        <v>2221</v>
      </c>
      <c r="E106" s="74" t="s">
        <v>2042</v>
      </c>
      <c r="J106" s="74">
        <f t="shared" si="4"/>
        <v>0</v>
      </c>
      <c r="L106" s="74" t="s">
        <v>2059</v>
      </c>
    </row>
    <row r="107" spans="1:12" hidden="1">
      <c r="A107" t="str">
        <f t="shared" si="3"/>
        <v>小屋裏3-その他居室</v>
      </c>
      <c r="D107" s="74" t="s">
        <v>2221</v>
      </c>
      <c r="E107" s="74" t="s">
        <v>2042</v>
      </c>
      <c r="J107" s="74">
        <f t="shared" si="4"/>
        <v>0</v>
      </c>
      <c r="L107" s="74" t="s">
        <v>2232</v>
      </c>
    </row>
    <row r="108" spans="1:12" hidden="1">
      <c r="A108" t="str">
        <f t="shared" si="3"/>
        <v>小屋裏3-その他居室</v>
      </c>
      <c r="D108" s="74" t="s">
        <v>2221</v>
      </c>
      <c r="E108" s="74" t="s">
        <v>2042</v>
      </c>
      <c r="J108" s="74">
        <f t="shared" si="4"/>
        <v>0</v>
      </c>
      <c r="L108" s="74" t="s">
        <v>2035</v>
      </c>
    </row>
    <row r="109" spans="1:12" hidden="1">
      <c r="A109" t="str">
        <f t="shared" si="3"/>
        <v>階間(L4)-その他居室</v>
      </c>
      <c r="D109" s="74" t="s">
        <v>2221</v>
      </c>
      <c r="E109" s="74" t="s">
        <v>2043</v>
      </c>
      <c r="J109" s="74">
        <f t="shared" si="4"/>
        <v>0</v>
      </c>
      <c r="L109" s="74" t="s">
        <v>2059</v>
      </c>
    </row>
    <row r="110" spans="1:12">
      <c r="A110" t="str">
        <f t="shared" si="3"/>
        <v>階間(L4)-その他居室</v>
      </c>
      <c r="D110" s="74" t="s">
        <v>2221</v>
      </c>
      <c r="E110" s="74" t="s">
        <v>2043</v>
      </c>
      <c r="J110" s="74">
        <f t="shared" si="4"/>
        <v>34.78</v>
      </c>
      <c r="K110" s="74" t="s">
        <v>2235</v>
      </c>
      <c r="L110" s="74" t="s">
        <v>2232</v>
      </c>
    </row>
    <row r="111" spans="1:12" hidden="1">
      <c r="A111" t="str">
        <f t="shared" si="3"/>
        <v>階間(L4)-その他居室</v>
      </c>
      <c r="D111" s="74" t="s">
        <v>2221</v>
      </c>
      <c r="E111" s="74" t="s">
        <v>2043</v>
      </c>
      <c r="J111" s="74">
        <f t="shared" si="4"/>
        <v>0</v>
      </c>
      <c r="L111" s="74" t="s">
        <v>2035</v>
      </c>
    </row>
    <row r="112" spans="1:12" hidden="1">
      <c r="A112" t="str">
        <f t="shared" si="3"/>
        <v>非居室-床下</v>
      </c>
      <c r="D112" s="74" t="s">
        <v>2222</v>
      </c>
      <c r="E112" s="74" t="s">
        <v>2026</v>
      </c>
      <c r="J112" s="74">
        <f t="shared" si="4"/>
        <v>0</v>
      </c>
      <c r="L112" s="74" t="s">
        <v>2059</v>
      </c>
    </row>
    <row r="113" spans="1:12">
      <c r="A113" t="str">
        <f t="shared" si="3"/>
        <v>非居室-床下</v>
      </c>
      <c r="D113" s="74" t="s">
        <v>2222</v>
      </c>
      <c r="E113" s="74" t="s">
        <v>2026</v>
      </c>
      <c r="J113" s="74">
        <f t="shared" si="4"/>
        <v>35.61</v>
      </c>
      <c r="K113" s="74" t="s">
        <v>2036</v>
      </c>
      <c r="L113" s="74" t="s">
        <v>2232</v>
      </c>
    </row>
    <row r="114" spans="1:12">
      <c r="A114" t="str">
        <f t="shared" si="3"/>
        <v>非居室-床下</v>
      </c>
      <c r="D114" s="74" t="s">
        <v>2222</v>
      </c>
      <c r="E114" s="74" t="s">
        <v>2026</v>
      </c>
      <c r="J114" s="74">
        <f t="shared" si="4"/>
        <v>0.63</v>
      </c>
      <c r="K114" s="74" t="s">
        <v>2041</v>
      </c>
      <c r="L114" s="74" t="s">
        <v>2035</v>
      </c>
    </row>
    <row r="115" spans="1:12">
      <c r="A115" t="str">
        <f t="shared" si="3"/>
        <v>非居室-小屋裏1</v>
      </c>
      <c r="D115" s="74" t="s">
        <v>2222</v>
      </c>
      <c r="E115" s="74" t="s">
        <v>2040</v>
      </c>
      <c r="J115" s="74">
        <f t="shared" si="4"/>
        <v>17.399999999999999</v>
      </c>
      <c r="K115" s="74" t="s">
        <v>2039</v>
      </c>
      <c r="L115" s="74" t="s">
        <v>2059</v>
      </c>
    </row>
    <row r="116" spans="1:12" hidden="1">
      <c r="A116" t="str">
        <f t="shared" si="3"/>
        <v>非居室-小屋裏1</v>
      </c>
      <c r="D116" s="74" t="s">
        <v>2222</v>
      </c>
      <c r="E116" s="74" t="s">
        <v>2040</v>
      </c>
      <c r="J116" s="74">
        <f t="shared" si="4"/>
        <v>0</v>
      </c>
      <c r="L116" s="74" t="s">
        <v>2232</v>
      </c>
    </row>
    <row r="117" spans="1:12">
      <c r="A117" t="str">
        <f t="shared" si="3"/>
        <v>非居室-小屋裏1</v>
      </c>
      <c r="D117" s="74" t="s">
        <v>2222</v>
      </c>
      <c r="E117" s="74" t="s">
        <v>2040</v>
      </c>
      <c r="J117" s="74">
        <f t="shared" si="4"/>
        <v>2.2800000000000002</v>
      </c>
      <c r="K117" s="74" t="s">
        <v>2041</v>
      </c>
      <c r="L117" s="74" t="s">
        <v>2035</v>
      </c>
    </row>
    <row r="118" spans="1:12">
      <c r="A118" t="str">
        <f t="shared" si="3"/>
        <v>非居室-小屋裏2</v>
      </c>
      <c r="D118" s="74" t="s">
        <v>2222</v>
      </c>
      <c r="E118" s="74" t="s">
        <v>2038</v>
      </c>
      <c r="J118" s="74">
        <f t="shared" si="4"/>
        <v>8.2799999999999994</v>
      </c>
      <c r="K118" s="74" t="s">
        <v>2039</v>
      </c>
      <c r="L118" s="74" t="s">
        <v>2059</v>
      </c>
    </row>
    <row r="119" spans="1:12" hidden="1">
      <c r="A119" t="str">
        <f t="shared" si="3"/>
        <v>非居室-小屋裏2</v>
      </c>
      <c r="D119" s="74" t="s">
        <v>2222</v>
      </c>
      <c r="E119" s="74" t="s">
        <v>2038</v>
      </c>
      <c r="J119" s="74">
        <f t="shared" si="4"/>
        <v>0</v>
      </c>
      <c r="L119" s="74" t="s">
        <v>2232</v>
      </c>
    </row>
    <row r="120" spans="1:12">
      <c r="A120" t="str">
        <f t="shared" si="3"/>
        <v>非居室-小屋裏2</v>
      </c>
      <c r="D120" s="74" t="s">
        <v>2222</v>
      </c>
      <c r="E120" s="74" t="s">
        <v>2038</v>
      </c>
      <c r="J120" s="74">
        <f t="shared" si="4"/>
        <v>0.93</v>
      </c>
      <c r="K120" s="74" t="s">
        <v>2041</v>
      </c>
      <c r="L120" s="74" t="s">
        <v>2035</v>
      </c>
    </row>
    <row r="121" spans="1:12">
      <c r="A121" t="str">
        <f t="shared" si="3"/>
        <v>非居室-小屋裏3</v>
      </c>
      <c r="D121" s="74" t="s">
        <v>2222</v>
      </c>
      <c r="E121" s="74" t="s">
        <v>2042</v>
      </c>
      <c r="J121" s="74">
        <f t="shared" si="4"/>
        <v>3.31</v>
      </c>
      <c r="K121" s="74" t="s">
        <v>2039</v>
      </c>
      <c r="L121" s="74" t="s">
        <v>2059</v>
      </c>
    </row>
    <row r="122" spans="1:12" hidden="1">
      <c r="A122" t="str">
        <f t="shared" si="3"/>
        <v>非居室-小屋裏3</v>
      </c>
      <c r="D122" s="74" t="s">
        <v>2222</v>
      </c>
      <c r="E122" s="74" t="s">
        <v>2042</v>
      </c>
      <c r="J122" s="74">
        <f t="shared" si="4"/>
        <v>0</v>
      </c>
      <c r="L122" s="74" t="s">
        <v>2232</v>
      </c>
    </row>
    <row r="123" spans="1:12" hidden="1">
      <c r="A123" t="str">
        <f t="shared" si="3"/>
        <v>非居室-小屋裏3</v>
      </c>
      <c r="D123" s="74" t="s">
        <v>2222</v>
      </c>
      <c r="E123" s="74" t="s">
        <v>2042</v>
      </c>
      <c r="J123" s="74">
        <f t="shared" si="4"/>
        <v>0</v>
      </c>
      <c r="L123" s="74" t="s">
        <v>2035</v>
      </c>
    </row>
    <row r="124" spans="1:12" hidden="1">
      <c r="A124" t="str">
        <f t="shared" si="3"/>
        <v>非居室-階間(L4)</v>
      </c>
      <c r="D124" s="74" t="s">
        <v>2222</v>
      </c>
      <c r="E124" s="74" t="s">
        <v>2043</v>
      </c>
      <c r="J124" s="74">
        <f t="shared" si="4"/>
        <v>0</v>
      </c>
      <c r="L124" s="74" t="s">
        <v>2059</v>
      </c>
    </row>
    <row r="125" spans="1:12">
      <c r="A125" t="str">
        <f t="shared" si="3"/>
        <v>非居室-階間(L4)</v>
      </c>
      <c r="D125" s="74" t="s">
        <v>2043</v>
      </c>
      <c r="E125" s="74" t="s">
        <v>2222</v>
      </c>
      <c r="J125" s="74">
        <f t="shared" si="4"/>
        <v>38.099999999999994</v>
      </c>
      <c r="K125" s="74" t="s">
        <v>2044</v>
      </c>
      <c r="L125" s="74" t="s">
        <v>2232</v>
      </c>
    </row>
    <row r="126" spans="1:12">
      <c r="A126" t="str">
        <f t="shared" si="3"/>
        <v>非居室-階間(L4)</v>
      </c>
      <c r="D126" s="74" t="s">
        <v>2222</v>
      </c>
      <c r="E126" s="74" t="s">
        <v>2043</v>
      </c>
      <c r="J126" s="74">
        <f t="shared" si="4"/>
        <v>2.5100000000000002</v>
      </c>
      <c r="K126" s="74" t="s">
        <v>2233</v>
      </c>
      <c r="L126" s="74" t="s">
        <v>2035</v>
      </c>
    </row>
    <row r="127" spans="1:12" hidden="1">
      <c r="A127" t="str">
        <f t="shared" si="3"/>
        <v>床下-小屋裏1</v>
      </c>
      <c r="D127" s="74" t="s">
        <v>2026</v>
      </c>
      <c r="E127" s="74" t="s">
        <v>2040</v>
      </c>
      <c r="J127" s="74">
        <f t="shared" si="4"/>
        <v>0</v>
      </c>
      <c r="L127" s="74" t="s">
        <v>2059</v>
      </c>
    </row>
    <row r="128" spans="1:12" hidden="1">
      <c r="A128" t="str">
        <f t="shared" si="3"/>
        <v>床下-小屋裏1</v>
      </c>
      <c r="D128" s="74" t="s">
        <v>2026</v>
      </c>
      <c r="E128" s="74" t="s">
        <v>2040</v>
      </c>
      <c r="J128" s="74">
        <f t="shared" si="4"/>
        <v>0</v>
      </c>
      <c r="L128" s="74" t="s">
        <v>2232</v>
      </c>
    </row>
    <row r="129" spans="1:12" hidden="1">
      <c r="A129" t="str">
        <f t="shared" si="3"/>
        <v>床下-小屋裏1</v>
      </c>
      <c r="D129" s="74" t="s">
        <v>2026</v>
      </c>
      <c r="E129" s="74" t="s">
        <v>2040</v>
      </c>
      <c r="J129" s="74">
        <f t="shared" si="4"/>
        <v>0</v>
      </c>
      <c r="L129" s="74" t="s">
        <v>2035</v>
      </c>
    </row>
    <row r="130" spans="1:12" hidden="1">
      <c r="A130" t="str">
        <f t="shared" si="3"/>
        <v>床下-小屋裏2</v>
      </c>
      <c r="D130" s="74" t="s">
        <v>2026</v>
      </c>
      <c r="E130" s="74" t="s">
        <v>2038</v>
      </c>
      <c r="J130" s="74">
        <f t="shared" si="4"/>
        <v>0</v>
      </c>
      <c r="L130" s="74" t="s">
        <v>2059</v>
      </c>
    </row>
    <row r="131" spans="1:12" hidden="1">
      <c r="A131" t="str">
        <f t="shared" si="3"/>
        <v>床下-小屋裏2</v>
      </c>
      <c r="D131" s="74" t="s">
        <v>2026</v>
      </c>
      <c r="E131" s="74" t="s">
        <v>2038</v>
      </c>
      <c r="J131" s="74">
        <f t="shared" si="4"/>
        <v>0</v>
      </c>
      <c r="L131" s="74" t="s">
        <v>2232</v>
      </c>
    </row>
    <row r="132" spans="1:12" hidden="1">
      <c r="A132" t="str">
        <f t="shared" si="3"/>
        <v>床下-小屋裏2</v>
      </c>
      <c r="D132" s="74" t="s">
        <v>2026</v>
      </c>
      <c r="E132" s="74" t="s">
        <v>2038</v>
      </c>
      <c r="J132" s="74">
        <f t="shared" si="4"/>
        <v>0</v>
      </c>
      <c r="L132" s="74" t="s">
        <v>2035</v>
      </c>
    </row>
    <row r="133" spans="1:12" hidden="1">
      <c r="A133" t="str">
        <f t="shared" si="3"/>
        <v>床下-小屋裏3</v>
      </c>
      <c r="D133" s="74" t="s">
        <v>2026</v>
      </c>
      <c r="E133" s="74" t="s">
        <v>2042</v>
      </c>
      <c r="J133" s="74">
        <f t="shared" si="4"/>
        <v>0</v>
      </c>
      <c r="L133" s="74" t="s">
        <v>2059</v>
      </c>
    </row>
    <row r="134" spans="1:12" hidden="1">
      <c r="A134" t="str">
        <f t="shared" si="3"/>
        <v>床下-小屋裏3</v>
      </c>
      <c r="D134" s="74" t="s">
        <v>2026</v>
      </c>
      <c r="E134" s="74" t="s">
        <v>2042</v>
      </c>
      <c r="J134" s="74">
        <f t="shared" si="4"/>
        <v>0</v>
      </c>
      <c r="L134" s="74" t="s">
        <v>2232</v>
      </c>
    </row>
    <row r="135" spans="1:12" hidden="1">
      <c r="A135" t="str">
        <f t="shared" si="3"/>
        <v>床下-小屋裏3</v>
      </c>
      <c r="D135" s="74" t="s">
        <v>2026</v>
      </c>
      <c r="E135" s="74" t="s">
        <v>2042</v>
      </c>
      <c r="J135" s="74">
        <f t="shared" si="4"/>
        <v>0</v>
      </c>
      <c r="L135" s="74" t="s">
        <v>2035</v>
      </c>
    </row>
    <row r="136" spans="1:12" hidden="1">
      <c r="A136" t="str">
        <f t="shared" si="3"/>
        <v>床下-階間(L4)</v>
      </c>
      <c r="D136" s="74" t="s">
        <v>2026</v>
      </c>
      <c r="E136" s="74" t="s">
        <v>2043</v>
      </c>
      <c r="J136" s="74">
        <f t="shared" si="4"/>
        <v>0</v>
      </c>
      <c r="L136" s="74" t="s">
        <v>2059</v>
      </c>
    </row>
    <row r="137" spans="1:12" hidden="1">
      <c r="A137" t="str">
        <f t="shared" si="3"/>
        <v>床下-階間(L4)</v>
      </c>
      <c r="D137" s="74" t="s">
        <v>2026</v>
      </c>
      <c r="E137" s="74" t="s">
        <v>2043</v>
      </c>
      <c r="J137" s="74">
        <f t="shared" si="4"/>
        <v>0</v>
      </c>
      <c r="L137" s="74" t="s">
        <v>2232</v>
      </c>
    </row>
    <row r="138" spans="1:12" hidden="1">
      <c r="A138" t="str">
        <f t="shared" ref="A138:A156" si="5">IF(D138&gt;E138,D138,E138)&amp;"-"&amp;IF(D138&lt;E138,D138,E138)</f>
        <v>床下-階間(L4)</v>
      </c>
      <c r="D138" s="74" t="s">
        <v>2026</v>
      </c>
      <c r="E138" s="74" t="s">
        <v>2043</v>
      </c>
      <c r="J138" s="74">
        <f t="shared" ref="J138:J156" si="6">SUMIFS($J$2:$J$64,$M$2:$M$64,$A138,$L$2:$L$64,$L138)</f>
        <v>0</v>
      </c>
      <c r="L138" s="74" t="s">
        <v>2035</v>
      </c>
    </row>
    <row r="139" spans="1:12" hidden="1">
      <c r="A139" t="str">
        <f t="shared" si="5"/>
        <v>小屋裏2-小屋裏1</v>
      </c>
      <c r="D139" s="74" t="s">
        <v>2040</v>
      </c>
      <c r="E139" s="74" t="s">
        <v>2038</v>
      </c>
      <c r="J139" s="74">
        <f t="shared" si="6"/>
        <v>0</v>
      </c>
      <c r="L139" s="74" t="s">
        <v>2059</v>
      </c>
    </row>
    <row r="140" spans="1:12" hidden="1">
      <c r="A140" t="str">
        <f t="shared" si="5"/>
        <v>小屋裏2-小屋裏1</v>
      </c>
      <c r="D140" s="74" t="s">
        <v>2040</v>
      </c>
      <c r="E140" s="74" t="s">
        <v>2038</v>
      </c>
      <c r="J140" s="74">
        <f t="shared" si="6"/>
        <v>0</v>
      </c>
      <c r="L140" s="74" t="s">
        <v>2232</v>
      </c>
    </row>
    <row r="141" spans="1:12" hidden="1">
      <c r="A141" t="str">
        <f t="shared" si="5"/>
        <v>小屋裏2-小屋裏1</v>
      </c>
      <c r="D141" s="74" t="s">
        <v>2040</v>
      </c>
      <c r="E141" s="74" t="s">
        <v>2038</v>
      </c>
      <c r="J141" s="74">
        <f t="shared" si="6"/>
        <v>0</v>
      </c>
      <c r="L141" s="74" t="s">
        <v>2035</v>
      </c>
    </row>
    <row r="142" spans="1:12" hidden="1">
      <c r="A142" t="str">
        <f t="shared" si="5"/>
        <v>小屋裏3-小屋裏1</v>
      </c>
      <c r="D142" s="74" t="s">
        <v>2040</v>
      </c>
      <c r="E142" s="74" t="s">
        <v>2042</v>
      </c>
      <c r="J142" s="74">
        <f t="shared" si="6"/>
        <v>0</v>
      </c>
      <c r="L142" s="74" t="s">
        <v>2059</v>
      </c>
    </row>
    <row r="143" spans="1:12" hidden="1">
      <c r="A143" t="str">
        <f t="shared" si="5"/>
        <v>小屋裏3-小屋裏1</v>
      </c>
      <c r="D143" s="74" t="s">
        <v>2040</v>
      </c>
      <c r="E143" s="74" t="s">
        <v>2042</v>
      </c>
      <c r="J143" s="74">
        <f t="shared" si="6"/>
        <v>0</v>
      </c>
      <c r="L143" s="74" t="s">
        <v>2232</v>
      </c>
    </row>
    <row r="144" spans="1:12" hidden="1">
      <c r="A144" t="str">
        <f t="shared" si="5"/>
        <v>小屋裏3-小屋裏1</v>
      </c>
      <c r="D144" s="74" t="s">
        <v>2040</v>
      </c>
      <c r="E144" s="74" t="s">
        <v>2042</v>
      </c>
      <c r="J144" s="74">
        <f t="shared" si="6"/>
        <v>0</v>
      </c>
      <c r="L144" s="74" t="s">
        <v>2035</v>
      </c>
    </row>
    <row r="145" spans="1:12" hidden="1">
      <c r="A145" t="str">
        <f t="shared" si="5"/>
        <v>小屋裏1-階間(L4)</v>
      </c>
      <c r="D145" s="74" t="s">
        <v>2040</v>
      </c>
      <c r="E145" s="74" t="s">
        <v>2043</v>
      </c>
      <c r="J145" s="74">
        <f t="shared" si="6"/>
        <v>0</v>
      </c>
      <c r="L145" s="74" t="s">
        <v>2059</v>
      </c>
    </row>
    <row r="146" spans="1:12" hidden="1">
      <c r="A146" t="str">
        <f t="shared" si="5"/>
        <v>小屋裏1-階間(L4)</v>
      </c>
      <c r="D146" s="74" t="s">
        <v>2040</v>
      </c>
      <c r="E146" s="74" t="s">
        <v>2043</v>
      </c>
      <c r="J146" s="74">
        <f t="shared" si="6"/>
        <v>0</v>
      </c>
      <c r="L146" s="74" t="s">
        <v>2232</v>
      </c>
    </row>
    <row r="147" spans="1:12" hidden="1">
      <c r="A147" t="str">
        <f t="shared" si="5"/>
        <v>小屋裏1-階間(L4)</v>
      </c>
      <c r="D147" s="74" t="s">
        <v>2040</v>
      </c>
      <c r="E147" s="74" t="s">
        <v>2043</v>
      </c>
      <c r="J147" s="74">
        <f t="shared" si="6"/>
        <v>0</v>
      </c>
      <c r="L147" s="74" t="s">
        <v>2035</v>
      </c>
    </row>
    <row r="148" spans="1:12" hidden="1">
      <c r="A148" t="str">
        <f t="shared" si="5"/>
        <v>小屋裏3-小屋裏2</v>
      </c>
      <c r="D148" s="74" t="s">
        <v>2038</v>
      </c>
      <c r="E148" s="74" t="s">
        <v>2042</v>
      </c>
      <c r="J148" s="74">
        <f t="shared" si="6"/>
        <v>0</v>
      </c>
      <c r="L148" s="74" t="s">
        <v>2059</v>
      </c>
    </row>
    <row r="149" spans="1:12" hidden="1">
      <c r="A149" t="str">
        <f t="shared" si="5"/>
        <v>小屋裏3-小屋裏2</v>
      </c>
      <c r="D149" s="74" t="s">
        <v>2038</v>
      </c>
      <c r="E149" s="74" t="s">
        <v>2042</v>
      </c>
      <c r="J149" s="74">
        <f t="shared" si="6"/>
        <v>0</v>
      </c>
      <c r="L149" s="74" t="s">
        <v>2232</v>
      </c>
    </row>
    <row r="150" spans="1:12" hidden="1">
      <c r="A150" t="str">
        <f t="shared" si="5"/>
        <v>小屋裏3-小屋裏2</v>
      </c>
      <c r="D150" s="74" t="s">
        <v>2038</v>
      </c>
      <c r="E150" s="74" t="s">
        <v>2042</v>
      </c>
      <c r="J150" s="74">
        <f t="shared" si="6"/>
        <v>0</v>
      </c>
      <c r="L150" s="74" t="s">
        <v>2035</v>
      </c>
    </row>
    <row r="151" spans="1:12" hidden="1">
      <c r="A151" t="str">
        <f t="shared" si="5"/>
        <v>小屋裏2-階間(L4)</v>
      </c>
      <c r="D151" s="74" t="s">
        <v>2038</v>
      </c>
      <c r="E151" s="74" t="s">
        <v>2043</v>
      </c>
      <c r="J151" s="74">
        <f t="shared" si="6"/>
        <v>0</v>
      </c>
      <c r="L151" s="74" t="s">
        <v>2059</v>
      </c>
    </row>
    <row r="152" spans="1:12" hidden="1">
      <c r="A152" t="str">
        <f t="shared" si="5"/>
        <v>小屋裏2-階間(L4)</v>
      </c>
      <c r="D152" s="74" t="s">
        <v>2038</v>
      </c>
      <c r="E152" s="74" t="s">
        <v>2043</v>
      </c>
      <c r="J152" s="74">
        <f t="shared" si="6"/>
        <v>0</v>
      </c>
      <c r="L152" s="74" t="s">
        <v>2232</v>
      </c>
    </row>
    <row r="153" spans="1:12">
      <c r="A153" t="str">
        <f t="shared" si="5"/>
        <v>小屋裏2-階間(L4)</v>
      </c>
      <c r="D153" s="74" t="s">
        <v>2038</v>
      </c>
      <c r="E153" s="74" t="s">
        <v>2043</v>
      </c>
      <c r="J153" s="74">
        <f t="shared" si="6"/>
        <v>1.82</v>
      </c>
      <c r="K153" s="74" t="s">
        <v>2041</v>
      </c>
      <c r="L153" s="74" t="s">
        <v>2035</v>
      </c>
    </row>
    <row r="154" spans="1:12" hidden="1">
      <c r="A154" t="str">
        <f t="shared" si="5"/>
        <v>小屋裏3-階間(L4)</v>
      </c>
      <c r="D154" s="74" t="s">
        <v>2042</v>
      </c>
      <c r="E154" s="74" t="s">
        <v>2043</v>
      </c>
      <c r="J154" s="74">
        <f t="shared" si="6"/>
        <v>0</v>
      </c>
      <c r="L154" s="74" t="s">
        <v>2059</v>
      </c>
    </row>
    <row r="155" spans="1:12" hidden="1">
      <c r="A155" t="str">
        <f t="shared" si="5"/>
        <v>小屋裏3-階間(L4)</v>
      </c>
      <c r="D155" s="74" t="s">
        <v>2042</v>
      </c>
      <c r="E155" s="74" t="s">
        <v>2043</v>
      </c>
      <c r="J155" s="74">
        <f t="shared" si="6"/>
        <v>0</v>
      </c>
      <c r="L155" s="74" t="s">
        <v>2232</v>
      </c>
    </row>
    <row r="156" spans="1:12">
      <c r="A156" t="str">
        <f t="shared" si="5"/>
        <v>小屋裏3-階間(L4)</v>
      </c>
      <c r="D156" s="74" t="s">
        <v>2042</v>
      </c>
      <c r="E156" s="74" t="s">
        <v>2043</v>
      </c>
      <c r="J156" s="74">
        <f t="shared" si="6"/>
        <v>2.48</v>
      </c>
      <c r="K156" s="74" t="s">
        <v>2041</v>
      </c>
      <c r="L156" s="74" t="s">
        <v>2035</v>
      </c>
    </row>
  </sheetData>
  <autoFilter ref="A72:M156" xr:uid="{CE3698A8-D43A-47B9-8E55-E5F6951F690D}">
    <filterColumn colId="9">
      <filters>
        <filter val="0.34"/>
        <filter val="0.63"/>
        <filter val="0.93"/>
        <filter val="1.82"/>
        <filter val="17.4"/>
        <filter val="2.28"/>
        <filter val="2.48"/>
        <filter val="2.51"/>
        <filter val="22.92"/>
        <filter val="25.67"/>
        <filter val="25.84"/>
        <filter val="29.81"/>
        <filter val="3.31"/>
        <filter val="34.78"/>
        <filter val="35.61"/>
        <filter val="38.1"/>
        <filter val="4.14"/>
        <filter val="8.28"/>
      </filters>
    </filterColumn>
  </autoFilter>
  <phoneticPr fontId="2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1523-E620-4B40-982F-2D60F33DABBB}">
  <sheetPr codeName="Sheet12"/>
  <dimension ref="A1:H31"/>
  <sheetViews>
    <sheetView tabSelected="1" workbookViewId="0">
      <selection activeCell="D2" sqref="D2"/>
    </sheetView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8.75" style="74" bestFit="1" customWidth="1"/>
    <col min="4" max="4" width="10.75" style="74" bestFit="1" customWidth="1"/>
    <col min="5" max="5" width="8.75" style="74" bestFit="1" customWidth="1"/>
    <col min="6" max="6" width="8" style="74" bestFit="1" customWidth="1"/>
    <col min="7" max="8" width="14.125" style="74" bestFit="1" customWidth="1"/>
    <col min="9" max="16384" width="9" style="74"/>
  </cols>
  <sheetData>
    <row r="1" spans="1:8" ht="37.5">
      <c r="A1" s="72" t="s">
        <v>40</v>
      </c>
      <c r="B1" s="72" t="s">
        <v>134</v>
      </c>
      <c r="C1" s="72" t="s">
        <v>135</v>
      </c>
      <c r="D1" s="72" t="s">
        <v>136</v>
      </c>
      <c r="E1" s="72" t="s">
        <v>71</v>
      </c>
      <c r="F1" s="73" t="s">
        <v>72</v>
      </c>
      <c r="G1" s="72" t="s">
        <v>137</v>
      </c>
      <c r="H1" s="72" t="s">
        <v>138</v>
      </c>
    </row>
    <row r="2" spans="1:8">
      <c r="A2" s="72" t="s">
        <v>48</v>
      </c>
      <c r="B2" s="75">
        <f ca="1">internals!C20+1</f>
        <v>74</v>
      </c>
      <c r="C2" s="97" t="s">
        <v>139</v>
      </c>
      <c r="D2" s="97" t="s">
        <v>2230</v>
      </c>
      <c r="E2" s="75">
        <f ca="1">OFFSET(rooms!$B$2,MATCH(D2,rooms!$D$2:$D$19,0)-1,0)</f>
        <v>2</v>
      </c>
      <c r="F2" s="75">
        <v>2.48</v>
      </c>
      <c r="G2" s="75" t="s">
        <v>139</v>
      </c>
      <c r="H2" s="75" t="b">
        <v>1</v>
      </c>
    </row>
    <row r="3" spans="1:8">
      <c r="A3" s="72" t="s">
        <v>49</v>
      </c>
      <c r="B3" s="75">
        <f ca="1">B2+1</f>
        <v>75</v>
      </c>
      <c r="C3" s="75" t="s">
        <v>2028</v>
      </c>
      <c r="D3" s="75" t="s">
        <v>2026</v>
      </c>
      <c r="E3" s="75">
        <f ca="1">OFFSET(rooms!$B$2,MATCH(D3,rooms!$D$2:$D$19,0)-1,0)</f>
        <v>7</v>
      </c>
      <c r="F3" s="75">
        <v>66.05</v>
      </c>
      <c r="G3" s="75" t="s">
        <v>139</v>
      </c>
      <c r="H3" s="75" t="b">
        <v>1</v>
      </c>
    </row>
    <row r="4" spans="1:8">
      <c r="A4" s="72" t="s">
        <v>50</v>
      </c>
      <c r="B4" s="75"/>
      <c r="C4" s="75"/>
      <c r="D4" s="75"/>
      <c r="E4" s="75"/>
      <c r="F4" s="75"/>
      <c r="G4" s="75"/>
      <c r="H4" s="75"/>
    </row>
    <row r="5" spans="1:8">
      <c r="A5" s="72" t="s">
        <v>51</v>
      </c>
      <c r="B5" s="75"/>
      <c r="C5" s="75"/>
      <c r="D5" s="75"/>
      <c r="E5" s="75"/>
      <c r="F5" s="75"/>
      <c r="G5" s="75"/>
      <c r="H5" s="75"/>
    </row>
    <row r="6" spans="1:8">
      <c r="A6" s="72" t="s">
        <v>52</v>
      </c>
      <c r="B6" s="75"/>
      <c r="C6" s="75"/>
      <c r="D6" s="75"/>
      <c r="E6" s="75"/>
      <c r="F6" s="75"/>
      <c r="G6" s="75"/>
      <c r="H6" s="75"/>
    </row>
    <row r="7" spans="1:8">
      <c r="A7" s="72" t="s">
        <v>53</v>
      </c>
      <c r="B7" s="75"/>
      <c r="C7" s="75"/>
      <c r="D7" s="75"/>
      <c r="E7" s="75"/>
      <c r="F7" s="75"/>
      <c r="G7" s="75"/>
      <c r="H7" s="75"/>
    </row>
    <row r="8" spans="1:8">
      <c r="A8" s="72" t="s">
        <v>54</v>
      </c>
      <c r="B8" s="75"/>
      <c r="C8" s="75"/>
      <c r="D8" s="75"/>
      <c r="E8" s="75"/>
      <c r="F8" s="75"/>
      <c r="G8" s="75"/>
      <c r="H8" s="75"/>
    </row>
    <row r="9" spans="1:8">
      <c r="A9" s="72" t="s">
        <v>55</v>
      </c>
      <c r="B9" s="75"/>
      <c r="C9" s="75"/>
      <c r="D9" s="75"/>
      <c r="E9" s="75"/>
      <c r="F9" s="75"/>
      <c r="G9" s="75"/>
      <c r="H9" s="75"/>
    </row>
    <row r="10" spans="1:8">
      <c r="A10" s="72" t="s">
        <v>56</v>
      </c>
      <c r="B10" s="75"/>
      <c r="C10" s="75"/>
      <c r="D10" s="75"/>
      <c r="E10" s="75"/>
      <c r="F10" s="75"/>
      <c r="G10" s="75"/>
      <c r="H10" s="75"/>
    </row>
    <row r="11" spans="1:8">
      <c r="A11" s="72" t="s">
        <v>57</v>
      </c>
      <c r="B11" s="75"/>
      <c r="C11" s="75"/>
      <c r="D11" s="75"/>
      <c r="E11" s="75"/>
      <c r="F11" s="75"/>
      <c r="G11" s="75"/>
      <c r="H11" s="75"/>
    </row>
    <row r="12" spans="1:8">
      <c r="A12" s="72" t="s">
        <v>58</v>
      </c>
      <c r="B12" s="75"/>
      <c r="C12" s="75"/>
      <c r="D12" s="75"/>
      <c r="E12" s="75"/>
      <c r="F12" s="75"/>
      <c r="G12" s="75"/>
      <c r="H12" s="75"/>
    </row>
    <row r="13" spans="1:8">
      <c r="A13" s="72" t="s">
        <v>59</v>
      </c>
      <c r="B13" s="75"/>
      <c r="C13" s="75"/>
      <c r="D13" s="75"/>
      <c r="E13" s="75"/>
      <c r="F13" s="75"/>
      <c r="G13" s="75"/>
      <c r="H13" s="75"/>
    </row>
    <row r="14" spans="1:8">
      <c r="A14" s="72" t="s">
        <v>60</v>
      </c>
      <c r="B14" s="75"/>
      <c r="C14" s="75"/>
      <c r="D14" s="75"/>
      <c r="E14" s="75"/>
      <c r="F14" s="75"/>
      <c r="G14" s="75"/>
      <c r="H14" s="75"/>
    </row>
    <row r="15" spans="1:8">
      <c r="A15" s="72" t="s">
        <v>63</v>
      </c>
      <c r="B15" s="75"/>
      <c r="C15" s="75"/>
      <c r="D15" s="75"/>
      <c r="E15" s="75"/>
      <c r="F15" s="75"/>
      <c r="G15" s="75"/>
      <c r="H15" s="75"/>
    </row>
    <row r="16" spans="1:8">
      <c r="A16" s="72" t="s">
        <v>64</v>
      </c>
      <c r="B16" s="75"/>
      <c r="C16" s="75"/>
      <c r="D16" s="75"/>
      <c r="E16" s="75"/>
      <c r="F16" s="75"/>
      <c r="G16" s="75"/>
      <c r="H16" s="75"/>
    </row>
    <row r="17" spans="1:8">
      <c r="A17" s="72" t="s">
        <v>67</v>
      </c>
      <c r="B17" s="75"/>
      <c r="C17" s="75"/>
      <c r="D17" s="75"/>
      <c r="E17" s="75"/>
      <c r="F17" s="75"/>
      <c r="G17" s="75"/>
      <c r="H17" s="75"/>
    </row>
    <row r="18" spans="1:8">
      <c r="A18" s="72" t="s">
        <v>69</v>
      </c>
      <c r="B18" s="75"/>
      <c r="C18" s="75"/>
      <c r="D18" s="75"/>
      <c r="E18" s="75"/>
      <c r="F18" s="75"/>
      <c r="G18" s="75"/>
      <c r="H18" s="75"/>
    </row>
    <row r="19" spans="1:8">
      <c r="A19" s="72" t="s">
        <v>81</v>
      </c>
      <c r="B19" s="75"/>
      <c r="C19" s="75"/>
      <c r="D19" s="75"/>
      <c r="E19" s="75"/>
      <c r="F19" s="75"/>
      <c r="G19" s="75"/>
      <c r="H19" s="75"/>
    </row>
    <row r="20" spans="1:8">
      <c r="A20" s="72" t="s">
        <v>83</v>
      </c>
      <c r="B20" s="75"/>
      <c r="C20" s="75"/>
      <c r="D20" s="75"/>
      <c r="E20" s="75"/>
      <c r="F20" s="75"/>
      <c r="G20" s="75"/>
      <c r="H20" s="75"/>
    </row>
    <row r="21" spans="1:8">
      <c r="A21" s="72" t="s">
        <v>84</v>
      </c>
      <c r="B21" s="75"/>
      <c r="C21" s="75"/>
      <c r="D21" s="75"/>
      <c r="E21" s="75"/>
      <c r="F21" s="75"/>
      <c r="G21" s="75"/>
      <c r="H21" s="75"/>
    </row>
    <row r="22" spans="1:8">
      <c r="A22" s="72" t="s">
        <v>85</v>
      </c>
      <c r="B22" s="75"/>
      <c r="C22" s="75"/>
      <c r="D22" s="75"/>
      <c r="E22" s="75"/>
      <c r="F22" s="75"/>
      <c r="G22" s="75"/>
      <c r="H22" s="75"/>
    </row>
    <row r="23" spans="1:8">
      <c r="A23" s="72" t="s">
        <v>86</v>
      </c>
      <c r="B23" s="75"/>
      <c r="C23" s="75"/>
      <c r="D23" s="75"/>
      <c r="E23" s="75"/>
      <c r="F23" s="75"/>
      <c r="G23" s="75"/>
      <c r="H23" s="75"/>
    </row>
    <row r="24" spans="1:8">
      <c r="A24" s="72" t="s">
        <v>87</v>
      </c>
      <c r="B24" s="75"/>
      <c r="C24" s="75"/>
      <c r="D24" s="75"/>
      <c r="E24" s="75"/>
      <c r="F24" s="75"/>
      <c r="G24" s="75"/>
      <c r="H24" s="75"/>
    </row>
    <row r="25" spans="1:8">
      <c r="A25" s="72" t="s">
        <v>88</v>
      </c>
      <c r="B25" s="75"/>
      <c r="C25" s="75"/>
      <c r="D25" s="75"/>
      <c r="E25" s="75"/>
      <c r="F25" s="75"/>
      <c r="G25" s="75"/>
      <c r="H25" s="75"/>
    </row>
    <row r="26" spans="1:8">
      <c r="A26" s="72" t="s">
        <v>90</v>
      </c>
      <c r="B26" s="75"/>
      <c r="C26" s="75"/>
      <c r="D26" s="75"/>
      <c r="E26" s="75"/>
      <c r="F26" s="75"/>
      <c r="G26" s="75"/>
      <c r="H26" s="75"/>
    </row>
    <row r="27" spans="1:8">
      <c r="A27" s="72" t="s">
        <v>91</v>
      </c>
      <c r="B27" s="75"/>
      <c r="C27" s="75"/>
      <c r="D27" s="75"/>
      <c r="E27" s="75"/>
      <c r="F27" s="75"/>
      <c r="G27" s="75"/>
      <c r="H27" s="75"/>
    </row>
    <row r="28" spans="1:8">
      <c r="A28" s="72" t="s">
        <v>92</v>
      </c>
      <c r="B28" s="75"/>
      <c r="C28" s="75"/>
      <c r="D28" s="75"/>
      <c r="E28" s="75"/>
      <c r="F28" s="75"/>
      <c r="G28" s="75"/>
      <c r="H28" s="75"/>
    </row>
    <row r="29" spans="1:8">
      <c r="A29" s="72" t="s">
        <v>93</v>
      </c>
      <c r="B29" s="75"/>
      <c r="C29" s="75"/>
      <c r="D29" s="75"/>
      <c r="E29" s="75"/>
      <c r="F29" s="75"/>
      <c r="G29" s="75"/>
      <c r="H29" s="75"/>
    </row>
    <row r="30" spans="1:8">
      <c r="A30" s="72" t="s">
        <v>94</v>
      </c>
      <c r="B30" s="75"/>
      <c r="C30" s="75"/>
      <c r="D30" s="75"/>
      <c r="E30" s="75"/>
      <c r="F30" s="75"/>
      <c r="G30" s="75"/>
      <c r="H30" s="75"/>
    </row>
    <row r="31" spans="1:8">
      <c r="A31" s="72" t="s">
        <v>95</v>
      </c>
      <c r="B31" s="75"/>
      <c r="C31" s="75"/>
      <c r="D31" s="75"/>
      <c r="E31" s="75"/>
      <c r="F31" s="75"/>
      <c r="G31" s="75"/>
      <c r="H31" s="75"/>
    </row>
  </sheetData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EDE5-C43F-4EC1-A847-DBAFE51D9DB8}">
  <sheetPr codeName="Sheet13"/>
  <dimension ref="A1:R16"/>
  <sheetViews>
    <sheetView workbookViewId="0">
      <selection activeCell="B7" sqref="B7"/>
    </sheetView>
  </sheetViews>
  <sheetFormatPr defaultColWidth="9" defaultRowHeight="18.75"/>
  <cols>
    <col min="1" max="1" width="8" style="74" bestFit="1" customWidth="1"/>
    <col min="2" max="2" width="7.125" style="74" bestFit="1" customWidth="1"/>
    <col min="3" max="3" width="10.25" style="74" bestFit="1" customWidth="1"/>
    <col min="4" max="4" width="15.125" style="74" bestFit="1" customWidth="1"/>
    <col min="5" max="5" width="12.75" style="74" bestFit="1" customWidth="1"/>
    <col min="6" max="6" width="9.5" style="74" bestFit="1" customWidth="1"/>
    <col min="7" max="7" width="16.625" style="74" bestFit="1" customWidth="1"/>
    <col min="8" max="9" width="12.75" style="74" bestFit="1" customWidth="1"/>
    <col min="10" max="10" width="16.625" style="74" bestFit="1" customWidth="1"/>
    <col min="11" max="12" width="12.75" style="74" bestFit="1" customWidth="1"/>
    <col min="13" max="13" width="7.25" style="74" bestFit="1" customWidth="1"/>
    <col min="14" max="15" width="9.5" style="74" bestFit="1" customWidth="1"/>
    <col min="16" max="16" width="15.125" style="74" bestFit="1" customWidth="1"/>
    <col min="17" max="17" width="12.75" style="74" bestFit="1" customWidth="1"/>
    <col min="18" max="18" width="9.5" style="74" bestFit="1" customWidth="1"/>
    <col min="19" max="16384" width="9" style="74"/>
  </cols>
  <sheetData>
    <row r="1" spans="1:18" ht="37.5">
      <c r="A1" s="72" t="s">
        <v>40</v>
      </c>
      <c r="B1" s="72" t="s">
        <v>42</v>
      </c>
      <c r="C1" s="72" t="s">
        <v>160</v>
      </c>
      <c r="D1" s="72" t="s">
        <v>161</v>
      </c>
      <c r="E1" s="73" t="s">
        <v>162</v>
      </c>
      <c r="F1" s="73" t="s">
        <v>163</v>
      </c>
      <c r="G1" s="72" t="s">
        <v>164</v>
      </c>
      <c r="H1" s="73" t="s">
        <v>165</v>
      </c>
      <c r="I1" s="73" t="s">
        <v>166</v>
      </c>
      <c r="J1" s="72" t="s">
        <v>167</v>
      </c>
      <c r="K1" s="73" t="s">
        <v>168</v>
      </c>
      <c r="L1" s="73" t="s">
        <v>169</v>
      </c>
      <c r="M1" s="72" t="s">
        <v>170</v>
      </c>
      <c r="N1" s="73" t="s">
        <v>171</v>
      </c>
      <c r="O1" s="73" t="s">
        <v>172</v>
      </c>
      <c r="P1" s="72" t="s">
        <v>173</v>
      </c>
      <c r="Q1" s="73" t="s">
        <v>174</v>
      </c>
      <c r="R1" s="73" t="s">
        <v>175</v>
      </c>
    </row>
    <row r="2" spans="1:18">
      <c r="A2" s="72" t="s">
        <v>48</v>
      </c>
      <c r="B2" s="79" t="s">
        <v>77</v>
      </c>
      <c r="C2" s="75">
        <v>5</v>
      </c>
      <c r="D2" s="75" t="s">
        <v>176</v>
      </c>
      <c r="E2" s="75">
        <v>4.3181818181818182E-2</v>
      </c>
      <c r="F2" s="75">
        <v>7.8849999999999998</v>
      </c>
      <c r="G2" s="75" t="s">
        <v>177</v>
      </c>
      <c r="H2" s="75">
        <v>0.09</v>
      </c>
      <c r="I2" s="75">
        <v>0</v>
      </c>
      <c r="J2" s="75" t="s">
        <v>178</v>
      </c>
      <c r="K2" s="76">
        <f>断熱材の厚さ!M2</f>
        <v>1.3641410619770578</v>
      </c>
      <c r="L2" s="76">
        <f>断熱材の厚さ!N2*13</f>
        <v>0.79802252125657869</v>
      </c>
      <c r="M2" s="75" t="s">
        <v>179</v>
      </c>
      <c r="N2" s="75">
        <v>7.4999999999999997E-2</v>
      </c>
      <c r="O2" s="75">
        <v>8.64</v>
      </c>
      <c r="P2" s="75" t="s">
        <v>180</v>
      </c>
      <c r="Q2" s="75">
        <v>8.8235294117647051E-2</v>
      </c>
      <c r="R2" s="75">
        <v>25.178849999999997</v>
      </c>
    </row>
    <row r="3" spans="1:18">
      <c r="A3" s="72" t="s">
        <v>49</v>
      </c>
      <c r="B3" s="79" t="s">
        <v>98</v>
      </c>
      <c r="C3" s="75">
        <v>2</v>
      </c>
      <c r="D3" s="75" t="s">
        <v>176</v>
      </c>
      <c r="E3" s="75">
        <v>4.3181818181818182E-2</v>
      </c>
      <c r="F3" s="75">
        <v>7.8849999999999998</v>
      </c>
      <c r="G3" s="75" t="s">
        <v>181</v>
      </c>
      <c r="H3" s="76">
        <f>断熱材の厚さ!I3</f>
        <v>3.7751341500121725</v>
      </c>
      <c r="I3" s="76">
        <f>断熱材の厚さ!J3*8</f>
        <v>1.5100536600048691</v>
      </c>
      <c r="J3" s="75"/>
      <c r="K3" s="75"/>
      <c r="L3" s="75"/>
      <c r="M3" s="75"/>
      <c r="N3" s="75"/>
      <c r="O3" s="75"/>
      <c r="P3" s="75"/>
      <c r="Q3" s="75"/>
      <c r="R3" s="75"/>
    </row>
    <row r="4" spans="1:18">
      <c r="A4" s="72" t="s">
        <v>50</v>
      </c>
      <c r="B4" s="79" t="s">
        <v>102</v>
      </c>
      <c r="C4" s="75">
        <v>3</v>
      </c>
      <c r="D4" s="75" t="s">
        <v>182</v>
      </c>
      <c r="E4" s="76" cm="1">
        <f t="array" ref="E4">_xlfn.IFS(VALUE(計算条件!E3)=1,0,VALUE(計算条件!E3)=2,90/1000/1.6)</f>
        <v>0</v>
      </c>
      <c r="F4" s="76" cm="1">
        <f t="array" ref="F4">_xlfn.IFS(VALUE(計算条件!E3)=1,0,VALUE(計算条件!E3)=2,90/1000*2000)</f>
        <v>0</v>
      </c>
      <c r="G4" s="75" t="s">
        <v>179</v>
      </c>
      <c r="H4" s="75">
        <v>7.4999999999999997E-2</v>
      </c>
      <c r="I4" s="75">
        <v>8.64</v>
      </c>
      <c r="J4" s="75" t="s">
        <v>183</v>
      </c>
      <c r="K4" s="76">
        <f>断熱材の厚さ!M4</f>
        <v>1.6241579840969953</v>
      </c>
      <c r="L4" s="76">
        <f>断熱材の厚さ!N4*13</f>
        <v>0.95013242069674209</v>
      </c>
      <c r="M4" s="75"/>
      <c r="N4" s="75"/>
      <c r="O4" s="75"/>
      <c r="P4" s="75"/>
      <c r="Q4" s="75"/>
      <c r="R4" s="75"/>
    </row>
    <row r="5" spans="1:18">
      <c r="A5" s="72" t="s">
        <v>51</v>
      </c>
      <c r="B5" s="79" t="s">
        <v>149</v>
      </c>
      <c r="C5" s="75">
        <v>3</v>
      </c>
      <c r="D5" s="75" t="s">
        <v>176</v>
      </c>
      <c r="E5" s="75">
        <v>5.6818181818181823E-2</v>
      </c>
      <c r="F5" s="75">
        <f>830*12.5/1000</f>
        <v>10.375</v>
      </c>
      <c r="G5" s="75" t="s">
        <v>177</v>
      </c>
      <c r="H5" s="75">
        <v>0.09</v>
      </c>
      <c r="I5" s="75">
        <v>0</v>
      </c>
      <c r="J5" s="75" t="s">
        <v>176</v>
      </c>
      <c r="K5" s="75">
        <v>5.6818181818181823E-2</v>
      </c>
      <c r="L5" s="75">
        <f>830*12.5/1000</f>
        <v>10.375</v>
      </c>
      <c r="M5" s="75"/>
      <c r="N5" s="75"/>
      <c r="O5" s="75"/>
      <c r="P5" s="75"/>
      <c r="Q5" s="75"/>
      <c r="R5" s="75"/>
    </row>
    <row r="6" spans="1:18">
      <c r="A6" s="72" t="s">
        <v>52</v>
      </c>
      <c r="B6" s="75" t="s">
        <v>150</v>
      </c>
      <c r="C6" s="75">
        <v>1</v>
      </c>
      <c r="D6" s="75" t="s">
        <v>176</v>
      </c>
      <c r="E6" s="75">
        <v>5.6818181818181823E-2</v>
      </c>
      <c r="F6" s="75">
        <f>830*12.5/1000</f>
        <v>10.375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</row>
    <row r="7" spans="1:18">
      <c r="A7" s="72" t="s">
        <v>53</v>
      </c>
      <c r="B7" s="75" t="s">
        <v>151</v>
      </c>
      <c r="C7" s="75">
        <v>2</v>
      </c>
      <c r="D7" s="75" t="s">
        <v>182</v>
      </c>
      <c r="E7" s="76" cm="1">
        <f t="array" ref="E7">_xlfn.IFS(VALUE(計算条件!E3)=1,0,VALUE(計算条件!E3)=2,90/1000/1.6)</f>
        <v>0</v>
      </c>
      <c r="F7" s="76" cm="1">
        <f t="array" ref="F7">_xlfn.IFS(VALUE(計算条件!E3)=1,0,VALUE(計算条件!E3)=2,90/1000*2000)</f>
        <v>0</v>
      </c>
      <c r="G7" s="75" t="s">
        <v>179</v>
      </c>
      <c r="H7" s="75">
        <v>7.4999999999999997E-2</v>
      </c>
      <c r="I7" s="75">
        <f>0.012*720</f>
        <v>8.64</v>
      </c>
      <c r="J7" s="75"/>
      <c r="K7" s="75"/>
      <c r="L7" s="75"/>
      <c r="M7" s="75"/>
      <c r="N7" s="75"/>
      <c r="O7" s="75"/>
      <c r="P7" s="75"/>
      <c r="Q7" s="75"/>
      <c r="R7" s="75"/>
    </row>
    <row r="8" spans="1:18">
      <c r="A8" s="72" t="s">
        <v>54</v>
      </c>
      <c r="B8" s="75" t="s">
        <v>139</v>
      </c>
      <c r="C8" s="75">
        <v>1</v>
      </c>
      <c r="D8" s="75" t="s">
        <v>182</v>
      </c>
      <c r="E8" s="75">
        <v>7.4999999999999997E-2</v>
      </c>
      <c r="F8" s="75">
        <v>227.55119999999999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</row>
    <row r="9" spans="1:18">
      <c r="A9" s="72" t="s">
        <v>55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</row>
    <row r="10" spans="1:18">
      <c r="A10" s="72" t="s">
        <v>56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</row>
    <row r="11" spans="1:18">
      <c r="A11" s="72" t="s">
        <v>57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</row>
    <row r="12" spans="1:18">
      <c r="A12" s="72" t="s">
        <v>58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</row>
    <row r="13" spans="1:18">
      <c r="A13" s="72" t="s">
        <v>59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</row>
    <row r="14" spans="1:18">
      <c r="A14" s="72" t="s">
        <v>60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</row>
    <row r="15" spans="1:18">
      <c r="A15" s="72" t="s">
        <v>63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</row>
    <row r="16" spans="1:18">
      <c r="A16" s="72" t="s">
        <v>64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</row>
  </sheetData>
  <phoneticPr fontId="2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3BD8-7C2F-4727-A7C8-42977368D591}">
  <sheetPr codeName="Sheet14"/>
  <dimension ref="A1:B1764"/>
  <sheetViews>
    <sheetView workbookViewId="0">
      <selection activeCell="B19" sqref="B19"/>
    </sheetView>
  </sheetViews>
  <sheetFormatPr defaultRowHeight="18.75"/>
  <cols>
    <col min="1" max="1" width="4.5" bestFit="1" customWidth="1"/>
  </cols>
  <sheetData>
    <row r="1" spans="1:2">
      <c r="A1" s="77">
        <v>1</v>
      </c>
      <c r="B1" s="77" t="s">
        <v>184</v>
      </c>
    </row>
    <row r="2" spans="1:2">
      <c r="A2" s="77">
        <v>2</v>
      </c>
      <c r="B2" s="77" t="s">
        <v>185</v>
      </c>
    </row>
    <row r="3" spans="1:2">
      <c r="A3" s="77">
        <v>3</v>
      </c>
      <c r="B3" s="77" t="s">
        <v>186</v>
      </c>
    </row>
    <row r="4" spans="1:2">
      <c r="A4" s="77">
        <v>4</v>
      </c>
      <c r="B4" s="77" t="s">
        <v>187</v>
      </c>
    </row>
    <row r="5" spans="1:2">
      <c r="A5" s="77">
        <v>5</v>
      </c>
      <c r="B5" s="77" t="s">
        <v>188</v>
      </c>
    </row>
    <row r="6" spans="1:2">
      <c r="A6" s="77">
        <v>6</v>
      </c>
      <c r="B6" s="77" t="s">
        <v>189</v>
      </c>
    </row>
    <row r="7" spans="1:2">
      <c r="A7" s="77">
        <v>7</v>
      </c>
      <c r="B7" s="77" t="s">
        <v>190</v>
      </c>
    </row>
    <row r="8" spans="1:2">
      <c r="A8" s="77">
        <v>8</v>
      </c>
      <c r="B8" s="77" t="s">
        <v>191</v>
      </c>
    </row>
    <row r="9" spans="1:2">
      <c r="A9" s="77">
        <v>9</v>
      </c>
      <c r="B9" s="77" t="s">
        <v>192</v>
      </c>
    </row>
    <row r="10" spans="1:2">
      <c r="A10" s="77">
        <v>10</v>
      </c>
      <c r="B10" s="77" t="s">
        <v>193</v>
      </c>
    </row>
    <row r="11" spans="1:2">
      <c r="A11" s="77">
        <v>11</v>
      </c>
      <c r="B11" s="77" t="s">
        <v>194</v>
      </c>
    </row>
    <row r="12" spans="1:2">
      <c r="A12" s="77">
        <v>12</v>
      </c>
      <c r="B12" s="77" t="s">
        <v>195</v>
      </c>
    </row>
    <row r="13" spans="1:2">
      <c r="A13" s="77">
        <v>13</v>
      </c>
      <c r="B13" s="77" t="s">
        <v>196</v>
      </c>
    </row>
    <row r="14" spans="1:2">
      <c r="A14" s="77">
        <v>14</v>
      </c>
      <c r="B14" s="77" t="s">
        <v>197</v>
      </c>
    </row>
    <row r="15" spans="1:2">
      <c r="A15" s="77">
        <v>15</v>
      </c>
      <c r="B15" s="77" t="s">
        <v>198</v>
      </c>
    </row>
    <row r="16" spans="1:2">
      <c r="A16" s="77">
        <v>16</v>
      </c>
      <c r="B16" s="77" t="s">
        <v>199</v>
      </c>
    </row>
    <row r="17" spans="1:2">
      <c r="A17" s="77">
        <v>17</v>
      </c>
      <c r="B17" s="77" t="s">
        <v>200</v>
      </c>
    </row>
    <row r="18" spans="1:2">
      <c r="A18" s="77">
        <v>18</v>
      </c>
      <c r="B18" s="77" t="s">
        <v>201</v>
      </c>
    </row>
    <row r="19" spans="1:2">
      <c r="A19" s="77">
        <v>19</v>
      </c>
      <c r="B19" s="77" t="s">
        <v>202</v>
      </c>
    </row>
    <row r="20" spans="1:2">
      <c r="A20" s="77">
        <v>20</v>
      </c>
      <c r="B20" s="77" t="s">
        <v>203</v>
      </c>
    </row>
    <row r="21" spans="1:2">
      <c r="A21" s="77">
        <v>21</v>
      </c>
      <c r="B21" s="77" t="s">
        <v>204</v>
      </c>
    </row>
    <row r="22" spans="1:2">
      <c r="A22" s="77">
        <v>22</v>
      </c>
      <c r="B22" s="77" t="s">
        <v>205</v>
      </c>
    </row>
    <row r="23" spans="1:2">
      <c r="A23" s="77">
        <v>23</v>
      </c>
      <c r="B23" s="77" t="s">
        <v>206</v>
      </c>
    </row>
    <row r="24" spans="1:2">
      <c r="A24" s="77">
        <v>24</v>
      </c>
      <c r="B24" s="77" t="s">
        <v>207</v>
      </c>
    </row>
    <row r="25" spans="1:2">
      <c r="A25" s="77">
        <v>25</v>
      </c>
      <c r="B25" s="77" t="s">
        <v>208</v>
      </c>
    </row>
    <row r="26" spans="1:2">
      <c r="A26" s="77">
        <v>26</v>
      </c>
      <c r="B26" s="77" t="s">
        <v>209</v>
      </c>
    </row>
    <row r="27" spans="1:2">
      <c r="A27" s="77">
        <v>27</v>
      </c>
      <c r="B27" s="77" t="s">
        <v>210</v>
      </c>
    </row>
    <row r="28" spans="1:2">
      <c r="A28" s="77">
        <v>28</v>
      </c>
      <c r="B28" s="77" t="s">
        <v>211</v>
      </c>
    </row>
    <row r="29" spans="1:2">
      <c r="A29" s="77">
        <v>29</v>
      </c>
      <c r="B29" s="77" t="s">
        <v>212</v>
      </c>
    </row>
    <row r="30" spans="1:2">
      <c r="A30" s="77">
        <v>30</v>
      </c>
      <c r="B30" s="77" t="s">
        <v>213</v>
      </c>
    </row>
    <row r="31" spans="1:2">
      <c r="A31" s="77">
        <v>31</v>
      </c>
      <c r="B31" s="77" t="s">
        <v>214</v>
      </c>
    </row>
    <row r="32" spans="1:2">
      <c r="A32" s="77">
        <v>32</v>
      </c>
      <c r="B32" s="77" t="s">
        <v>215</v>
      </c>
    </row>
    <row r="33" spans="1:2">
      <c r="A33" s="77">
        <v>33</v>
      </c>
      <c r="B33" s="77" t="s">
        <v>216</v>
      </c>
    </row>
    <row r="34" spans="1:2">
      <c r="A34" s="77">
        <v>34</v>
      </c>
      <c r="B34" s="77" t="s">
        <v>217</v>
      </c>
    </row>
    <row r="35" spans="1:2">
      <c r="A35" s="77">
        <v>35</v>
      </c>
      <c r="B35" s="77" t="s">
        <v>218</v>
      </c>
    </row>
    <row r="36" spans="1:2">
      <c r="A36" s="77">
        <v>36</v>
      </c>
      <c r="B36" s="77" t="s">
        <v>219</v>
      </c>
    </row>
    <row r="37" spans="1:2">
      <c r="A37" s="77">
        <v>37</v>
      </c>
      <c r="B37" s="77" t="s">
        <v>220</v>
      </c>
    </row>
    <row r="38" spans="1:2">
      <c r="A38" s="77">
        <v>38</v>
      </c>
      <c r="B38" s="77" t="s">
        <v>221</v>
      </c>
    </row>
    <row r="39" spans="1:2">
      <c r="A39" s="77">
        <v>39</v>
      </c>
      <c r="B39" s="77" t="s">
        <v>222</v>
      </c>
    </row>
    <row r="40" spans="1:2">
      <c r="A40" s="77">
        <v>40</v>
      </c>
      <c r="B40" s="77" t="s">
        <v>223</v>
      </c>
    </row>
    <row r="41" spans="1:2">
      <c r="A41" s="77">
        <v>41</v>
      </c>
      <c r="B41" s="77" t="s">
        <v>224</v>
      </c>
    </row>
    <row r="42" spans="1:2">
      <c r="A42" s="77">
        <v>42</v>
      </c>
      <c r="B42" s="77" t="s">
        <v>225</v>
      </c>
    </row>
    <row r="43" spans="1:2">
      <c r="A43" s="77">
        <v>43</v>
      </c>
      <c r="B43" s="77" t="s">
        <v>226</v>
      </c>
    </row>
    <row r="44" spans="1:2">
      <c r="A44" s="77">
        <v>44</v>
      </c>
      <c r="B44" s="77" t="s">
        <v>227</v>
      </c>
    </row>
    <row r="45" spans="1:2">
      <c r="A45" s="77">
        <v>45</v>
      </c>
      <c r="B45" s="77" t="s">
        <v>228</v>
      </c>
    </row>
    <row r="46" spans="1:2">
      <c r="A46" s="77">
        <v>46</v>
      </c>
      <c r="B46" s="77" t="s">
        <v>229</v>
      </c>
    </row>
    <row r="47" spans="1:2">
      <c r="A47" s="77">
        <v>47</v>
      </c>
      <c r="B47" s="77" t="s">
        <v>230</v>
      </c>
    </row>
    <row r="48" spans="1:2">
      <c r="A48" s="77">
        <v>48</v>
      </c>
      <c r="B48" s="77" t="s">
        <v>231</v>
      </c>
    </row>
    <row r="49" spans="1:2">
      <c r="A49" s="77">
        <v>49</v>
      </c>
      <c r="B49" s="77" t="s">
        <v>232</v>
      </c>
    </row>
    <row r="50" spans="1:2">
      <c r="A50" s="77">
        <v>50</v>
      </c>
      <c r="B50" s="77" t="s">
        <v>233</v>
      </c>
    </row>
    <row r="51" spans="1:2">
      <c r="A51" s="77">
        <v>51</v>
      </c>
      <c r="B51" s="77" t="s">
        <v>234</v>
      </c>
    </row>
    <row r="52" spans="1:2">
      <c r="A52" s="77">
        <v>52</v>
      </c>
      <c r="B52" s="77" t="s">
        <v>235</v>
      </c>
    </row>
    <row r="53" spans="1:2">
      <c r="A53" s="77">
        <v>53</v>
      </c>
      <c r="B53" s="77" t="s">
        <v>236</v>
      </c>
    </row>
    <row r="54" spans="1:2">
      <c r="A54" s="77">
        <v>54</v>
      </c>
      <c r="B54" s="77" t="s">
        <v>237</v>
      </c>
    </row>
    <row r="55" spans="1:2">
      <c r="A55" s="77">
        <v>55</v>
      </c>
      <c r="B55" s="77" t="s">
        <v>238</v>
      </c>
    </row>
    <row r="56" spans="1:2">
      <c r="A56" s="77">
        <v>56</v>
      </c>
      <c r="B56" s="77" t="s">
        <v>239</v>
      </c>
    </row>
    <row r="57" spans="1:2">
      <c r="A57" s="77">
        <v>57</v>
      </c>
      <c r="B57" s="77" t="s">
        <v>240</v>
      </c>
    </row>
    <row r="58" spans="1:2">
      <c r="A58" s="77">
        <v>58</v>
      </c>
      <c r="B58" s="77" t="s">
        <v>241</v>
      </c>
    </row>
    <row r="59" spans="1:2">
      <c r="A59" s="77">
        <v>59</v>
      </c>
      <c r="B59" s="77" t="s">
        <v>242</v>
      </c>
    </row>
    <row r="60" spans="1:2">
      <c r="A60" s="77">
        <v>60</v>
      </c>
      <c r="B60" s="77" t="s">
        <v>243</v>
      </c>
    </row>
    <row r="61" spans="1:2">
      <c r="A61" s="77">
        <v>61</v>
      </c>
      <c r="B61" s="77" t="s">
        <v>244</v>
      </c>
    </row>
    <row r="62" spans="1:2">
      <c r="A62" s="77">
        <v>62</v>
      </c>
      <c r="B62" s="77" t="s">
        <v>245</v>
      </c>
    </row>
    <row r="63" spans="1:2">
      <c r="A63" s="77">
        <v>63</v>
      </c>
      <c r="B63" s="77" t="s">
        <v>246</v>
      </c>
    </row>
    <row r="64" spans="1:2">
      <c r="A64" s="77">
        <v>64</v>
      </c>
      <c r="B64" s="77" t="s">
        <v>247</v>
      </c>
    </row>
    <row r="65" spans="1:2">
      <c r="A65" s="77">
        <v>65</v>
      </c>
      <c r="B65" s="77" t="s">
        <v>248</v>
      </c>
    </row>
    <row r="66" spans="1:2">
      <c r="A66" s="77">
        <v>66</v>
      </c>
      <c r="B66" s="77" t="s">
        <v>249</v>
      </c>
    </row>
    <row r="67" spans="1:2">
      <c r="A67" s="77">
        <v>67</v>
      </c>
      <c r="B67" s="77" t="s">
        <v>250</v>
      </c>
    </row>
    <row r="68" spans="1:2">
      <c r="A68" s="77">
        <v>68</v>
      </c>
      <c r="B68" s="77" t="s">
        <v>251</v>
      </c>
    </row>
    <row r="69" spans="1:2">
      <c r="A69" s="77">
        <v>69</v>
      </c>
      <c r="B69" s="77" t="s">
        <v>252</v>
      </c>
    </row>
    <row r="70" spans="1:2">
      <c r="A70" s="77">
        <v>70</v>
      </c>
      <c r="B70" s="77" t="s">
        <v>253</v>
      </c>
    </row>
    <row r="71" spans="1:2">
      <c r="A71" s="77">
        <v>71</v>
      </c>
      <c r="B71" s="77" t="s">
        <v>254</v>
      </c>
    </row>
    <row r="72" spans="1:2">
      <c r="A72" s="77">
        <v>72</v>
      </c>
      <c r="B72" s="77" t="s">
        <v>255</v>
      </c>
    </row>
    <row r="73" spans="1:2">
      <c r="A73" s="77">
        <v>73</v>
      </c>
      <c r="B73" s="77" t="s">
        <v>256</v>
      </c>
    </row>
    <row r="74" spans="1:2">
      <c r="A74" s="77">
        <v>74</v>
      </c>
      <c r="B74" s="77" t="s">
        <v>257</v>
      </c>
    </row>
    <row r="75" spans="1:2">
      <c r="A75" s="77">
        <v>75</v>
      </c>
      <c r="B75" s="77" t="s">
        <v>258</v>
      </c>
    </row>
    <row r="76" spans="1:2">
      <c r="A76" s="77">
        <v>76</v>
      </c>
      <c r="B76" s="77" t="s">
        <v>259</v>
      </c>
    </row>
    <row r="77" spans="1:2">
      <c r="A77" s="77">
        <v>77</v>
      </c>
      <c r="B77" s="77" t="s">
        <v>260</v>
      </c>
    </row>
    <row r="78" spans="1:2">
      <c r="A78" s="77">
        <v>78</v>
      </c>
      <c r="B78" s="77" t="s">
        <v>261</v>
      </c>
    </row>
    <row r="79" spans="1:2">
      <c r="A79" s="77">
        <v>79</v>
      </c>
      <c r="B79" s="77" t="s">
        <v>262</v>
      </c>
    </row>
    <row r="80" spans="1:2">
      <c r="A80" s="77">
        <v>80</v>
      </c>
      <c r="B80" s="77" t="s">
        <v>263</v>
      </c>
    </row>
    <row r="81" spans="1:2">
      <c r="A81" s="77">
        <v>81</v>
      </c>
      <c r="B81" s="77" t="s">
        <v>264</v>
      </c>
    </row>
    <row r="82" spans="1:2">
      <c r="A82" s="77">
        <v>82</v>
      </c>
      <c r="B82" s="77" t="s">
        <v>265</v>
      </c>
    </row>
    <row r="83" spans="1:2">
      <c r="A83" s="77">
        <v>83</v>
      </c>
      <c r="B83" s="77" t="s">
        <v>266</v>
      </c>
    </row>
    <row r="84" spans="1:2">
      <c r="A84" s="77">
        <v>84</v>
      </c>
      <c r="B84" s="77" t="s">
        <v>267</v>
      </c>
    </row>
    <row r="85" spans="1:2">
      <c r="A85" s="77">
        <v>85</v>
      </c>
      <c r="B85" s="77" t="s">
        <v>268</v>
      </c>
    </row>
    <row r="86" spans="1:2">
      <c r="A86" s="77">
        <v>86</v>
      </c>
      <c r="B86" s="77" t="s">
        <v>269</v>
      </c>
    </row>
    <row r="87" spans="1:2">
      <c r="A87" s="77">
        <v>87</v>
      </c>
      <c r="B87" s="77" t="s">
        <v>270</v>
      </c>
    </row>
    <row r="88" spans="1:2">
      <c r="A88" s="77">
        <v>88</v>
      </c>
      <c r="B88" s="77" t="s">
        <v>271</v>
      </c>
    </row>
    <row r="89" spans="1:2">
      <c r="A89" s="77">
        <v>89</v>
      </c>
      <c r="B89" s="77" t="s">
        <v>272</v>
      </c>
    </row>
    <row r="90" spans="1:2">
      <c r="A90" s="77">
        <v>90</v>
      </c>
      <c r="B90" s="77" t="s">
        <v>273</v>
      </c>
    </row>
    <row r="91" spans="1:2">
      <c r="A91" s="77">
        <v>91</v>
      </c>
      <c r="B91" s="77" t="s">
        <v>274</v>
      </c>
    </row>
    <row r="92" spans="1:2">
      <c r="A92" s="77">
        <v>92</v>
      </c>
      <c r="B92" s="77" t="s">
        <v>275</v>
      </c>
    </row>
    <row r="93" spans="1:2">
      <c r="A93" s="77">
        <v>93</v>
      </c>
      <c r="B93" s="77" t="s">
        <v>276</v>
      </c>
    </row>
    <row r="94" spans="1:2">
      <c r="A94" s="77">
        <v>94</v>
      </c>
      <c r="B94" s="77" t="s">
        <v>277</v>
      </c>
    </row>
    <row r="95" spans="1:2">
      <c r="A95" s="77">
        <v>95</v>
      </c>
      <c r="B95" s="77" t="s">
        <v>278</v>
      </c>
    </row>
    <row r="96" spans="1:2">
      <c r="A96" s="77">
        <v>96</v>
      </c>
      <c r="B96" s="77" t="s">
        <v>279</v>
      </c>
    </row>
    <row r="97" spans="1:2">
      <c r="A97" s="77">
        <v>97</v>
      </c>
      <c r="B97" s="77" t="s">
        <v>280</v>
      </c>
    </row>
    <row r="98" spans="1:2">
      <c r="A98" s="77">
        <v>98</v>
      </c>
      <c r="B98" s="77" t="s">
        <v>281</v>
      </c>
    </row>
    <row r="99" spans="1:2">
      <c r="A99" s="77">
        <v>99</v>
      </c>
      <c r="B99" s="77" t="s">
        <v>282</v>
      </c>
    </row>
    <row r="100" spans="1:2">
      <c r="A100" s="77">
        <v>100</v>
      </c>
      <c r="B100" s="77" t="s">
        <v>283</v>
      </c>
    </row>
    <row r="101" spans="1:2">
      <c r="A101" s="77">
        <v>101</v>
      </c>
      <c r="B101" s="77" t="s">
        <v>284</v>
      </c>
    </row>
    <row r="102" spans="1:2">
      <c r="A102" s="77">
        <v>102</v>
      </c>
      <c r="B102" s="77" t="s">
        <v>285</v>
      </c>
    </row>
    <row r="103" spans="1:2">
      <c r="A103" s="77">
        <v>103</v>
      </c>
      <c r="B103" s="77" t="s">
        <v>286</v>
      </c>
    </row>
    <row r="104" spans="1:2">
      <c r="A104" s="77">
        <v>104</v>
      </c>
      <c r="B104" s="77" t="s">
        <v>287</v>
      </c>
    </row>
    <row r="105" spans="1:2">
      <c r="A105" s="77">
        <v>105</v>
      </c>
      <c r="B105" s="77" t="s">
        <v>288</v>
      </c>
    </row>
    <row r="106" spans="1:2">
      <c r="A106" s="77">
        <v>106</v>
      </c>
      <c r="B106" s="77" t="s">
        <v>289</v>
      </c>
    </row>
    <row r="107" spans="1:2">
      <c r="A107" s="77">
        <v>107</v>
      </c>
      <c r="B107" s="77" t="s">
        <v>290</v>
      </c>
    </row>
    <row r="108" spans="1:2">
      <c r="A108" s="77">
        <v>108</v>
      </c>
      <c r="B108" s="77" t="s">
        <v>291</v>
      </c>
    </row>
    <row r="109" spans="1:2">
      <c r="A109" s="77">
        <v>109</v>
      </c>
      <c r="B109" s="77" t="s">
        <v>292</v>
      </c>
    </row>
    <row r="110" spans="1:2">
      <c r="A110" s="77">
        <v>110</v>
      </c>
      <c r="B110" s="77" t="s">
        <v>293</v>
      </c>
    </row>
    <row r="111" spans="1:2">
      <c r="A111" s="77">
        <v>111</v>
      </c>
      <c r="B111" s="77" t="s">
        <v>294</v>
      </c>
    </row>
    <row r="112" spans="1:2">
      <c r="A112" s="77">
        <v>112</v>
      </c>
      <c r="B112" s="77" t="s">
        <v>295</v>
      </c>
    </row>
    <row r="113" spans="1:2">
      <c r="A113" s="77">
        <v>113</v>
      </c>
      <c r="B113" s="77" t="s">
        <v>296</v>
      </c>
    </row>
    <row r="114" spans="1:2">
      <c r="A114" s="77">
        <v>114</v>
      </c>
      <c r="B114" s="77" t="s">
        <v>297</v>
      </c>
    </row>
    <row r="115" spans="1:2">
      <c r="A115" s="77">
        <v>115</v>
      </c>
      <c r="B115" s="77" t="s">
        <v>298</v>
      </c>
    </row>
    <row r="116" spans="1:2">
      <c r="A116" s="77">
        <v>116</v>
      </c>
      <c r="B116" s="77" t="s">
        <v>299</v>
      </c>
    </row>
    <row r="117" spans="1:2">
      <c r="A117" s="77">
        <v>117</v>
      </c>
      <c r="B117" s="77" t="s">
        <v>300</v>
      </c>
    </row>
    <row r="118" spans="1:2">
      <c r="A118" s="77">
        <v>118</v>
      </c>
      <c r="B118" s="77" t="s">
        <v>301</v>
      </c>
    </row>
    <row r="119" spans="1:2">
      <c r="A119" s="77">
        <v>119</v>
      </c>
      <c r="B119" s="77" t="s">
        <v>302</v>
      </c>
    </row>
    <row r="120" spans="1:2">
      <c r="A120" s="77">
        <v>120</v>
      </c>
      <c r="B120" s="77" t="s">
        <v>303</v>
      </c>
    </row>
    <row r="121" spans="1:2">
      <c r="A121" s="77">
        <v>121</v>
      </c>
      <c r="B121" s="77" t="s">
        <v>304</v>
      </c>
    </row>
    <row r="122" spans="1:2">
      <c r="A122" s="77">
        <v>122</v>
      </c>
      <c r="B122" s="77" t="s">
        <v>305</v>
      </c>
    </row>
    <row r="123" spans="1:2">
      <c r="A123" s="77">
        <v>123</v>
      </c>
      <c r="B123" s="77" t="s">
        <v>306</v>
      </c>
    </row>
    <row r="124" spans="1:2">
      <c r="A124" s="77">
        <v>124</v>
      </c>
      <c r="B124" s="77" t="s">
        <v>307</v>
      </c>
    </row>
    <row r="125" spans="1:2">
      <c r="A125" s="77">
        <v>125</v>
      </c>
      <c r="B125" s="77" t="s">
        <v>308</v>
      </c>
    </row>
    <row r="126" spans="1:2">
      <c r="A126" s="77">
        <v>126</v>
      </c>
      <c r="B126" s="77" t="s">
        <v>309</v>
      </c>
    </row>
    <row r="127" spans="1:2">
      <c r="A127" s="77">
        <v>127</v>
      </c>
      <c r="B127" s="77" t="s">
        <v>310</v>
      </c>
    </row>
    <row r="128" spans="1:2">
      <c r="A128" s="77">
        <v>128</v>
      </c>
      <c r="B128" s="77" t="s">
        <v>311</v>
      </c>
    </row>
    <row r="129" spans="1:2">
      <c r="A129" s="77">
        <v>129</v>
      </c>
      <c r="B129" s="77" t="s">
        <v>312</v>
      </c>
    </row>
    <row r="130" spans="1:2">
      <c r="A130" s="77">
        <v>130</v>
      </c>
      <c r="B130" s="77" t="s">
        <v>313</v>
      </c>
    </row>
    <row r="131" spans="1:2">
      <c r="A131" s="77">
        <v>131</v>
      </c>
      <c r="B131" s="77" t="s">
        <v>314</v>
      </c>
    </row>
    <row r="132" spans="1:2">
      <c r="A132" s="77">
        <v>132</v>
      </c>
      <c r="B132" s="77" t="s">
        <v>315</v>
      </c>
    </row>
    <row r="133" spans="1:2">
      <c r="A133" s="77">
        <v>133</v>
      </c>
      <c r="B133" s="77" t="s">
        <v>316</v>
      </c>
    </row>
    <row r="134" spans="1:2">
      <c r="A134" s="77">
        <v>134</v>
      </c>
      <c r="B134" s="77" t="s">
        <v>317</v>
      </c>
    </row>
    <row r="135" spans="1:2">
      <c r="A135" s="77">
        <v>135</v>
      </c>
      <c r="B135" s="77" t="s">
        <v>318</v>
      </c>
    </row>
    <row r="136" spans="1:2">
      <c r="A136" s="77">
        <v>136</v>
      </c>
      <c r="B136" s="77" t="s">
        <v>319</v>
      </c>
    </row>
    <row r="137" spans="1:2">
      <c r="A137" s="77">
        <v>137</v>
      </c>
      <c r="B137" s="77" t="s">
        <v>320</v>
      </c>
    </row>
    <row r="138" spans="1:2">
      <c r="A138" s="77">
        <v>138</v>
      </c>
      <c r="B138" s="77" t="s">
        <v>321</v>
      </c>
    </row>
    <row r="139" spans="1:2">
      <c r="A139" s="77">
        <v>139</v>
      </c>
      <c r="B139" s="77" t="s">
        <v>322</v>
      </c>
    </row>
    <row r="140" spans="1:2">
      <c r="A140" s="77">
        <v>140</v>
      </c>
      <c r="B140" s="77" t="s">
        <v>323</v>
      </c>
    </row>
    <row r="141" spans="1:2">
      <c r="A141" s="77">
        <v>141</v>
      </c>
      <c r="B141" s="77" t="s">
        <v>324</v>
      </c>
    </row>
    <row r="142" spans="1:2">
      <c r="A142" s="77">
        <v>142</v>
      </c>
      <c r="B142" s="77" t="s">
        <v>325</v>
      </c>
    </row>
    <row r="143" spans="1:2">
      <c r="A143" s="77">
        <v>143</v>
      </c>
      <c r="B143" s="77" t="s">
        <v>326</v>
      </c>
    </row>
    <row r="144" spans="1:2">
      <c r="A144" s="77">
        <v>144</v>
      </c>
      <c r="B144" s="77" t="s">
        <v>327</v>
      </c>
    </row>
    <row r="145" spans="1:2">
      <c r="A145" s="77">
        <v>145</v>
      </c>
      <c r="B145" s="77" t="s">
        <v>328</v>
      </c>
    </row>
    <row r="146" spans="1:2">
      <c r="A146" s="77">
        <v>146</v>
      </c>
      <c r="B146" s="77" t="s">
        <v>329</v>
      </c>
    </row>
    <row r="147" spans="1:2">
      <c r="A147" s="77">
        <v>147</v>
      </c>
      <c r="B147" s="77" t="s">
        <v>330</v>
      </c>
    </row>
    <row r="148" spans="1:2">
      <c r="A148" s="77">
        <v>148</v>
      </c>
      <c r="B148" s="77" t="s">
        <v>331</v>
      </c>
    </row>
    <row r="149" spans="1:2">
      <c r="A149" s="77">
        <v>149</v>
      </c>
      <c r="B149" s="77" t="s">
        <v>332</v>
      </c>
    </row>
    <row r="150" spans="1:2">
      <c r="A150" s="77">
        <v>150</v>
      </c>
      <c r="B150" s="77" t="s">
        <v>333</v>
      </c>
    </row>
    <row r="151" spans="1:2">
      <c r="A151" s="77">
        <v>151</v>
      </c>
      <c r="B151" s="77" t="s">
        <v>334</v>
      </c>
    </row>
    <row r="152" spans="1:2">
      <c r="A152" s="77">
        <v>152</v>
      </c>
      <c r="B152" s="77" t="s">
        <v>335</v>
      </c>
    </row>
    <row r="153" spans="1:2">
      <c r="A153" s="77">
        <v>153</v>
      </c>
      <c r="B153" s="77" t="s">
        <v>336</v>
      </c>
    </row>
    <row r="154" spans="1:2">
      <c r="A154" s="77">
        <v>154</v>
      </c>
      <c r="B154" s="77" t="s">
        <v>337</v>
      </c>
    </row>
    <row r="155" spans="1:2">
      <c r="A155" s="77">
        <v>155</v>
      </c>
      <c r="B155" s="77" t="s">
        <v>338</v>
      </c>
    </row>
    <row r="156" spans="1:2">
      <c r="A156" s="77">
        <v>156</v>
      </c>
      <c r="B156" s="77" t="s">
        <v>339</v>
      </c>
    </row>
    <row r="157" spans="1:2">
      <c r="A157" s="77">
        <v>157</v>
      </c>
      <c r="B157" s="77" t="s">
        <v>340</v>
      </c>
    </row>
    <row r="158" spans="1:2">
      <c r="A158" s="77">
        <v>158</v>
      </c>
      <c r="B158" s="77" t="s">
        <v>341</v>
      </c>
    </row>
    <row r="159" spans="1:2">
      <c r="A159" s="77">
        <v>159</v>
      </c>
      <c r="B159" s="77" t="s">
        <v>342</v>
      </c>
    </row>
    <row r="160" spans="1:2">
      <c r="A160" s="77">
        <v>160</v>
      </c>
      <c r="B160" s="77" t="s">
        <v>343</v>
      </c>
    </row>
    <row r="161" spans="1:2">
      <c r="A161" s="77">
        <v>161</v>
      </c>
      <c r="B161" s="77" t="s">
        <v>344</v>
      </c>
    </row>
    <row r="162" spans="1:2">
      <c r="A162" s="77">
        <v>162</v>
      </c>
      <c r="B162" s="77" t="s">
        <v>345</v>
      </c>
    </row>
    <row r="163" spans="1:2">
      <c r="A163" s="77">
        <v>163</v>
      </c>
      <c r="B163" s="77" t="s">
        <v>346</v>
      </c>
    </row>
    <row r="164" spans="1:2">
      <c r="A164" s="77">
        <v>164</v>
      </c>
      <c r="B164" s="77" t="s">
        <v>347</v>
      </c>
    </row>
    <row r="165" spans="1:2">
      <c r="A165" s="77">
        <v>165</v>
      </c>
      <c r="B165" s="77" t="s">
        <v>348</v>
      </c>
    </row>
    <row r="166" spans="1:2">
      <c r="A166" s="77">
        <v>166</v>
      </c>
      <c r="B166" s="77" t="s">
        <v>349</v>
      </c>
    </row>
    <row r="167" spans="1:2">
      <c r="A167" s="77">
        <v>167</v>
      </c>
      <c r="B167" s="77" t="s">
        <v>350</v>
      </c>
    </row>
    <row r="168" spans="1:2">
      <c r="A168" s="77">
        <v>168</v>
      </c>
      <c r="B168" s="77" t="s">
        <v>351</v>
      </c>
    </row>
    <row r="169" spans="1:2">
      <c r="A169" s="77">
        <v>169</v>
      </c>
      <c r="B169" s="77" t="s">
        <v>352</v>
      </c>
    </row>
    <row r="170" spans="1:2">
      <c r="A170" s="77">
        <v>170</v>
      </c>
      <c r="B170" s="77" t="s">
        <v>353</v>
      </c>
    </row>
    <row r="171" spans="1:2">
      <c r="A171" s="77">
        <v>171</v>
      </c>
      <c r="B171" s="77" t="s">
        <v>354</v>
      </c>
    </row>
    <row r="172" spans="1:2">
      <c r="A172" s="77">
        <v>172</v>
      </c>
      <c r="B172" s="77" t="s">
        <v>355</v>
      </c>
    </row>
    <row r="173" spans="1:2">
      <c r="A173" s="77">
        <v>173</v>
      </c>
      <c r="B173" s="77" t="s">
        <v>356</v>
      </c>
    </row>
    <row r="174" spans="1:2">
      <c r="A174" s="77">
        <v>174</v>
      </c>
      <c r="B174" s="77" t="s">
        <v>357</v>
      </c>
    </row>
    <row r="175" spans="1:2">
      <c r="A175" s="77">
        <v>175</v>
      </c>
      <c r="B175" s="77" t="s">
        <v>358</v>
      </c>
    </row>
    <row r="176" spans="1:2">
      <c r="A176" s="77">
        <v>176</v>
      </c>
      <c r="B176" s="77" t="s">
        <v>359</v>
      </c>
    </row>
    <row r="177" spans="1:2">
      <c r="A177" s="77">
        <v>177</v>
      </c>
      <c r="B177" s="77" t="s">
        <v>360</v>
      </c>
    </row>
    <row r="178" spans="1:2">
      <c r="A178" s="77">
        <v>178</v>
      </c>
      <c r="B178" s="77" t="s">
        <v>361</v>
      </c>
    </row>
    <row r="179" spans="1:2">
      <c r="A179" s="77">
        <v>179</v>
      </c>
      <c r="B179" s="77" t="s">
        <v>362</v>
      </c>
    </row>
    <row r="180" spans="1:2">
      <c r="A180" s="77">
        <v>180</v>
      </c>
      <c r="B180" s="77" t="s">
        <v>363</v>
      </c>
    </row>
    <row r="181" spans="1:2">
      <c r="A181" s="77">
        <v>181</v>
      </c>
      <c r="B181" s="77" t="s">
        <v>364</v>
      </c>
    </row>
    <row r="182" spans="1:2">
      <c r="A182" s="77">
        <v>182</v>
      </c>
      <c r="B182" s="77" t="s">
        <v>365</v>
      </c>
    </row>
    <row r="183" spans="1:2">
      <c r="A183" s="77">
        <v>183</v>
      </c>
      <c r="B183" s="77" t="s">
        <v>366</v>
      </c>
    </row>
    <row r="184" spans="1:2">
      <c r="A184" s="77">
        <v>184</v>
      </c>
      <c r="B184" s="77" t="s">
        <v>367</v>
      </c>
    </row>
    <row r="185" spans="1:2">
      <c r="A185" s="77">
        <v>185</v>
      </c>
      <c r="B185" s="77" t="s">
        <v>368</v>
      </c>
    </row>
    <row r="186" spans="1:2">
      <c r="A186" s="77">
        <v>186</v>
      </c>
      <c r="B186" s="77" t="s">
        <v>369</v>
      </c>
    </row>
    <row r="187" spans="1:2">
      <c r="A187" s="77">
        <v>187</v>
      </c>
      <c r="B187" s="77" t="s">
        <v>370</v>
      </c>
    </row>
    <row r="188" spans="1:2">
      <c r="A188" s="77">
        <v>188</v>
      </c>
      <c r="B188" s="77" t="s">
        <v>371</v>
      </c>
    </row>
    <row r="189" spans="1:2">
      <c r="A189" s="77">
        <v>189</v>
      </c>
      <c r="B189" s="77" t="s">
        <v>372</v>
      </c>
    </row>
    <row r="190" spans="1:2">
      <c r="A190" s="77">
        <v>190</v>
      </c>
      <c r="B190" s="77" t="s">
        <v>373</v>
      </c>
    </row>
    <row r="191" spans="1:2">
      <c r="A191" s="77">
        <v>191</v>
      </c>
      <c r="B191" s="77" t="s">
        <v>374</v>
      </c>
    </row>
    <row r="192" spans="1:2">
      <c r="A192" s="77">
        <v>192</v>
      </c>
      <c r="B192" s="77" t="s">
        <v>375</v>
      </c>
    </row>
    <row r="193" spans="1:2">
      <c r="A193" s="77">
        <v>193</v>
      </c>
      <c r="B193" s="77" t="s">
        <v>376</v>
      </c>
    </row>
    <row r="194" spans="1:2">
      <c r="A194" s="77">
        <v>194</v>
      </c>
      <c r="B194" s="77" t="s">
        <v>377</v>
      </c>
    </row>
    <row r="195" spans="1:2">
      <c r="A195" s="77">
        <v>195</v>
      </c>
      <c r="B195" s="77" t="s">
        <v>378</v>
      </c>
    </row>
    <row r="196" spans="1:2">
      <c r="A196" s="77">
        <v>196</v>
      </c>
      <c r="B196" s="77" t="s">
        <v>379</v>
      </c>
    </row>
    <row r="197" spans="1:2">
      <c r="A197" s="77">
        <v>197</v>
      </c>
      <c r="B197" s="77" t="s">
        <v>380</v>
      </c>
    </row>
    <row r="198" spans="1:2">
      <c r="A198" s="77">
        <v>198</v>
      </c>
      <c r="B198" s="77" t="s">
        <v>381</v>
      </c>
    </row>
    <row r="199" spans="1:2">
      <c r="A199" s="77">
        <v>199</v>
      </c>
      <c r="B199" s="77" t="s">
        <v>382</v>
      </c>
    </row>
    <row r="200" spans="1:2">
      <c r="A200" s="77">
        <v>200</v>
      </c>
      <c r="B200" s="77" t="s">
        <v>383</v>
      </c>
    </row>
    <row r="201" spans="1:2">
      <c r="A201" s="77">
        <v>201</v>
      </c>
      <c r="B201" s="77" t="s">
        <v>384</v>
      </c>
    </row>
    <row r="202" spans="1:2">
      <c r="A202" s="77">
        <v>202</v>
      </c>
      <c r="B202" s="77" t="s">
        <v>385</v>
      </c>
    </row>
    <row r="203" spans="1:2">
      <c r="A203" s="77">
        <v>203</v>
      </c>
      <c r="B203" s="77" t="s">
        <v>386</v>
      </c>
    </row>
    <row r="204" spans="1:2">
      <c r="A204" s="77">
        <v>204</v>
      </c>
      <c r="B204" s="77" t="s">
        <v>387</v>
      </c>
    </row>
    <row r="205" spans="1:2">
      <c r="A205" s="77">
        <v>205</v>
      </c>
      <c r="B205" s="77" t="s">
        <v>388</v>
      </c>
    </row>
    <row r="206" spans="1:2">
      <c r="A206" s="77">
        <v>206</v>
      </c>
      <c r="B206" s="77" t="s">
        <v>389</v>
      </c>
    </row>
    <row r="207" spans="1:2">
      <c r="A207" s="77">
        <v>207</v>
      </c>
      <c r="B207" s="77" t="s">
        <v>390</v>
      </c>
    </row>
    <row r="208" spans="1:2">
      <c r="A208" s="77">
        <v>208</v>
      </c>
      <c r="B208" s="77" t="s">
        <v>391</v>
      </c>
    </row>
    <row r="209" spans="1:2">
      <c r="A209" s="77">
        <v>209</v>
      </c>
      <c r="B209" s="77" t="s">
        <v>392</v>
      </c>
    </row>
    <row r="210" spans="1:2">
      <c r="A210" s="77">
        <v>210</v>
      </c>
      <c r="B210" s="77" t="s">
        <v>393</v>
      </c>
    </row>
    <row r="211" spans="1:2">
      <c r="A211" s="77">
        <v>211</v>
      </c>
      <c r="B211" s="77" t="s">
        <v>394</v>
      </c>
    </row>
    <row r="212" spans="1:2">
      <c r="A212" s="77">
        <v>212</v>
      </c>
      <c r="B212" s="77" t="s">
        <v>395</v>
      </c>
    </row>
    <row r="213" spans="1:2">
      <c r="A213" s="77">
        <v>213</v>
      </c>
      <c r="B213" s="77" t="s">
        <v>396</v>
      </c>
    </row>
    <row r="214" spans="1:2">
      <c r="A214" s="77">
        <v>214</v>
      </c>
      <c r="B214" s="77" t="s">
        <v>397</v>
      </c>
    </row>
    <row r="215" spans="1:2">
      <c r="A215" s="77">
        <v>215</v>
      </c>
      <c r="B215" s="77" t="s">
        <v>398</v>
      </c>
    </row>
    <row r="216" spans="1:2">
      <c r="A216" s="77">
        <v>216</v>
      </c>
      <c r="B216" s="77" t="s">
        <v>399</v>
      </c>
    </row>
    <row r="217" spans="1:2">
      <c r="A217" s="77">
        <v>217</v>
      </c>
      <c r="B217" s="77" t="s">
        <v>400</v>
      </c>
    </row>
    <row r="218" spans="1:2">
      <c r="A218" s="77">
        <v>218</v>
      </c>
      <c r="B218" s="77" t="s">
        <v>401</v>
      </c>
    </row>
    <row r="219" spans="1:2">
      <c r="A219" s="77">
        <v>219</v>
      </c>
      <c r="B219" s="77" t="s">
        <v>402</v>
      </c>
    </row>
    <row r="220" spans="1:2">
      <c r="A220" s="77">
        <v>220</v>
      </c>
      <c r="B220" s="77" t="s">
        <v>403</v>
      </c>
    </row>
    <row r="221" spans="1:2">
      <c r="A221" s="77">
        <v>221</v>
      </c>
      <c r="B221" s="77" t="s">
        <v>404</v>
      </c>
    </row>
    <row r="222" spans="1:2">
      <c r="A222" s="77">
        <v>222</v>
      </c>
      <c r="B222" s="77" t="s">
        <v>405</v>
      </c>
    </row>
    <row r="223" spans="1:2">
      <c r="A223" s="77">
        <v>223</v>
      </c>
      <c r="B223" s="77" t="s">
        <v>406</v>
      </c>
    </row>
    <row r="224" spans="1:2">
      <c r="A224" s="77">
        <v>224</v>
      </c>
      <c r="B224" s="77" t="s">
        <v>407</v>
      </c>
    </row>
    <row r="225" spans="1:2">
      <c r="A225" s="77">
        <v>225</v>
      </c>
      <c r="B225" s="77" t="s">
        <v>408</v>
      </c>
    </row>
    <row r="226" spans="1:2">
      <c r="A226" s="77">
        <v>226</v>
      </c>
      <c r="B226" s="77" t="s">
        <v>409</v>
      </c>
    </row>
    <row r="227" spans="1:2">
      <c r="A227" s="77">
        <v>227</v>
      </c>
      <c r="B227" s="77" t="s">
        <v>410</v>
      </c>
    </row>
    <row r="228" spans="1:2">
      <c r="A228" s="77">
        <v>228</v>
      </c>
      <c r="B228" s="77" t="s">
        <v>411</v>
      </c>
    </row>
    <row r="229" spans="1:2">
      <c r="A229" s="77">
        <v>229</v>
      </c>
      <c r="B229" s="77" t="s">
        <v>412</v>
      </c>
    </row>
    <row r="230" spans="1:2">
      <c r="A230" s="77">
        <v>230</v>
      </c>
      <c r="B230" s="77" t="s">
        <v>413</v>
      </c>
    </row>
    <row r="231" spans="1:2">
      <c r="A231" s="77">
        <v>231</v>
      </c>
      <c r="B231" s="77" t="s">
        <v>414</v>
      </c>
    </row>
    <row r="232" spans="1:2">
      <c r="A232" s="77">
        <v>232</v>
      </c>
      <c r="B232" s="77" t="s">
        <v>415</v>
      </c>
    </row>
    <row r="233" spans="1:2">
      <c r="A233" s="77">
        <v>233</v>
      </c>
      <c r="B233" s="77" t="s">
        <v>416</v>
      </c>
    </row>
    <row r="234" spans="1:2">
      <c r="A234" s="77">
        <v>234</v>
      </c>
      <c r="B234" s="77" t="s">
        <v>417</v>
      </c>
    </row>
    <row r="235" spans="1:2">
      <c r="A235" s="77">
        <v>235</v>
      </c>
      <c r="B235" s="77" t="s">
        <v>418</v>
      </c>
    </row>
    <row r="236" spans="1:2">
      <c r="A236" s="77">
        <v>236</v>
      </c>
      <c r="B236" s="77" t="s">
        <v>419</v>
      </c>
    </row>
    <row r="237" spans="1:2">
      <c r="A237" s="77">
        <v>237</v>
      </c>
      <c r="B237" s="77" t="s">
        <v>420</v>
      </c>
    </row>
    <row r="238" spans="1:2">
      <c r="A238" s="77">
        <v>238</v>
      </c>
      <c r="B238" s="77" t="s">
        <v>421</v>
      </c>
    </row>
    <row r="239" spans="1:2">
      <c r="A239" s="77">
        <v>239</v>
      </c>
      <c r="B239" s="77" t="s">
        <v>422</v>
      </c>
    </row>
    <row r="240" spans="1:2">
      <c r="A240" s="77">
        <v>240</v>
      </c>
      <c r="B240" s="77" t="s">
        <v>423</v>
      </c>
    </row>
    <row r="241" spans="1:2">
      <c r="A241" s="77">
        <v>241</v>
      </c>
      <c r="B241" s="77" t="s">
        <v>424</v>
      </c>
    </row>
    <row r="242" spans="1:2">
      <c r="A242" s="77">
        <v>242</v>
      </c>
      <c r="B242" s="77" t="s">
        <v>425</v>
      </c>
    </row>
    <row r="243" spans="1:2">
      <c r="A243" s="77">
        <v>243</v>
      </c>
      <c r="B243" s="77" t="s">
        <v>426</v>
      </c>
    </row>
    <row r="244" spans="1:2">
      <c r="A244" s="77">
        <v>244</v>
      </c>
      <c r="B244" s="77" t="s">
        <v>427</v>
      </c>
    </row>
    <row r="245" spans="1:2">
      <c r="A245" s="77">
        <v>245</v>
      </c>
      <c r="B245" s="77" t="s">
        <v>428</v>
      </c>
    </row>
    <row r="246" spans="1:2">
      <c r="A246" s="77">
        <v>246</v>
      </c>
      <c r="B246" s="77" t="s">
        <v>429</v>
      </c>
    </row>
    <row r="247" spans="1:2">
      <c r="A247" s="77">
        <v>247</v>
      </c>
      <c r="B247" s="77" t="s">
        <v>430</v>
      </c>
    </row>
    <row r="248" spans="1:2">
      <c r="A248" s="77">
        <v>248</v>
      </c>
      <c r="B248" s="77" t="s">
        <v>431</v>
      </c>
    </row>
    <row r="249" spans="1:2">
      <c r="A249" s="77">
        <v>249</v>
      </c>
      <c r="B249" s="77" t="s">
        <v>432</v>
      </c>
    </row>
    <row r="250" spans="1:2">
      <c r="A250" s="77">
        <v>250</v>
      </c>
      <c r="B250" s="77" t="s">
        <v>433</v>
      </c>
    </row>
    <row r="251" spans="1:2">
      <c r="A251" s="77">
        <v>251</v>
      </c>
      <c r="B251" s="77" t="s">
        <v>434</v>
      </c>
    </row>
    <row r="252" spans="1:2">
      <c r="A252" s="77">
        <v>252</v>
      </c>
      <c r="B252" s="77" t="s">
        <v>435</v>
      </c>
    </row>
    <row r="253" spans="1:2">
      <c r="A253" s="77">
        <v>253</v>
      </c>
      <c r="B253" s="77" t="s">
        <v>436</v>
      </c>
    </row>
    <row r="254" spans="1:2">
      <c r="A254" s="77">
        <v>254</v>
      </c>
      <c r="B254" s="77" t="s">
        <v>437</v>
      </c>
    </row>
    <row r="255" spans="1:2">
      <c r="A255" s="77">
        <v>255</v>
      </c>
      <c r="B255" s="77" t="s">
        <v>438</v>
      </c>
    </row>
    <row r="256" spans="1:2">
      <c r="A256" s="77">
        <v>256</v>
      </c>
      <c r="B256" s="77" t="s">
        <v>439</v>
      </c>
    </row>
    <row r="257" spans="1:2">
      <c r="A257" s="77">
        <v>257</v>
      </c>
      <c r="B257" s="77" t="s">
        <v>440</v>
      </c>
    </row>
    <row r="258" spans="1:2">
      <c r="A258" s="77">
        <v>258</v>
      </c>
      <c r="B258" s="77" t="s">
        <v>441</v>
      </c>
    </row>
    <row r="259" spans="1:2">
      <c r="A259" s="77">
        <v>259</v>
      </c>
      <c r="B259" s="77" t="s">
        <v>442</v>
      </c>
    </row>
    <row r="260" spans="1:2">
      <c r="A260" s="77">
        <v>260</v>
      </c>
      <c r="B260" s="77" t="s">
        <v>443</v>
      </c>
    </row>
    <row r="261" spans="1:2">
      <c r="A261" s="77">
        <v>261</v>
      </c>
      <c r="B261" s="77" t="s">
        <v>444</v>
      </c>
    </row>
    <row r="262" spans="1:2">
      <c r="A262" s="77">
        <v>262</v>
      </c>
      <c r="B262" s="77" t="s">
        <v>445</v>
      </c>
    </row>
    <row r="263" spans="1:2">
      <c r="A263" s="77">
        <v>263</v>
      </c>
      <c r="B263" s="77" t="s">
        <v>446</v>
      </c>
    </row>
    <row r="264" spans="1:2">
      <c r="A264" s="77">
        <v>264</v>
      </c>
      <c r="B264" s="77" t="s">
        <v>447</v>
      </c>
    </row>
    <row r="265" spans="1:2">
      <c r="A265" s="77">
        <v>265</v>
      </c>
      <c r="B265" s="77" t="s">
        <v>448</v>
      </c>
    </row>
    <row r="266" spans="1:2">
      <c r="A266" s="77">
        <v>266</v>
      </c>
      <c r="B266" s="77" t="s">
        <v>449</v>
      </c>
    </row>
    <row r="267" spans="1:2">
      <c r="A267" s="77">
        <v>267</v>
      </c>
      <c r="B267" s="77" t="s">
        <v>450</v>
      </c>
    </row>
    <row r="268" spans="1:2">
      <c r="A268" s="77">
        <v>268</v>
      </c>
      <c r="B268" s="77" t="s">
        <v>451</v>
      </c>
    </row>
    <row r="269" spans="1:2">
      <c r="A269" s="77">
        <v>269</v>
      </c>
      <c r="B269" s="77" t="s">
        <v>452</v>
      </c>
    </row>
    <row r="270" spans="1:2">
      <c r="A270" s="77">
        <v>270</v>
      </c>
      <c r="B270" s="77" t="s">
        <v>453</v>
      </c>
    </row>
    <row r="271" spans="1:2">
      <c r="A271" s="77">
        <v>271</v>
      </c>
      <c r="B271" s="77" t="s">
        <v>454</v>
      </c>
    </row>
    <row r="272" spans="1:2">
      <c r="A272" s="77">
        <v>272</v>
      </c>
      <c r="B272" s="77" t="s">
        <v>455</v>
      </c>
    </row>
    <row r="273" spans="1:2">
      <c r="A273" s="77">
        <v>273</v>
      </c>
      <c r="B273" s="77" t="s">
        <v>456</v>
      </c>
    </row>
    <row r="274" spans="1:2">
      <c r="A274" s="77">
        <v>274</v>
      </c>
      <c r="B274" s="77" t="s">
        <v>457</v>
      </c>
    </row>
    <row r="275" spans="1:2">
      <c r="A275" s="77">
        <v>275</v>
      </c>
      <c r="B275" s="77" t="s">
        <v>458</v>
      </c>
    </row>
    <row r="276" spans="1:2">
      <c r="A276" s="77">
        <v>276</v>
      </c>
      <c r="B276" s="77" t="s">
        <v>459</v>
      </c>
    </row>
    <row r="277" spans="1:2">
      <c r="A277" s="77">
        <v>277</v>
      </c>
      <c r="B277" s="77" t="s">
        <v>460</v>
      </c>
    </row>
    <row r="278" spans="1:2">
      <c r="A278" s="77">
        <v>278</v>
      </c>
      <c r="B278" s="77" t="s">
        <v>461</v>
      </c>
    </row>
    <row r="279" spans="1:2">
      <c r="A279" s="77">
        <v>279</v>
      </c>
      <c r="B279" s="77" t="s">
        <v>462</v>
      </c>
    </row>
    <row r="280" spans="1:2">
      <c r="A280" s="77">
        <v>280</v>
      </c>
      <c r="B280" s="77" t="s">
        <v>463</v>
      </c>
    </row>
    <row r="281" spans="1:2">
      <c r="A281" s="77">
        <v>281</v>
      </c>
      <c r="B281" s="77" t="s">
        <v>464</v>
      </c>
    </row>
    <row r="282" spans="1:2">
      <c r="A282" s="77">
        <v>282</v>
      </c>
      <c r="B282" s="77" t="s">
        <v>465</v>
      </c>
    </row>
    <row r="283" spans="1:2">
      <c r="A283" s="77">
        <v>283</v>
      </c>
      <c r="B283" s="77" t="s">
        <v>466</v>
      </c>
    </row>
    <row r="284" spans="1:2">
      <c r="A284" s="77">
        <v>284</v>
      </c>
      <c r="B284" s="77" t="s">
        <v>467</v>
      </c>
    </row>
    <row r="285" spans="1:2">
      <c r="A285" s="77">
        <v>285</v>
      </c>
      <c r="B285" s="77" t="s">
        <v>468</v>
      </c>
    </row>
    <row r="286" spans="1:2">
      <c r="A286" s="77">
        <v>286</v>
      </c>
      <c r="B286" s="77" t="s">
        <v>469</v>
      </c>
    </row>
    <row r="287" spans="1:2">
      <c r="A287" s="77">
        <v>287</v>
      </c>
      <c r="B287" s="77" t="s">
        <v>470</v>
      </c>
    </row>
    <row r="288" spans="1:2">
      <c r="A288" s="77">
        <v>288</v>
      </c>
      <c r="B288" s="77" t="s">
        <v>471</v>
      </c>
    </row>
    <row r="289" spans="1:2">
      <c r="A289" s="77">
        <v>289</v>
      </c>
      <c r="B289" s="77" t="s">
        <v>472</v>
      </c>
    </row>
    <row r="290" spans="1:2">
      <c r="A290" s="77">
        <v>290</v>
      </c>
      <c r="B290" s="77" t="s">
        <v>473</v>
      </c>
    </row>
    <row r="291" spans="1:2">
      <c r="A291" s="77">
        <v>291</v>
      </c>
      <c r="B291" s="77" t="s">
        <v>474</v>
      </c>
    </row>
    <row r="292" spans="1:2">
      <c r="A292" s="77">
        <v>292</v>
      </c>
      <c r="B292" s="77" t="s">
        <v>475</v>
      </c>
    </row>
    <row r="293" spans="1:2">
      <c r="A293" s="77">
        <v>293</v>
      </c>
      <c r="B293" s="77" t="s">
        <v>476</v>
      </c>
    </row>
    <row r="294" spans="1:2">
      <c r="A294" s="77">
        <v>294</v>
      </c>
      <c r="B294" s="77" t="s">
        <v>477</v>
      </c>
    </row>
    <row r="295" spans="1:2">
      <c r="A295" s="77">
        <v>295</v>
      </c>
      <c r="B295" s="77" t="s">
        <v>478</v>
      </c>
    </row>
    <row r="296" spans="1:2">
      <c r="A296" s="77">
        <v>296</v>
      </c>
      <c r="B296" s="77" t="s">
        <v>479</v>
      </c>
    </row>
    <row r="297" spans="1:2">
      <c r="A297" s="77">
        <v>297</v>
      </c>
      <c r="B297" s="77" t="s">
        <v>480</v>
      </c>
    </row>
    <row r="298" spans="1:2">
      <c r="A298" s="77">
        <v>298</v>
      </c>
      <c r="B298" s="77" t="s">
        <v>481</v>
      </c>
    </row>
    <row r="299" spans="1:2">
      <c r="A299" s="77">
        <v>299</v>
      </c>
      <c r="B299" s="77" t="s">
        <v>482</v>
      </c>
    </row>
    <row r="300" spans="1:2">
      <c r="A300" s="77">
        <v>300</v>
      </c>
      <c r="B300" s="77" t="s">
        <v>483</v>
      </c>
    </row>
    <row r="301" spans="1:2">
      <c r="A301" s="77">
        <v>301</v>
      </c>
      <c r="B301" s="77" t="s">
        <v>484</v>
      </c>
    </row>
    <row r="302" spans="1:2">
      <c r="A302" s="77">
        <v>302</v>
      </c>
      <c r="B302" s="77" t="s">
        <v>485</v>
      </c>
    </row>
    <row r="303" spans="1:2">
      <c r="A303" s="77">
        <v>303</v>
      </c>
      <c r="B303" s="77" t="s">
        <v>486</v>
      </c>
    </row>
    <row r="304" spans="1:2">
      <c r="A304" s="77">
        <v>304</v>
      </c>
      <c r="B304" s="77" t="s">
        <v>487</v>
      </c>
    </row>
    <row r="305" spans="1:2">
      <c r="A305" s="77">
        <v>305</v>
      </c>
      <c r="B305" s="77" t="s">
        <v>488</v>
      </c>
    </row>
    <row r="306" spans="1:2">
      <c r="A306" s="77">
        <v>306</v>
      </c>
      <c r="B306" s="77" t="s">
        <v>489</v>
      </c>
    </row>
    <row r="307" spans="1:2">
      <c r="A307" s="77">
        <v>307</v>
      </c>
      <c r="B307" s="77" t="s">
        <v>490</v>
      </c>
    </row>
    <row r="308" spans="1:2">
      <c r="A308" s="77">
        <v>308</v>
      </c>
      <c r="B308" s="77" t="s">
        <v>491</v>
      </c>
    </row>
    <row r="309" spans="1:2">
      <c r="A309" s="77">
        <v>309</v>
      </c>
      <c r="B309" s="77" t="s">
        <v>492</v>
      </c>
    </row>
    <row r="310" spans="1:2">
      <c r="A310" s="77">
        <v>310</v>
      </c>
      <c r="B310" s="77" t="s">
        <v>493</v>
      </c>
    </row>
    <row r="311" spans="1:2">
      <c r="A311" s="77">
        <v>311</v>
      </c>
      <c r="B311" s="77" t="s">
        <v>494</v>
      </c>
    </row>
    <row r="312" spans="1:2">
      <c r="A312" s="77">
        <v>312</v>
      </c>
      <c r="B312" s="77" t="s">
        <v>495</v>
      </c>
    </row>
    <row r="313" spans="1:2">
      <c r="A313" s="77">
        <v>313</v>
      </c>
      <c r="B313" s="77" t="s">
        <v>496</v>
      </c>
    </row>
    <row r="314" spans="1:2">
      <c r="A314" s="77">
        <v>314</v>
      </c>
      <c r="B314" s="77" t="s">
        <v>497</v>
      </c>
    </row>
    <row r="315" spans="1:2">
      <c r="A315" s="77">
        <v>315</v>
      </c>
      <c r="B315" s="77" t="s">
        <v>498</v>
      </c>
    </row>
    <row r="316" spans="1:2">
      <c r="A316" s="77">
        <v>316</v>
      </c>
      <c r="B316" s="77" t="s">
        <v>499</v>
      </c>
    </row>
    <row r="317" spans="1:2">
      <c r="A317" s="77">
        <v>317</v>
      </c>
      <c r="B317" s="77" t="s">
        <v>500</v>
      </c>
    </row>
    <row r="318" spans="1:2">
      <c r="A318" s="77">
        <v>318</v>
      </c>
      <c r="B318" s="77" t="s">
        <v>501</v>
      </c>
    </row>
    <row r="319" spans="1:2">
      <c r="A319" s="77">
        <v>319</v>
      </c>
      <c r="B319" s="77" t="s">
        <v>502</v>
      </c>
    </row>
    <row r="320" spans="1:2">
      <c r="A320" s="77">
        <v>320</v>
      </c>
      <c r="B320" s="77" t="s">
        <v>503</v>
      </c>
    </row>
    <row r="321" spans="1:2">
      <c r="A321" s="77">
        <v>321</v>
      </c>
      <c r="B321" s="77" t="s">
        <v>504</v>
      </c>
    </row>
    <row r="322" spans="1:2">
      <c r="A322" s="77">
        <v>322</v>
      </c>
      <c r="B322" s="77" t="s">
        <v>505</v>
      </c>
    </row>
    <row r="323" spans="1:2">
      <c r="A323" s="77">
        <v>323</v>
      </c>
      <c r="B323" s="77" t="s">
        <v>506</v>
      </c>
    </row>
    <row r="324" spans="1:2">
      <c r="A324" s="77">
        <v>324</v>
      </c>
      <c r="B324" s="77" t="s">
        <v>507</v>
      </c>
    </row>
    <row r="325" spans="1:2">
      <c r="A325" s="77">
        <v>325</v>
      </c>
      <c r="B325" s="77" t="s">
        <v>508</v>
      </c>
    </row>
    <row r="326" spans="1:2">
      <c r="A326" s="77">
        <v>326</v>
      </c>
      <c r="B326" s="77" t="s">
        <v>509</v>
      </c>
    </row>
    <row r="327" spans="1:2">
      <c r="A327" s="77">
        <v>327</v>
      </c>
      <c r="B327" s="77" t="s">
        <v>510</v>
      </c>
    </row>
    <row r="328" spans="1:2">
      <c r="A328" s="77">
        <v>328</v>
      </c>
      <c r="B328" s="77" t="s">
        <v>511</v>
      </c>
    </row>
    <row r="329" spans="1:2">
      <c r="A329" s="77">
        <v>329</v>
      </c>
      <c r="B329" s="77" t="s">
        <v>512</v>
      </c>
    </row>
    <row r="330" spans="1:2">
      <c r="A330" s="77">
        <v>330</v>
      </c>
      <c r="B330" s="77" t="s">
        <v>513</v>
      </c>
    </row>
    <row r="331" spans="1:2">
      <c r="A331" s="77">
        <v>331</v>
      </c>
      <c r="B331" s="77" t="s">
        <v>514</v>
      </c>
    </row>
    <row r="332" spans="1:2">
      <c r="A332" s="77">
        <v>332</v>
      </c>
      <c r="B332" s="77" t="s">
        <v>515</v>
      </c>
    </row>
    <row r="333" spans="1:2">
      <c r="A333" s="77">
        <v>333</v>
      </c>
      <c r="B333" s="77" t="s">
        <v>516</v>
      </c>
    </row>
    <row r="334" spans="1:2">
      <c r="A334" s="77">
        <v>334</v>
      </c>
      <c r="B334" s="77" t="s">
        <v>517</v>
      </c>
    </row>
    <row r="335" spans="1:2">
      <c r="A335" s="77">
        <v>335</v>
      </c>
      <c r="B335" s="77" t="s">
        <v>518</v>
      </c>
    </row>
    <row r="336" spans="1:2">
      <c r="A336" s="77">
        <v>336</v>
      </c>
      <c r="B336" s="77" t="s">
        <v>519</v>
      </c>
    </row>
    <row r="337" spans="1:2">
      <c r="A337" s="77">
        <v>337</v>
      </c>
      <c r="B337" s="77" t="s">
        <v>520</v>
      </c>
    </row>
    <row r="338" spans="1:2">
      <c r="A338" s="77">
        <v>338</v>
      </c>
      <c r="B338" s="77" t="s">
        <v>521</v>
      </c>
    </row>
    <row r="339" spans="1:2">
      <c r="A339" s="77">
        <v>339</v>
      </c>
      <c r="B339" s="77" t="s">
        <v>522</v>
      </c>
    </row>
    <row r="340" spans="1:2">
      <c r="A340" s="77">
        <v>340</v>
      </c>
      <c r="B340" s="77" t="s">
        <v>523</v>
      </c>
    </row>
    <row r="341" spans="1:2">
      <c r="A341" s="77">
        <v>341</v>
      </c>
      <c r="B341" s="77" t="s">
        <v>524</v>
      </c>
    </row>
    <row r="342" spans="1:2">
      <c r="A342" s="77">
        <v>342</v>
      </c>
      <c r="B342" s="77" t="s">
        <v>525</v>
      </c>
    </row>
    <row r="343" spans="1:2">
      <c r="A343" s="77">
        <v>343</v>
      </c>
      <c r="B343" s="77" t="s">
        <v>526</v>
      </c>
    </row>
    <row r="344" spans="1:2">
      <c r="A344" s="77">
        <v>344</v>
      </c>
      <c r="B344" s="77" t="s">
        <v>527</v>
      </c>
    </row>
    <row r="345" spans="1:2">
      <c r="A345" s="77">
        <v>345</v>
      </c>
      <c r="B345" s="77" t="s">
        <v>528</v>
      </c>
    </row>
    <row r="346" spans="1:2">
      <c r="A346" s="77">
        <v>346</v>
      </c>
      <c r="B346" s="77" t="s">
        <v>529</v>
      </c>
    </row>
    <row r="347" spans="1:2">
      <c r="A347" s="77">
        <v>347</v>
      </c>
      <c r="B347" s="77" t="s">
        <v>530</v>
      </c>
    </row>
    <row r="348" spans="1:2">
      <c r="A348" s="77">
        <v>348</v>
      </c>
      <c r="B348" s="77" t="s">
        <v>531</v>
      </c>
    </row>
    <row r="349" spans="1:2">
      <c r="A349" s="77">
        <v>349</v>
      </c>
      <c r="B349" s="77" t="s">
        <v>532</v>
      </c>
    </row>
    <row r="350" spans="1:2">
      <c r="A350" s="77">
        <v>350</v>
      </c>
      <c r="B350" s="77" t="s">
        <v>533</v>
      </c>
    </row>
    <row r="351" spans="1:2">
      <c r="A351" s="77">
        <v>351</v>
      </c>
      <c r="B351" s="77" t="s">
        <v>534</v>
      </c>
    </row>
    <row r="352" spans="1:2">
      <c r="A352" s="77">
        <v>352</v>
      </c>
      <c r="B352" s="77" t="s">
        <v>535</v>
      </c>
    </row>
    <row r="353" spans="1:2">
      <c r="A353" s="77">
        <v>353</v>
      </c>
      <c r="B353" s="77" t="s">
        <v>536</v>
      </c>
    </row>
    <row r="354" spans="1:2">
      <c r="A354" s="77">
        <v>354</v>
      </c>
      <c r="B354" s="77" t="s">
        <v>537</v>
      </c>
    </row>
    <row r="355" spans="1:2">
      <c r="A355" s="77">
        <v>355</v>
      </c>
      <c r="B355" s="77" t="s">
        <v>538</v>
      </c>
    </row>
    <row r="356" spans="1:2">
      <c r="A356" s="77">
        <v>356</v>
      </c>
      <c r="B356" s="77" t="s">
        <v>539</v>
      </c>
    </row>
    <row r="357" spans="1:2">
      <c r="A357" s="77">
        <v>357</v>
      </c>
      <c r="B357" s="77" t="s">
        <v>540</v>
      </c>
    </row>
    <row r="358" spans="1:2">
      <c r="A358" s="77">
        <v>358</v>
      </c>
      <c r="B358" s="77" t="s">
        <v>541</v>
      </c>
    </row>
    <row r="359" spans="1:2">
      <c r="A359" s="77">
        <v>359</v>
      </c>
      <c r="B359" s="77" t="s">
        <v>542</v>
      </c>
    </row>
    <row r="360" spans="1:2">
      <c r="A360" s="77">
        <v>360</v>
      </c>
      <c r="B360" s="77" t="s">
        <v>543</v>
      </c>
    </row>
    <row r="361" spans="1:2">
      <c r="A361" s="77">
        <v>361</v>
      </c>
      <c r="B361" s="77" t="s">
        <v>544</v>
      </c>
    </row>
    <row r="362" spans="1:2">
      <c r="A362" s="77">
        <v>362</v>
      </c>
      <c r="B362" s="77" t="s">
        <v>545</v>
      </c>
    </row>
    <row r="363" spans="1:2">
      <c r="A363" s="77">
        <v>363</v>
      </c>
      <c r="B363" s="77" t="s">
        <v>546</v>
      </c>
    </row>
    <row r="364" spans="1:2">
      <c r="A364" s="77">
        <v>364</v>
      </c>
      <c r="B364" s="77" t="s">
        <v>547</v>
      </c>
    </row>
    <row r="365" spans="1:2">
      <c r="A365" s="77">
        <v>365</v>
      </c>
      <c r="B365" s="77" t="s">
        <v>548</v>
      </c>
    </row>
    <row r="366" spans="1:2">
      <c r="A366" s="77">
        <v>366</v>
      </c>
      <c r="B366" s="77" t="s">
        <v>549</v>
      </c>
    </row>
    <row r="367" spans="1:2">
      <c r="A367" s="77">
        <v>367</v>
      </c>
      <c r="B367" s="77" t="s">
        <v>550</v>
      </c>
    </row>
    <row r="368" spans="1:2">
      <c r="A368" s="77">
        <v>368</v>
      </c>
      <c r="B368" s="77" t="s">
        <v>551</v>
      </c>
    </row>
    <row r="369" spans="1:2">
      <c r="A369" s="77">
        <v>369</v>
      </c>
      <c r="B369" s="77" t="s">
        <v>552</v>
      </c>
    </row>
    <row r="370" spans="1:2">
      <c r="A370" s="77">
        <v>370</v>
      </c>
      <c r="B370" s="77" t="s">
        <v>553</v>
      </c>
    </row>
    <row r="371" spans="1:2">
      <c r="A371" s="77">
        <v>371</v>
      </c>
      <c r="B371" s="77" t="s">
        <v>554</v>
      </c>
    </row>
    <row r="372" spans="1:2">
      <c r="A372" s="77">
        <v>372</v>
      </c>
      <c r="B372" s="77" t="s">
        <v>555</v>
      </c>
    </row>
    <row r="373" spans="1:2">
      <c r="A373" s="77">
        <v>373</v>
      </c>
      <c r="B373" s="77" t="s">
        <v>556</v>
      </c>
    </row>
    <row r="374" spans="1:2">
      <c r="A374" s="77">
        <v>374</v>
      </c>
      <c r="B374" s="77" t="s">
        <v>557</v>
      </c>
    </row>
    <row r="375" spans="1:2">
      <c r="A375" s="77">
        <v>375</v>
      </c>
      <c r="B375" s="77" t="s">
        <v>558</v>
      </c>
    </row>
    <row r="376" spans="1:2">
      <c r="A376" s="77">
        <v>376</v>
      </c>
      <c r="B376" s="77" t="s">
        <v>559</v>
      </c>
    </row>
    <row r="377" spans="1:2">
      <c r="A377" s="77">
        <v>377</v>
      </c>
      <c r="B377" s="77" t="s">
        <v>560</v>
      </c>
    </row>
    <row r="378" spans="1:2">
      <c r="A378" s="77">
        <v>378</v>
      </c>
      <c r="B378" s="77" t="s">
        <v>561</v>
      </c>
    </row>
    <row r="379" spans="1:2">
      <c r="A379" s="77">
        <v>379</v>
      </c>
      <c r="B379" s="77" t="s">
        <v>562</v>
      </c>
    </row>
    <row r="380" spans="1:2">
      <c r="A380" s="77">
        <v>380</v>
      </c>
      <c r="B380" s="77" t="s">
        <v>563</v>
      </c>
    </row>
    <row r="381" spans="1:2">
      <c r="A381" s="77">
        <v>381</v>
      </c>
      <c r="B381" s="77" t="s">
        <v>564</v>
      </c>
    </row>
    <row r="382" spans="1:2">
      <c r="A382" s="77">
        <v>382</v>
      </c>
      <c r="B382" s="77" t="s">
        <v>565</v>
      </c>
    </row>
    <row r="383" spans="1:2">
      <c r="A383" s="77">
        <v>383</v>
      </c>
      <c r="B383" s="77" t="s">
        <v>566</v>
      </c>
    </row>
    <row r="384" spans="1:2">
      <c r="A384" s="77">
        <v>384</v>
      </c>
      <c r="B384" s="77" t="s">
        <v>567</v>
      </c>
    </row>
    <row r="385" spans="1:2">
      <c r="A385" s="77">
        <v>385</v>
      </c>
      <c r="B385" s="77" t="s">
        <v>568</v>
      </c>
    </row>
    <row r="386" spans="1:2">
      <c r="A386" s="77">
        <v>386</v>
      </c>
      <c r="B386" s="77" t="s">
        <v>569</v>
      </c>
    </row>
    <row r="387" spans="1:2">
      <c r="A387" s="77">
        <v>387</v>
      </c>
      <c r="B387" s="77" t="s">
        <v>570</v>
      </c>
    </row>
    <row r="388" spans="1:2">
      <c r="A388" s="77">
        <v>388</v>
      </c>
      <c r="B388" s="77" t="s">
        <v>571</v>
      </c>
    </row>
    <row r="389" spans="1:2">
      <c r="A389" s="77">
        <v>389</v>
      </c>
      <c r="B389" s="77" t="s">
        <v>572</v>
      </c>
    </row>
    <row r="390" spans="1:2">
      <c r="A390" s="77">
        <v>390</v>
      </c>
      <c r="B390" s="77" t="s">
        <v>573</v>
      </c>
    </row>
    <row r="391" spans="1:2">
      <c r="A391" s="77">
        <v>391</v>
      </c>
      <c r="B391" s="77" t="s">
        <v>574</v>
      </c>
    </row>
    <row r="392" spans="1:2">
      <c r="A392" s="77">
        <v>392</v>
      </c>
      <c r="B392" s="77" t="s">
        <v>575</v>
      </c>
    </row>
    <row r="393" spans="1:2">
      <c r="A393" s="77">
        <v>393</v>
      </c>
      <c r="B393" s="77" t="s">
        <v>576</v>
      </c>
    </row>
    <row r="394" spans="1:2">
      <c r="A394" s="77">
        <v>394</v>
      </c>
      <c r="B394" s="77" t="s">
        <v>577</v>
      </c>
    </row>
    <row r="395" spans="1:2">
      <c r="A395" s="77">
        <v>395</v>
      </c>
      <c r="B395" s="77" t="s">
        <v>578</v>
      </c>
    </row>
    <row r="396" spans="1:2">
      <c r="A396" s="77">
        <v>396</v>
      </c>
      <c r="B396" s="77" t="s">
        <v>579</v>
      </c>
    </row>
    <row r="397" spans="1:2">
      <c r="A397" s="77">
        <v>397</v>
      </c>
      <c r="B397" s="77" t="s">
        <v>580</v>
      </c>
    </row>
    <row r="398" spans="1:2">
      <c r="A398" s="77">
        <v>398</v>
      </c>
      <c r="B398" s="77" t="s">
        <v>581</v>
      </c>
    </row>
    <row r="399" spans="1:2">
      <c r="A399" s="77">
        <v>399</v>
      </c>
      <c r="B399" s="77" t="s">
        <v>582</v>
      </c>
    </row>
    <row r="400" spans="1:2">
      <c r="A400" s="77">
        <v>400</v>
      </c>
      <c r="B400" s="77" t="s">
        <v>583</v>
      </c>
    </row>
    <row r="401" spans="1:2">
      <c r="A401" s="77">
        <v>401</v>
      </c>
      <c r="B401" s="77" t="s">
        <v>584</v>
      </c>
    </row>
    <row r="402" spans="1:2">
      <c r="A402" s="77">
        <v>402</v>
      </c>
      <c r="B402" s="77" t="s">
        <v>585</v>
      </c>
    </row>
    <row r="403" spans="1:2">
      <c r="A403" s="77">
        <v>403</v>
      </c>
      <c r="B403" s="77" t="s">
        <v>586</v>
      </c>
    </row>
    <row r="404" spans="1:2">
      <c r="A404" s="77">
        <v>404</v>
      </c>
      <c r="B404" s="77" t="s">
        <v>587</v>
      </c>
    </row>
    <row r="405" spans="1:2">
      <c r="A405" s="77">
        <v>405</v>
      </c>
      <c r="B405" s="77" t="s">
        <v>588</v>
      </c>
    </row>
    <row r="406" spans="1:2">
      <c r="A406" s="77">
        <v>406</v>
      </c>
      <c r="B406" s="77" t="s">
        <v>589</v>
      </c>
    </row>
    <row r="407" spans="1:2">
      <c r="A407" s="77">
        <v>407</v>
      </c>
      <c r="B407" s="77" t="s">
        <v>590</v>
      </c>
    </row>
    <row r="408" spans="1:2">
      <c r="A408" s="77">
        <v>408</v>
      </c>
      <c r="B408" s="77" t="s">
        <v>591</v>
      </c>
    </row>
    <row r="409" spans="1:2">
      <c r="A409" s="77">
        <v>409</v>
      </c>
      <c r="B409" s="77" t="s">
        <v>592</v>
      </c>
    </row>
    <row r="410" spans="1:2">
      <c r="A410" s="77">
        <v>410</v>
      </c>
      <c r="B410" s="77" t="s">
        <v>593</v>
      </c>
    </row>
    <row r="411" spans="1:2">
      <c r="A411" s="77">
        <v>411</v>
      </c>
      <c r="B411" s="77" t="s">
        <v>594</v>
      </c>
    </row>
    <row r="412" spans="1:2">
      <c r="A412" s="77">
        <v>412</v>
      </c>
      <c r="B412" s="77" t="s">
        <v>595</v>
      </c>
    </row>
    <row r="413" spans="1:2">
      <c r="A413" s="77">
        <v>413</v>
      </c>
      <c r="B413" s="77" t="s">
        <v>596</v>
      </c>
    </row>
    <row r="414" spans="1:2">
      <c r="A414" s="77">
        <v>414</v>
      </c>
      <c r="B414" s="77" t="s">
        <v>597</v>
      </c>
    </row>
    <row r="415" spans="1:2">
      <c r="A415" s="77">
        <v>415</v>
      </c>
      <c r="B415" s="77" t="s">
        <v>598</v>
      </c>
    </row>
    <row r="416" spans="1:2">
      <c r="A416" s="77">
        <v>416</v>
      </c>
      <c r="B416" s="77" t="s">
        <v>599</v>
      </c>
    </row>
    <row r="417" spans="1:2">
      <c r="A417" s="77">
        <v>417</v>
      </c>
      <c r="B417" s="77" t="s">
        <v>600</v>
      </c>
    </row>
    <row r="418" spans="1:2">
      <c r="A418" s="77">
        <v>418</v>
      </c>
      <c r="B418" s="77" t="s">
        <v>601</v>
      </c>
    </row>
    <row r="419" spans="1:2">
      <c r="A419" s="77">
        <v>419</v>
      </c>
      <c r="B419" s="77" t="s">
        <v>602</v>
      </c>
    </row>
    <row r="420" spans="1:2">
      <c r="A420" s="77">
        <v>420</v>
      </c>
      <c r="B420" s="77" t="s">
        <v>603</v>
      </c>
    </row>
    <row r="421" spans="1:2">
      <c r="A421" s="77">
        <v>421</v>
      </c>
      <c r="B421" s="77" t="s">
        <v>604</v>
      </c>
    </row>
    <row r="422" spans="1:2">
      <c r="A422" s="77">
        <v>422</v>
      </c>
      <c r="B422" s="77" t="s">
        <v>605</v>
      </c>
    </row>
    <row r="423" spans="1:2">
      <c r="A423" s="77">
        <v>423</v>
      </c>
      <c r="B423" s="77" t="s">
        <v>606</v>
      </c>
    </row>
    <row r="424" spans="1:2">
      <c r="A424" s="77">
        <v>424</v>
      </c>
      <c r="B424" s="77" t="s">
        <v>607</v>
      </c>
    </row>
    <row r="425" spans="1:2">
      <c r="A425" s="77">
        <v>425</v>
      </c>
      <c r="B425" s="77" t="s">
        <v>608</v>
      </c>
    </row>
    <row r="426" spans="1:2">
      <c r="A426" s="77">
        <v>426</v>
      </c>
      <c r="B426" s="77" t="s">
        <v>609</v>
      </c>
    </row>
    <row r="427" spans="1:2">
      <c r="A427" s="77">
        <v>427</v>
      </c>
      <c r="B427" s="77" t="s">
        <v>610</v>
      </c>
    </row>
    <row r="428" spans="1:2">
      <c r="A428" s="77">
        <v>428</v>
      </c>
      <c r="B428" s="77" t="s">
        <v>611</v>
      </c>
    </row>
    <row r="429" spans="1:2">
      <c r="A429" s="77">
        <v>429</v>
      </c>
      <c r="B429" s="77" t="s">
        <v>612</v>
      </c>
    </row>
    <row r="430" spans="1:2">
      <c r="A430" s="77">
        <v>430</v>
      </c>
      <c r="B430" s="77" t="s">
        <v>613</v>
      </c>
    </row>
    <row r="431" spans="1:2">
      <c r="A431" s="77">
        <v>431</v>
      </c>
      <c r="B431" s="77" t="s">
        <v>614</v>
      </c>
    </row>
    <row r="432" spans="1:2">
      <c r="A432" s="77">
        <v>432</v>
      </c>
      <c r="B432" s="77" t="s">
        <v>615</v>
      </c>
    </row>
    <row r="433" spans="1:2">
      <c r="A433" s="77">
        <v>433</v>
      </c>
      <c r="B433" s="77" t="s">
        <v>616</v>
      </c>
    </row>
    <row r="434" spans="1:2">
      <c r="A434" s="77">
        <v>434</v>
      </c>
      <c r="B434" s="77" t="s">
        <v>617</v>
      </c>
    </row>
    <row r="435" spans="1:2">
      <c r="A435" s="77">
        <v>435</v>
      </c>
      <c r="B435" s="77" t="s">
        <v>618</v>
      </c>
    </row>
    <row r="436" spans="1:2">
      <c r="A436" s="77">
        <v>436</v>
      </c>
      <c r="B436" s="77" t="s">
        <v>619</v>
      </c>
    </row>
    <row r="437" spans="1:2">
      <c r="A437" s="77">
        <v>437</v>
      </c>
      <c r="B437" s="77" t="s">
        <v>620</v>
      </c>
    </row>
    <row r="438" spans="1:2">
      <c r="A438" s="77">
        <v>438</v>
      </c>
      <c r="B438" s="77" t="s">
        <v>621</v>
      </c>
    </row>
    <row r="439" spans="1:2">
      <c r="A439" s="77">
        <v>439</v>
      </c>
      <c r="B439" s="77" t="s">
        <v>622</v>
      </c>
    </row>
    <row r="440" spans="1:2">
      <c r="A440" s="77">
        <v>440</v>
      </c>
      <c r="B440" s="77" t="s">
        <v>623</v>
      </c>
    </row>
    <row r="441" spans="1:2">
      <c r="A441" s="77">
        <v>441</v>
      </c>
      <c r="B441" s="77" t="s">
        <v>624</v>
      </c>
    </row>
    <row r="442" spans="1:2">
      <c r="A442" s="77">
        <v>442</v>
      </c>
      <c r="B442" s="77" t="s">
        <v>625</v>
      </c>
    </row>
    <row r="443" spans="1:2">
      <c r="A443" s="77">
        <v>443</v>
      </c>
      <c r="B443" s="77" t="s">
        <v>626</v>
      </c>
    </row>
    <row r="444" spans="1:2">
      <c r="A444" s="77">
        <v>444</v>
      </c>
      <c r="B444" s="77" t="s">
        <v>627</v>
      </c>
    </row>
    <row r="445" spans="1:2">
      <c r="A445" s="77">
        <v>445</v>
      </c>
      <c r="B445" s="77" t="s">
        <v>628</v>
      </c>
    </row>
    <row r="446" spans="1:2">
      <c r="A446" s="77">
        <v>446</v>
      </c>
      <c r="B446" s="77" t="s">
        <v>629</v>
      </c>
    </row>
    <row r="447" spans="1:2">
      <c r="A447" s="77">
        <v>447</v>
      </c>
      <c r="B447" s="77" t="s">
        <v>630</v>
      </c>
    </row>
    <row r="448" spans="1:2">
      <c r="A448" s="77">
        <v>448</v>
      </c>
      <c r="B448" s="77" t="s">
        <v>631</v>
      </c>
    </row>
    <row r="449" spans="1:2">
      <c r="A449" s="77">
        <v>449</v>
      </c>
      <c r="B449" s="77" t="s">
        <v>632</v>
      </c>
    </row>
    <row r="450" spans="1:2">
      <c r="A450" s="77">
        <v>450</v>
      </c>
      <c r="B450" s="77" t="s">
        <v>633</v>
      </c>
    </row>
    <row r="451" spans="1:2">
      <c r="A451" s="77">
        <v>451</v>
      </c>
      <c r="B451" s="77" t="s">
        <v>634</v>
      </c>
    </row>
    <row r="452" spans="1:2">
      <c r="A452" s="77">
        <v>452</v>
      </c>
      <c r="B452" s="77" t="s">
        <v>635</v>
      </c>
    </row>
    <row r="453" spans="1:2">
      <c r="A453" s="77">
        <v>453</v>
      </c>
      <c r="B453" s="77" t="s">
        <v>636</v>
      </c>
    </row>
    <row r="454" spans="1:2">
      <c r="A454" s="77">
        <v>454</v>
      </c>
      <c r="B454" s="77" t="s">
        <v>637</v>
      </c>
    </row>
    <row r="455" spans="1:2">
      <c r="A455" s="77">
        <v>455</v>
      </c>
      <c r="B455" s="77" t="s">
        <v>638</v>
      </c>
    </row>
    <row r="456" spans="1:2">
      <c r="A456" s="77">
        <v>456</v>
      </c>
      <c r="B456" s="77" t="s">
        <v>639</v>
      </c>
    </row>
    <row r="457" spans="1:2">
      <c r="A457" s="77">
        <v>457</v>
      </c>
      <c r="B457" s="77" t="s">
        <v>640</v>
      </c>
    </row>
    <row r="458" spans="1:2">
      <c r="A458" s="77">
        <v>458</v>
      </c>
      <c r="B458" s="77" t="s">
        <v>641</v>
      </c>
    </row>
    <row r="459" spans="1:2">
      <c r="A459" s="77">
        <v>459</v>
      </c>
      <c r="B459" s="77" t="s">
        <v>642</v>
      </c>
    </row>
    <row r="460" spans="1:2">
      <c r="A460" s="77">
        <v>460</v>
      </c>
      <c r="B460" s="77" t="s">
        <v>643</v>
      </c>
    </row>
    <row r="461" spans="1:2">
      <c r="A461" s="77">
        <v>461</v>
      </c>
      <c r="B461" s="77" t="s">
        <v>644</v>
      </c>
    </row>
    <row r="462" spans="1:2">
      <c r="A462" s="77">
        <v>462</v>
      </c>
      <c r="B462" s="77" t="s">
        <v>645</v>
      </c>
    </row>
    <row r="463" spans="1:2">
      <c r="A463" s="77">
        <v>463</v>
      </c>
      <c r="B463" s="77" t="s">
        <v>646</v>
      </c>
    </row>
    <row r="464" spans="1:2">
      <c r="A464" s="77">
        <v>464</v>
      </c>
      <c r="B464" s="77" t="s">
        <v>647</v>
      </c>
    </row>
    <row r="465" spans="1:2">
      <c r="A465" s="77">
        <v>465</v>
      </c>
      <c r="B465" s="77" t="s">
        <v>648</v>
      </c>
    </row>
    <row r="466" spans="1:2">
      <c r="A466" s="77">
        <v>466</v>
      </c>
      <c r="B466" s="77" t="s">
        <v>649</v>
      </c>
    </row>
    <row r="467" spans="1:2">
      <c r="A467" s="77">
        <v>467</v>
      </c>
      <c r="B467" s="77" t="s">
        <v>650</v>
      </c>
    </row>
    <row r="468" spans="1:2">
      <c r="A468" s="77">
        <v>468</v>
      </c>
      <c r="B468" s="77" t="s">
        <v>651</v>
      </c>
    </row>
    <row r="469" spans="1:2">
      <c r="A469" s="77">
        <v>469</v>
      </c>
      <c r="B469" s="77" t="s">
        <v>652</v>
      </c>
    </row>
    <row r="470" spans="1:2">
      <c r="A470" s="77">
        <v>470</v>
      </c>
      <c r="B470" s="77" t="s">
        <v>653</v>
      </c>
    </row>
    <row r="471" spans="1:2">
      <c r="A471" s="77">
        <v>471</v>
      </c>
      <c r="B471" s="77" t="s">
        <v>654</v>
      </c>
    </row>
    <row r="472" spans="1:2">
      <c r="A472" s="77">
        <v>472</v>
      </c>
      <c r="B472" s="77" t="s">
        <v>655</v>
      </c>
    </row>
    <row r="473" spans="1:2">
      <c r="A473" s="77">
        <v>473</v>
      </c>
      <c r="B473" s="77" t="s">
        <v>656</v>
      </c>
    </row>
    <row r="474" spans="1:2">
      <c r="A474" s="77">
        <v>474</v>
      </c>
      <c r="B474" s="77" t="s">
        <v>657</v>
      </c>
    </row>
    <row r="475" spans="1:2">
      <c r="A475" s="77">
        <v>475</v>
      </c>
      <c r="B475" s="77" t="s">
        <v>658</v>
      </c>
    </row>
    <row r="476" spans="1:2">
      <c r="A476" s="77">
        <v>476</v>
      </c>
      <c r="B476" s="77" t="s">
        <v>659</v>
      </c>
    </row>
    <row r="477" spans="1:2">
      <c r="A477" s="77">
        <v>477</v>
      </c>
      <c r="B477" s="77" t="s">
        <v>660</v>
      </c>
    </row>
    <row r="478" spans="1:2">
      <c r="A478" s="77">
        <v>478</v>
      </c>
      <c r="B478" s="77" t="s">
        <v>661</v>
      </c>
    </row>
    <row r="479" spans="1:2">
      <c r="A479" s="77">
        <v>479</v>
      </c>
      <c r="B479" s="77" t="s">
        <v>662</v>
      </c>
    </row>
    <row r="480" spans="1:2">
      <c r="A480" s="77">
        <v>480</v>
      </c>
      <c r="B480" s="77" t="s">
        <v>663</v>
      </c>
    </row>
    <row r="481" spans="1:2">
      <c r="A481" s="77">
        <v>481</v>
      </c>
      <c r="B481" s="77" t="s">
        <v>664</v>
      </c>
    </row>
    <row r="482" spans="1:2">
      <c r="A482" s="77">
        <v>482</v>
      </c>
      <c r="B482" s="77" t="s">
        <v>665</v>
      </c>
    </row>
    <row r="483" spans="1:2">
      <c r="A483" s="77">
        <v>483</v>
      </c>
      <c r="B483" s="77" t="s">
        <v>666</v>
      </c>
    </row>
    <row r="484" spans="1:2">
      <c r="A484" s="77">
        <v>484</v>
      </c>
      <c r="B484" s="77" t="s">
        <v>667</v>
      </c>
    </row>
    <row r="485" spans="1:2">
      <c r="A485" s="77">
        <v>485</v>
      </c>
      <c r="B485" s="77" t="s">
        <v>668</v>
      </c>
    </row>
    <row r="486" spans="1:2">
      <c r="A486" s="77">
        <v>486</v>
      </c>
      <c r="B486" s="77" t="s">
        <v>669</v>
      </c>
    </row>
    <row r="487" spans="1:2">
      <c r="A487" s="77">
        <v>487</v>
      </c>
      <c r="B487" s="77" t="s">
        <v>670</v>
      </c>
    </row>
    <row r="488" spans="1:2">
      <c r="A488" s="77">
        <v>488</v>
      </c>
      <c r="B488" s="77" t="s">
        <v>671</v>
      </c>
    </row>
    <row r="489" spans="1:2">
      <c r="A489" s="77">
        <v>489</v>
      </c>
      <c r="B489" s="77" t="s">
        <v>672</v>
      </c>
    </row>
    <row r="490" spans="1:2">
      <c r="A490" s="77">
        <v>490</v>
      </c>
      <c r="B490" s="77" t="s">
        <v>673</v>
      </c>
    </row>
    <row r="491" spans="1:2">
      <c r="A491" s="77">
        <v>491</v>
      </c>
      <c r="B491" s="77" t="s">
        <v>674</v>
      </c>
    </row>
    <row r="492" spans="1:2">
      <c r="A492" s="77">
        <v>492</v>
      </c>
      <c r="B492" s="77" t="s">
        <v>675</v>
      </c>
    </row>
    <row r="493" spans="1:2">
      <c r="A493" s="77">
        <v>493</v>
      </c>
      <c r="B493" s="77" t="s">
        <v>676</v>
      </c>
    </row>
    <row r="494" spans="1:2">
      <c r="A494" s="77">
        <v>494</v>
      </c>
      <c r="B494" s="77" t="s">
        <v>677</v>
      </c>
    </row>
    <row r="495" spans="1:2">
      <c r="A495" s="77">
        <v>495</v>
      </c>
      <c r="B495" s="77" t="s">
        <v>678</v>
      </c>
    </row>
    <row r="496" spans="1:2">
      <c r="A496" s="77">
        <v>496</v>
      </c>
      <c r="B496" s="77" t="s">
        <v>679</v>
      </c>
    </row>
    <row r="497" spans="1:2">
      <c r="A497" s="77">
        <v>497</v>
      </c>
      <c r="B497" s="77" t="s">
        <v>680</v>
      </c>
    </row>
    <row r="498" spans="1:2">
      <c r="A498" s="77">
        <v>498</v>
      </c>
      <c r="B498" s="77" t="s">
        <v>681</v>
      </c>
    </row>
    <row r="499" spans="1:2">
      <c r="A499" s="77">
        <v>499</v>
      </c>
      <c r="B499" s="77" t="s">
        <v>682</v>
      </c>
    </row>
    <row r="500" spans="1:2">
      <c r="A500" s="77">
        <v>500</v>
      </c>
      <c r="B500" s="77" t="s">
        <v>683</v>
      </c>
    </row>
    <row r="501" spans="1:2">
      <c r="A501" s="77">
        <v>501</v>
      </c>
      <c r="B501" s="77" t="s">
        <v>684</v>
      </c>
    </row>
    <row r="502" spans="1:2">
      <c r="A502" s="77">
        <v>502</v>
      </c>
      <c r="B502" s="77" t="s">
        <v>685</v>
      </c>
    </row>
    <row r="503" spans="1:2">
      <c r="A503" s="77">
        <v>503</v>
      </c>
      <c r="B503" s="77" t="s">
        <v>686</v>
      </c>
    </row>
    <row r="504" spans="1:2">
      <c r="A504" s="77">
        <v>504</v>
      </c>
      <c r="B504" s="77" t="s">
        <v>687</v>
      </c>
    </row>
    <row r="505" spans="1:2">
      <c r="A505" s="77">
        <v>505</v>
      </c>
      <c r="B505" s="77" t="s">
        <v>688</v>
      </c>
    </row>
    <row r="506" spans="1:2">
      <c r="A506" s="77">
        <v>506</v>
      </c>
      <c r="B506" s="77" t="s">
        <v>689</v>
      </c>
    </row>
    <row r="507" spans="1:2">
      <c r="A507" s="77">
        <v>507</v>
      </c>
      <c r="B507" s="77" t="s">
        <v>690</v>
      </c>
    </row>
    <row r="508" spans="1:2">
      <c r="A508" s="77">
        <v>508</v>
      </c>
      <c r="B508" s="77" t="s">
        <v>691</v>
      </c>
    </row>
    <row r="509" spans="1:2">
      <c r="A509" s="77">
        <v>509</v>
      </c>
      <c r="B509" s="77" t="s">
        <v>692</v>
      </c>
    </row>
    <row r="510" spans="1:2">
      <c r="A510" s="77">
        <v>510</v>
      </c>
      <c r="B510" s="77" t="s">
        <v>693</v>
      </c>
    </row>
    <row r="511" spans="1:2">
      <c r="A511" s="77">
        <v>511</v>
      </c>
      <c r="B511" s="77" t="s">
        <v>694</v>
      </c>
    </row>
    <row r="512" spans="1:2">
      <c r="A512" s="77">
        <v>512</v>
      </c>
      <c r="B512" s="77" t="s">
        <v>695</v>
      </c>
    </row>
    <row r="513" spans="1:2">
      <c r="A513" s="77">
        <v>513</v>
      </c>
      <c r="B513" s="77" t="s">
        <v>696</v>
      </c>
    </row>
    <row r="514" spans="1:2">
      <c r="A514" s="77">
        <v>514</v>
      </c>
      <c r="B514" s="77" t="s">
        <v>697</v>
      </c>
    </row>
    <row r="515" spans="1:2">
      <c r="A515" s="77">
        <v>515</v>
      </c>
      <c r="B515" s="77" t="s">
        <v>698</v>
      </c>
    </row>
    <row r="516" spans="1:2">
      <c r="A516" s="77">
        <v>516</v>
      </c>
      <c r="B516" s="77" t="s">
        <v>699</v>
      </c>
    </row>
    <row r="517" spans="1:2">
      <c r="A517" s="77">
        <v>517</v>
      </c>
      <c r="B517" s="77" t="s">
        <v>700</v>
      </c>
    </row>
    <row r="518" spans="1:2">
      <c r="A518" s="77">
        <v>518</v>
      </c>
      <c r="B518" s="77" t="s">
        <v>701</v>
      </c>
    </row>
    <row r="519" spans="1:2">
      <c r="A519" s="77">
        <v>519</v>
      </c>
      <c r="B519" s="77" t="s">
        <v>702</v>
      </c>
    </row>
    <row r="520" spans="1:2">
      <c r="A520" s="77">
        <v>520</v>
      </c>
      <c r="B520" s="77" t="s">
        <v>703</v>
      </c>
    </row>
    <row r="521" spans="1:2">
      <c r="A521" s="77">
        <v>521</v>
      </c>
      <c r="B521" s="77" t="s">
        <v>704</v>
      </c>
    </row>
    <row r="522" spans="1:2">
      <c r="A522" s="77">
        <v>522</v>
      </c>
      <c r="B522" s="77" t="s">
        <v>705</v>
      </c>
    </row>
    <row r="523" spans="1:2">
      <c r="A523" s="77">
        <v>523</v>
      </c>
      <c r="B523" s="77" t="s">
        <v>706</v>
      </c>
    </row>
    <row r="524" spans="1:2">
      <c r="A524" s="77">
        <v>524</v>
      </c>
      <c r="B524" s="77" t="s">
        <v>707</v>
      </c>
    </row>
    <row r="525" spans="1:2">
      <c r="A525" s="77">
        <v>525</v>
      </c>
      <c r="B525" s="77" t="s">
        <v>708</v>
      </c>
    </row>
    <row r="526" spans="1:2">
      <c r="A526" s="77">
        <v>526</v>
      </c>
      <c r="B526" s="77" t="s">
        <v>709</v>
      </c>
    </row>
    <row r="527" spans="1:2">
      <c r="A527" s="77">
        <v>527</v>
      </c>
      <c r="B527" s="77" t="s">
        <v>710</v>
      </c>
    </row>
    <row r="528" spans="1:2">
      <c r="A528" s="77">
        <v>528</v>
      </c>
      <c r="B528" s="77" t="s">
        <v>711</v>
      </c>
    </row>
    <row r="529" spans="1:2">
      <c r="A529" s="77">
        <v>529</v>
      </c>
      <c r="B529" s="77" t="s">
        <v>712</v>
      </c>
    </row>
    <row r="530" spans="1:2">
      <c r="A530" s="77">
        <v>530</v>
      </c>
      <c r="B530" s="77" t="s">
        <v>713</v>
      </c>
    </row>
    <row r="531" spans="1:2">
      <c r="A531" s="77">
        <v>531</v>
      </c>
      <c r="B531" s="77" t="s">
        <v>714</v>
      </c>
    </row>
    <row r="532" spans="1:2">
      <c r="A532" s="77">
        <v>532</v>
      </c>
      <c r="B532" s="77" t="s">
        <v>715</v>
      </c>
    </row>
    <row r="533" spans="1:2">
      <c r="A533" s="77">
        <v>533</v>
      </c>
      <c r="B533" s="77" t="s">
        <v>716</v>
      </c>
    </row>
    <row r="534" spans="1:2">
      <c r="A534" s="77">
        <v>534</v>
      </c>
      <c r="B534" s="77" t="s">
        <v>717</v>
      </c>
    </row>
    <row r="535" spans="1:2">
      <c r="A535" s="77">
        <v>535</v>
      </c>
      <c r="B535" s="77" t="s">
        <v>718</v>
      </c>
    </row>
    <row r="536" spans="1:2">
      <c r="A536" s="77">
        <v>536</v>
      </c>
      <c r="B536" s="77" t="s">
        <v>719</v>
      </c>
    </row>
    <row r="537" spans="1:2">
      <c r="A537" s="77">
        <v>537</v>
      </c>
      <c r="B537" s="77" t="s">
        <v>720</v>
      </c>
    </row>
    <row r="538" spans="1:2">
      <c r="A538" s="77">
        <v>538</v>
      </c>
      <c r="B538" s="77" t="s">
        <v>721</v>
      </c>
    </row>
    <row r="539" spans="1:2">
      <c r="A539" s="77">
        <v>539</v>
      </c>
      <c r="B539" s="77" t="s">
        <v>722</v>
      </c>
    </row>
    <row r="540" spans="1:2">
      <c r="A540" s="77">
        <v>540</v>
      </c>
      <c r="B540" s="77" t="s">
        <v>723</v>
      </c>
    </row>
    <row r="541" spans="1:2">
      <c r="A541" s="77">
        <v>541</v>
      </c>
      <c r="B541" s="77" t="s">
        <v>724</v>
      </c>
    </row>
    <row r="542" spans="1:2">
      <c r="A542" s="77">
        <v>542</v>
      </c>
      <c r="B542" s="77" t="s">
        <v>725</v>
      </c>
    </row>
    <row r="543" spans="1:2">
      <c r="A543" s="77">
        <v>543</v>
      </c>
      <c r="B543" s="77" t="s">
        <v>726</v>
      </c>
    </row>
    <row r="544" spans="1:2">
      <c r="A544" s="77">
        <v>544</v>
      </c>
      <c r="B544" s="77" t="s">
        <v>727</v>
      </c>
    </row>
    <row r="545" spans="1:2">
      <c r="A545" s="77">
        <v>545</v>
      </c>
      <c r="B545" s="77" t="s">
        <v>728</v>
      </c>
    </row>
    <row r="546" spans="1:2">
      <c r="A546" s="77">
        <v>546</v>
      </c>
      <c r="B546" s="77" t="s">
        <v>729</v>
      </c>
    </row>
    <row r="547" spans="1:2">
      <c r="A547" s="77">
        <v>547</v>
      </c>
      <c r="B547" s="77" t="s">
        <v>730</v>
      </c>
    </row>
    <row r="548" spans="1:2">
      <c r="A548" s="77">
        <v>548</v>
      </c>
      <c r="B548" s="77" t="s">
        <v>731</v>
      </c>
    </row>
    <row r="549" spans="1:2">
      <c r="A549" s="77">
        <v>549</v>
      </c>
      <c r="B549" s="77" t="s">
        <v>732</v>
      </c>
    </row>
    <row r="550" spans="1:2">
      <c r="A550" s="77">
        <v>550</v>
      </c>
      <c r="B550" s="77" t="s">
        <v>733</v>
      </c>
    </row>
    <row r="551" spans="1:2">
      <c r="A551" s="77">
        <v>551</v>
      </c>
      <c r="B551" s="77" t="s">
        <v>734</v>
      </c>
    </row>
    <row r="552" spans="1:2">
      <c r="A552" s="77">
        <v>552</v>
      </c>
      <c r="B552" s="77" t="s">
        <v>735</v>
      </c>
    </row>
    <row r="553" spans="1:2">
      <c r="A553" s="77">
        <v>553</v>
      </c>
      <c r="B553" s="77" t="s">
        <v>736</v>
      </c>
    </row>
    <row r="554" spans="1:2">
      <c r="A554" s="77">
        <v>554</v>
      </c>
      <c r="B554" s="77" t="s">
        <v>737</v>
      </c>
    </row>
    <row r="555" spans="1:2">
      <c r="A555" s="77">
        <v>555</v>
      </c>
      <c r="B555" s="77" t="s">
        <v>738</v>
      </c>
    </row>
    <row r="556" spans="1:2">
      <c r="A556" s="77">
        <v>556</v>
      </c>
      <c r="B556" s="77" t="s">
        <v>739</v>
      </c>
    </row>
    <row r="557" spans="1:2">
      <c r="A557" s="77">
        <v>557</v>
      </c>
      <c r="B557" s="77" t="s">
        <v>740</v>
      </c>
    </row>
    <row r="558" spans="1:2">
      <c r="A558" s="77">
        <v>558</v>
      </c>
      <c r="B558" s="77" t="s">
        <v>741</v>
      </c>
    </row>
    <row r="559" spans="1:2">
      <c r="A559" s="77">
        <v>559</v>
      </c>
      <c r="B559" s="77" t="s">
        <v>742</v>
      </c>
    </row>
    <row r="560" spans="1:2">
      <c r="A560" s="77">
        <v>560</v>
      </c>
      <c r="B560" s="77" t="s">
        <v>743</v>
      </c>
    </row>
    <row r="561" spans="1:2">
      <c r="A561" s="77">
        <v>561</v>
      </c>
      <c r="B561" s="77" t="s">
        <v>744</v>
      </c>
    </row>
    <row r="562" spans="1:2">
      <c r="A562" s="77">
        <v>562</v>
      </c>
      <c r="B562" s="77" t="s">
        <v>745</v>
      </c>
    </row>
    <row r="563" spans="1:2">
      <c r="A563" s="77">
        <v>563</v>
      </c>
      <c r="B563" s="77" t="s">
        <v>746</v>
      </c>
    </row>
    <row r="564" spans="1:2">
      <c r="A564" s="77">
        <v>564</v>
      </c>
      <c r="B564" s="77" t="s">
        <v>747</v>
      </c>
    </row>
    <row r="565" spans="1:2">
      <c r="A565" s="77">
        <v>565</v>
      </c>
      <c r="B565" s="77" t="s">
        <v>748</v>
      </c>
    </row>
    <row r="566" spans="1:2">
      <c r="A566" s="77">
        <v>566</v>
      </c>
      <c r="B566" s="77" t="s">
        <v>749</v>
      </c>
    </row>
    <row r="567" spans="1:2">
      <c r="A567" s="77">
        <v>567</v>
      </c>
      <c r="B567" s="77" t="s">
        <v>750</v>
      </c>
    </row>
    <row r="568" spans="1:2">
      <c r="A568" s="77">
        <v>568</v>
      </c>
      <c r="B568" s="77" t="s">
        <v>751</v>
      </c>
    </row>
    <row r="569" spans="1:2">
      <c r="A569" s="77">
        <v>569</v>
      </c>
      <c r="B569" s="77" t="s">
        <v>752</v>
      </c>
    </row>
    <row r="570" spans="1:2">
      <c r="A570" s="77">
        <v>570</v>
      </c>
      <c r="B570" s="77" t="s">
        <v>753</v>
      </c>
    </row>
    <row r="571" spans="1:2">
      <c r="A571" s="77">
        <v>571</v>
      </c>
      <c r="B571" s="77" t="s">
        <v>754</v>
      </c>
    </row>
    <row r="572" spans="1:2">
      <c r="A572" s="77">
        <v>572</v>
      </c>
      <c r="B572" s="77" t="s">
        <v>755</v>
      </c>
    </row>
    <row r="573" spans="1:2">
      <c r="A573" s="77">
        <v>573</v>
      </c>
      <c r="B573" s="77" t="s">
        <v>756</v>
      </c>
    </row>
    <row r="574" spans="1:2">
      <c r="A574" s="77">
        <v>574</v>
      </c>
      <c r="B574" s="77" t="s">
        <v>757</v>
      </c>
    </row>
    <row r="575" spans="1:2">
      <c r="A575" s="77">
        <v>575</v>
      </c>
      <c r="B575" s="77" t="s">
        <v>758</v>
      </c>
    </row>
    <row r="576" spans="1:2">
      <c r="A576" s="77">
        <v>576</v>
      </c>
      <c r="B576" s="77" t="s">
        <v>759</v>
      </c>
    </row>
    <row r="577" spans="1:2">
      <c r="A577" s="77">
        <v>577</v>
      </c>
      <c r="B577" s="77" t="s">
        <v>760</v>
      </c>
    </row>
    <row r="578" spans="1:2">
      <c r="A578" s="77">
        <v>578</v>
      </c>
      <c r="B578" s="77" t="s">
        <v>761</v>
      </c>
    </row>
    <row r="579" spans="1:2">
      <c r="A579" s="77">
        <v>579</v>
      </c>
      <c r="B579" s="77" t="s">
        <v>762</v>
      </c>
    </row>
    <row r="580" spans="1:2">
      <c r="A580" s="77">
        <v>580</v>
      </c>
      <c r="B580" s="77" t="s">
        <v>763</v>
      </c>
    </row>
    <row r="581" spans="1:2">
      <c r="A581" s="77">
        <v>581</v>
      </c>
      <c r="B581" s="77" t="s">
        <v>764</v>
      </c>
    </row>
    <row r="582" spans="1:2">
      <c r="A582" s="77">
        <v>582</v>
      </c>
      <c r="B582" s="77" t="s">
        <v>765</v>
      </c>
    </row>
    <row r="583" spans="1:2">
      <c r="A583" s="77">
        <v>583</v>
      </c>
      <c r="B583" s="77" t="s">
        <v>766</v>
      </c>
    </row>
    <row r="584" spans="1:2">
      <c r="A584" s="77">
        <v>584</v>
      </c>
      <c r="B584" s="77" t="s">
        <v>767</v>
      </c>
    </row>
    <row r="585" spans="1:2">
      <c r="A585" s="77">
        <v>585</v>
      </c>
      <c r="B585" s="77" t="s">
        <v>768</v>
      </c>
    </row>
    <row r="586" spans="1:2">
      <c r="A586" s="77">
        <v>586</v>
      </c>
      <c r="B586" s="77" t="s">
        <v>769</v>
      </c>
    </row>
    <row r="587" spans="1:2">
      <c r="A587" s="77">
        <v>587</v>
      </c>
      <c r="B587" s="77" t="s">
        <v>770</v>
      </c>
    </row>
    <row r="588" spans="1:2">
      <c r="A588" s="77">
        <v>588</v>
      </c>
      <c r="B588" s="77" t="s">
        <v>771</v>
      </c>
    </row>
    <row r="589" spans="1:2">
      <c r="A589" s="77">
        <v>589</v>
      </c>
      <c r="B589" s="77" t="s">
        <v>772</v>
      </c>
    </row>
    <row r="590" spans="1:2">
      <c r="A590" s="77">
        <v>590</v>
      </c>
      <c r="B590" s="77" t="s">
        <v>773</v>
      </c>
    </row>
    <row r="591" spans="1:2">
      <c r="A591" s="77">
        <v>591</v>
      </c>
      <c r="B591" s="77" t="s">
        <v>774</v>
      </c>
    </row>
    <row r="592" spans="1:2">
      <c r="A592" s="77">
        <v>592</v>
      </c>
      <c r="B592" s="77" t="s">
        <v>775</v>
      </c>
    </row>
    <row r="593" spans="1:2">
      <c r="A593" s="77">
        <v>593</v>
      </c>
      <c r="B593" s="77" t="s">
        <v>776</v>
      </c>
    </row>
    <row r="594" spans="1:2">
      <c r="A594" s="77">
        <v>594</v>
      </c>
      <c r="B594" s="77" t="s">
        <v>777</v>
      </c>
    </row>
    <row r="595" spans="1:2">
      <c r="A595" s="77">
        <v>595</v>
      </c>
      <c r="B595" s="77" t="s">
        <v>778</v>
      </c>
    </row>
    <row r="596" spans="1:2">
      <c r="A596" s="77">
        <v>596</v>
      </c>
      <c r="B596" s="77" t="s">
        <v>779</v>
      </c>
    </row>
    <row r="597" spans="1:2">
      <c r="A597" s="77">
        <v>597</v>
      </c>
      <c r="B597" s="77" t="s">
        <v>780</v>
      </c>
    </row>
    <row r="598" spans="1:2">
      <c r="A598" s="77">
        <v>598</v>
      </c>
      <c r="B598" s="77" t="s">
        <v>781</v>
      </c>
    </row>
    <row r="599" spans="1:2">
      <c r="A599" s="77">
        <v>599</v>
      </c>
      <c r="B599" s="77" t="s">
        <v>782</v>
      </c>
    </row>
    <row r="600" spans="1:2">
      <c r="A600" s="77">
        <v>600</v>
      </c>
      <c r="B600" s="77" t="s">
        <v>783</v>
      </c>
    </row>
    <row r="601" spans="1:2">
      <c r="A601" s="77">
        <v>601</v>
      </c>
      <c r="B601" s="77" t="s">
        <v>784</v>
      </c>
    </row>
    <row r="602" spans="1:2">
      <c r="A602" s="77">
        <v>602</v>
      </c>
      <c r="B602" s="77" t="s">
        <v>785</v>
      </c>
    </row>
    <row r="603" spans="1:2">
      <c r="A603" s="77">
        <v>603</v>
      </c>
      <c r="B603" s="77" t="s">
        <v>786</v>
      </c>
    </row>
    <row r="604" spans="1:2">
      <c r="A604" s="77">
        <v>604</v>
      </c>
      <c r="B604" s="77" t="s">
        <v>787</v>
      </c>
    </row>
    <row r="605" spans="1:2">
      <c r="A605" s="77">
        <v>605</v>
      </c>
      <c r="B605" s="77" t="s">
        <v>788</v>
      </c>
    </row>
    <row r="606" spans="1:2">
      <c r="A606" s="77">
        <v>606</v>
      </c>
      <c r="B606" s="77" t="s">
        <v>789</v>
      </c>
    </row>
    <row r="607" spans="1:2">
      <c r="A607" s="77">
        <v>607</v>
      </c>
      <c r="B607" s="77" t="s">
        <v>790</v>
      </c>
    </row>
    <row r="608" spans="1:2">
      <c r="A608" s="77">
        <v>608</v>
      </c>
      <c r="B608" s="77" t="s">
        <v>791</v>
      </c>
    </row>
    <row r="609" spans="1:2">
      <c r="A609" s="77">
        <v>609</v>
      </c>
      <c r="B609" s="77" t="s">
        <v>792</v>
      </c>
    </row>
    <row r="610" spans="1:2">
      <c r="A610" s="77">
        <v>610</v>
      </c>
      <c r="B610" s="77" t="s">
        <v>793</v>
      </c>
    </row>
    <row r="611" spans="1:2">
      <c r="A611" s="77">
        <v>611</v>
      </c>
      <c r="B611" s="77" t="s">
        <v>794</v>
      </c>
    </row>
    <row r="612" spans="1:2">
      <c r="A612" s="77">
        <v>612</v>
      </c>
      <c r="B612" s="77" t="s">
        <v>795</v>
      </c>
    </row>
    <row r="613" spans="1:2">
      <c r="A613" s="77">
        <v>613</v>
      </c>
      <c r="B613" s="77" t="s">
        <v>796</v>
      </c>
    </row>
    <row r="614" spans="1:2">
      <c r="A614" s="77">
        <v>614</v>
      </c>
      <c r="B614" s="77" t="s">
        <v>797</v>
      </c>
    </row>
    <row r="615" spans="1:2">
      <c r="A615" s="77">
        <v>615</v>
      </c>
      <c r="B615" s="77" t="s">
        <v>798</v>
      </c>
    </row>
    <row r="616" spans="1:2">
      <c r="A616" s="77">
        <v>616</v>
      </c>
      <c r="B616" s="77" t="s">
        <v>799</v>
      </c>
    </row>
    <row r="617" spans="1:2">
      <c r="A617" s="77">
        <v>617</v>
      </c>
      <c r="B617" s="77" t="s">
        <v>800</v>
      </c>
    </row>
    <row r="618" spans="1:2">
      <c r="A618" s="77">
        <v>618</v>
      </c>
      <c r="B618" s="77" t="s">
        <v>801</v>
      </c>
    </row>
    <row r="619" spans="1:2">
      <c r="A619" s="77">
        <v>619</v>
      </c>
      <c r="B619" s="77" t="s">
        <v>802</v>
      </c>
    </row>
    <row r="620" spans="1:2">
      <c r="A620" s="77">
        <v>620</v>
      </c>
      <c r="B620" s="77" t="s">
        <v>803</v>
      </c>
    </row>
    <row r="621" spans="1:2">
      <c r="A621" s="77">
        <v>621</v>
      </c>
      <c r="B621" s="77" t="s">
        <v>804</v>
      </c>
    </row>
    <row r="622" spans="1:2">
      <c r="A622" s="77">
        <v>622</v>
      </c>
      <c r="B622" s="77" t="s">
        <v>805</v>
      </c>
    </row>
    <row r="623" spans="1:2">
      <c r="A623" s="77">
        <v>623</v>
      </c>
      <c r="B623" s="77" t="s">
        <v>806</v>
      </c>
    </row>
    <row r="624" spans="1:2">
      <c r="A624" s="77">
        <v>624</v>
      </c>
      <c r="B624" s="77" t="s">
        <v>807</v>
      </c>
    </row>
    <row r="625" spans="1:2">
      <c r="A625" s="77">
        <v>625</v>
      </c>
      <c r="B625" s="77" t="s">
        <v>808</v>
      </c>
    </row>
    <row r="626" spans="1:2">
      <c r="A626" s="77">
        <v>626</v>
      </c>
      <c r="B626" s="77" t="s">
        <v>809</v>
      </c>
    </row>
    <row r="627" spans="1:2">
      <c r="A627" s="77">
        <v>627</v>
      </c>
      <c r="B627" s="77" t="s">
        <v>810</v>
      </c>
    </row>
    <row r="628" spans="1:2">
      <c r="A628" s="77">
        <v>628</v>
      </c>
      <c r="B628" s="77" t="s">
        <v>811</v>
      </c>
    </row>
    <row r="629" spans="1:2">
      <c r="A629" s="77">
        <v>629</v>
      </c>
      <c r="B629" s="77" t="s">
        <v>812</v>
      </c>
    </row>
    <row r="630" spans="1:2">
      <c r="A630" s="77">
        <v>630</v>
      </c>
      <c r="B630" s="77" t="s">
        <v>813</v>
      </c>
    </row>
    <row r="631" spans="1:2">
      <c r="A631" s="77">
        <v>631</v>
      </c>
      <c r="B631" s="77" t="s">
        <v>814</v>
      </c>
    </row>
    <row r="632" spans="1:2">
      <c r="A632" s="77">
        <v>632</v>
      </c>
      <c r="B632" s="77" t="s">
        <v>815</v>
      </c>
    </row>
    <row r="633" spans="1:2">
      <c r="A633" s="77">
        <v>633</v>
      </c>
      <c r="B633" s="77" t="s">
        <v>816</v>
      </c>
    </row>
    <row r="634" spans="1:2">
      <c r="A634" s="77">
        <v>634</v>
      </c>
      <c r="B634" s="77" t="s">
        <v>817</v>
      </c>
    </row>
    <row r="635" spans="1:2">
      <c r="A635" s="77">
        <v>635</v>
      </c>
      <c r="B635" s="77" t="s">
        <v>818</v>
      </c>
    </row>
    <row r="636" spans="1:2">
      <c r="A636" s="77">
        <v>636</v>
      </c>
      <c r="B636" s="77" t="s">
        <v>819</v>
      </c>
    </row>
    <row r="637" spans="1:2">
      <c r="A637" s="77">
        <v>637</v>
      </c>
      <c r="B637" s="77" t="s">
        <v>820</v>
      </c>
    </row>
    <row r="638" spans="1:2">
      <c r="A638" s="77">
        <v>638</v>
      </c>
      <c r="B638" s="77" t="s">
        <v>821</v>
      </c>
    </row>
    <row r="639" spans="1:2">
      <c r="A639" s="77">
        <v>639</v>
      </c>
      <c r="B639" s="77" t="s">
        <v>822</v>
      </c>
    </row>
    <row r="640" spans="1:2">
      <c r="A640" s="77">
        <v>640</v>
      </c>
      <c r="B640" s="77" t="s">
        <v>823</v>
      </c>
    </row>
    <row r="641" spans="1:2">
      <c r="A641" s="77">
        <v>641</v>
      </c>
      <c r="B641" s="77" t="s">
        <v>824</v>
      </c>
    </row>
    <row r="642" spans="1:2">
      <c r="A642" s="77">
        <v>642</v>
      </c>
      <c r="B642" s="77" t="s">
        <v>825</v>
      </c>
    </row>
    <row r="643" spans="1:2">
      <c r="A643" s="77">
        <v>643</v>
      </c>
      <c r="B643" s="77" t="s">
        <v>826</v>
      </c>
    </row>
    <row r="644" spans="1:2">
      <c r="A644" s="77">
        <v>644</v>
      </c>
      <c r="B644" s="77" t="s">
        <v>827</v>
      </c>
    </row>
    <row r="645" spans="1:2">
      <c r="A645" s="77">
        <v>645</v>
      </c>
      <c r="B645" s="77" t="s">
        <v>828</v>
      </c>
    </row>
    <row r="646" spans="1:2">
      <c r="A646" s="77">
        <v>646</v>
      </c>
      <c r="B646" s="77" t="s">
        <v>829</v>
      </c>
    </row>
    <row r="647" spans="1:2">
      <c r="A647" s="77">
        <v>647</v>
      </c>
      <c r="B647" s="77" t="s">
        <v>830</v>
      </c>
    </row>
    <row r="648" spans="1:2">
      <c r="A648" s="77">
        <v>648</v>
      </c>
      <c r="B648" s="77" t="s">
        <v>831</v>
      </c>
    </row>
    <row r="649" spans="1:2">
      <c r="A649" s="77">
        <v>649</v>
      </c>
      <c r="B649" s="77" t="s">
        <v>832</v>
      </c>
    </row>
    <row r="650" spans="1:2">
      <c r="A650" s="77">
        <v>650</v>
      </c>
      <c r="B650" s="77" t="s">
        <v>833</v>
      </c>
    </row>
    <row r="651" spans="1:2">
      <c r="A651" s="77">
        <v>651</v>
      </c>
      <c r="B651" s="77" t="s">
        <v>834</v>
      </c>
    </row>
    <row r="652" spans="1:2">
      <c r="A652" s="77">
        <v>652</v>
      </c>
      <c r="B652" s="77" t="s">
        <v>835</v>
      </c>
    </row>
    <row r="653" spans="1:2">
      <c r="A653" s="77">
        <v>653</v>
      </c>
      <c r="B653" s="77" t="s">
        <v>836</v>
      </c>
    </row>
    <row r="654" spans="1:2">
      <c r="A654" s="77">
        <v>654</v>
      </c>
      <c r="B654" s="77" t="s">
        <v>837</v>
      </c>
    </row>
    <row r="655" spans="1:2">
      <c r="A655" s="77">
        <v>655</v>
      </c>
      <c r="B655" s="77" t="s">
        <v>838</v>
      </c>
    </row>
    <row r="656" spans="1:2">
      <c r="A656" s="77">
        <v>656</v>
      </c>
      <c r="B656" s="77" t="s">
        <v>839</v>
      </c>
    </row>
    <row r="657" spans="1:2">
      <c r="A657" s="77">
        <v>657</v>
      </c>
      <c r="B657" s="77" t="s">
        <v>840</v>
      </c>
    </row>
    <row r="658" spans="1:2">
      <c r="A658" s="77">
        <v>658</v>
      </c>
      <c r="B658" s="77" t="s">
        <v>841</v>
      </c>
    </row>
    <row r="659" spans="1:2">
      <c r="A659" s="77">
        <v>659</v>
      </c>
      <c r="B659" s="77" t="s">
        <v>842</v>
      </c>
    </row>
    <row r="660" spans="1:2">
      <c r="A660" s="77">
        <v>660</v>
      </c>
      <c r="B660" s="77" t="s">
        <v>843</v>
      </c>
    </row>
    <row r="661" spans="1:2">
      <c r="A661" s="77">
        <v>661</v>
      </c>
      <c r="B661" s="77" t="s">
        <v>844</v>
      </c>
    </row>
    <row r="662" spans="1:2">
      <c r="A662" s="77">
        <v>662</v>
      </c>
      <c r="B662" s="77" t="s">
        <v>845</v>
      </c>
    </row>
    <row r="663" spans="1:2">
      <c r="A663" s="77">
        <v>663</v>
      </c>
      <c r="B663" s="77" t="s">
        <v>846</v>
      </c>
    </row>
    <row r="664" spans="1:2">
      <c r="A664" s="77">
        <v>664</v>
      </c>
      <c r="B664" s="77" t="s">
        <v>847</v>
      </c>
    </row>
    <row r="665" spans="1:2">
      <c r="A665" s="77">
        <v>665</v>
      </c>
      <c r="B665" s="77" t="s">
        <v>848</v>
      </c>
    </row>
    <row r="666" spans="1:2">
      <c r="A666" s="77">
        <v>666</v>
      </c>
      <c r="B666" s="77" t="s">
        <v>849</v>
      </c>
    </row>
    <row r="667" spans="1:2">
      <c r="A667" s="77">
        <v>667</v>
      </c>
      <c r="B667" s="77" t="s">
        <v>850</v>
      </c>
    </row>
    <row r="668" spans="1:2">
      <c r="A668" s="77">
        <v>668</v>
      </c>
      <c r="B668" s="77" t="s">
        <v>851</v>
      </c>
    </row>
    <row r="669" spans="1:2">
      <c r="A669" s="77">
        <v>669</v>
      </c>
      <c r="B669" s="77" t="s">
        <v>852</v>
      </c>
    </row>
    <row r="670" spans="1:2">
      <c r="A670" s="77">
        <v>670</v>
      </c>
      <c r="B670" s="77" t="s">
        <v>853</v>
      </c>
    </row>
    <row r="671" spans="1:2">
      <c r="A671" s="77">
        <v>671</v>
      </c>
      <c r="B671" s="77" t="s">
        <v>854</v>
      </c>
    </row>
    <row r="672" spans="1:2">
      <c r="A672" s="77">
        <v>672</v>
      </c>
      <c r="B672" s="77" t="s">
        <v>855</v>
      </c>
    </row>
    <row r="673" spans="1:2">
      <c r="A673" s="77">
        <v>673</v>
      </c>
      <c r="B673" s="77" t="s">
        <v>856</v>
      </c>
    </row>
    <row r="674" spans="1:2">
      <c r="A674" s="77">
        <v>674</v>
      </c>
      <c r="B674" s="77" t="s">
        <v>857</v>
      </c>
    </row>
    <row r="675" spans="1:2">
      <c r="A675" s="77">
        <v>675</v>
      </c>
      <c r="B675" s="77" t="s">
        <v>858</v>
      </c>
    </row>
    <row r="676" spans="1:2">
      <c r="A676" s="77">
        <v>676</v>
      </c>
      <c r="B676" s="77" t="s">
        <v>859</v>
      </c>
    </row>
    <row r="677" spans="1:2">
      <c r="A677" s="77">
        <v>677</v>
      </c>
      <c r="B677" s="77" t="s">
        <v>860</v>
      </c>
    </row>
    <row r="678" spans="1:2">
      <c r="A678" s="77">
        <v>678</v>
      </c>
      <c r="B678" s="77" t="s">
        <v>861</v>
      </c>
    </row>
    <row r="679" spans="1:2">
      <c r="A679" s="77">
        <v>679</v>
      </c>
      <c r="B679" s="77" t="s">
        <v>862</v>
      </c>
    </row>
    <row r="680" spans="1:2">
      <c r="A680" s="77">
        <v>680</v>
      </c>
      <c r="B680" s="77" t="s">
        <v>863</v>
      </c>
    </row>
    <row r="681" spans="1:2">
      <c r="A681" s="77">
        <v>681</v>
      </c>
      <c r="B681" s="77" t="s">
        <v>864</v>
      </c>
    </row>
    <row r="682" spans="1:2">
      <c r="A682" s="77">
        <v>682</v>
      </c>
      <c r="B682" s="77" t="s">
        <v>865</v>
      </c>
    </row>
    <row r="683" spans="1:2">
      <c r="A683" s="77">
        <v>683</v>
      </c>
      <c r="B683" s="77" t="s">
        <v>866</v>
      </c>
    </row>
    <row r="684" spans="1:2">
      <c r="A684" s="77">
        <v>684</v>
      </c>
      <c r="B684" s="77" t="s">
        <v>867</v>
      </c>
    </row>
    <row r="685" spans="1:2">
      <c r="A685" s="77">
        <v>685</v>
      </c>
      <c r="B685" s="77" t="s">
        <v>868</v>
      </c>
    </row>
    <row r="686" spans="1:2">
      <c r="A686" s="77">
        <v>686</v>
      </c>
      <c r="B686" s="77" t="s">
        <v>869</v>
      </c>
    </row>
    <row r="687" spans="1:2">
      <c r="A687" s="77">
        <v>687</v>
      </c>
      <c r="B687" s="77" t="s">
        <v>870</v>
      </c>
    </row>
    <row r="688" spans="1:2">
      <c r="A688" s="77">
        <v>688</v>
      </c>
      <c r="B688" s="77" t="s">
        <v>871</v>
      </c>
    </row>
    <row r="689" spans="1:2">
      <c r="A689" s="77">
        <v>689</v>
      </c>
      <c r="B689" s="77" t="s">
        <v>872</v>
      </c>
    </row>
    <row r="690" spans="1:2">
      <c r="A690" s="77">
        <v>690</v>
      </c>
      <c r="B690" s="77" t="s">
        <v>873</v>
      </c>
    </row>
    <row r="691" spans="1:2">
      <c r="A691" s="77">
        <v>691</v>
      </c>
      <c r="B691" s="77" t="s">
        <v>874</v>
      </c>
    </row>
    <row r="692" spans="1:2">
      <c r="A692" s="77">
        <v>692</v>
      </c>
      <c r="B692" s="77" t="s">
        <v>875</v>
      </c>
    </row>
    <row r="693" spans="1:2">
      <c r="A693" s="77">
        <v>693</v>
      </c>
      <c r="B693" s="77" t="s">
        <v>876</v>
      </c>
    </row>
    <row r="694" spans="1:2">
      <c r="A694" s="77">
        <v>694</v>
      </c>
      <c r="B694" s="77" t="s">
        <v>877</v>
      </c>
    </row>
    <row r="695" spans="1:2">
      <c r="A695" s="77">
        <v>695</v>
      </c>
      <c r="B695" s="77" t="s">
        <v>878</v>
      </c>
    </row>
    <row r="696" spans="1:2">
      <c r="A696" s="77">
        <v>696</v>
      </c>
      <c r="B696" s="77" t="s">
        <v>879</v>
      </c>
    </row>
    <row r="697" spans="1:2">
      <c r="A697" s="77">
        <v>697</v>
      </c>
      <c r="B697" s="77" t="s">
        <v>880</v>
      </c>
    </row>
    <row r="698" spans="1:2">
      <c r="A698" s="77">
        <v>698</v>
      </c>
      <c r="B698" s="77" t="s">
        <v>881</v>
      </c>
    </row>
    <row r="699" spans="1:2">
      <c r="A699" s="77">
        <v>699</v>
      </c>
      <c r="B699" s="77" t="s">
        <v>882</v>
      </c>
    </row>
    <row r="700" spans="1:2">
      <c r="A700" s="77">
        <v>700</v>
      </c>
      <c r="B700" s="77" t="s">
        <v>883</v>
      </c>
    </row>
    <row r="701" spans="1:2">
      <c r="A701" s="77">
        <v>701</v>
      </c>
      <c r="B701" s="77" t="s">
        <v>884</v>
      </c>
    </row>
    <row r="702" spans="1:2">
      <c r="A702" s="77">
        <v>702</v>
      </c>
      <c r="B702" s="77" t="s">
        <v>885</v>
      </c>
    </row>
    <row r="703" spans="1:2">
      <c r="A703" s="77">
        <v>703</v>
      </c>
      <c r="B703" s="77" t="s">
        <v>886</v>
      </c>
    </row>
    <row r="704" spans="1:2">
      <c r="A704" s="77">
        <v>704</v>
      </c>
      <c r="B704" s="77" t="s">
        <v>887</v>
      </c>
    </row>
    <row r="705" spans="1:2">
      <c r="A705" s="77">
        <v>705</v>
      </c>
      <c r="B705" s="77" t="s">
        <v>888</v>
      </c>
    </row>
    <row r="706" spans="1:2">
      <c r="A706" s="77">
        <v>706</v>
      </c>
      <c r="B706" s="77" t="s">
        <v>889</v>
      </c>
    </row>
    <row r="707" spans="1:2">
      <c r="A707" s="77">
        <v>707</v>
      </c>
      <c r="B707" s="77" t="s">
        <v>890</v>
      </c>
    </row>
    <row r="708" spans="1:2">
      <c r="A708" s="77">
        <v>708</v>
      </c>
      <c r="B708" s="77" t="s">
        <v>891</v>
      </c>
    </row>
    <row r="709" spans="1:2">
      <c r="A709" s="77">
        <v>709</v>
      </c>
      <c r="B709" s="77" t="s">
        <v>892</v>
      </c>
    </row>
    <row r="710" spans="1:2">
      <c r="A710" s="77">
        <v>710</v>
      </c>
      <c r="B710" s="77" t="s">
        <v>893</v>
      </c>
    </row>
    <row r="711" spans="1:2">
      <c r="A711" s="77">
        <v>711</v>
      </c>
      <c r="B711" s="77" t="s">
        <v>894</v>
      </c>
    </row>
    <row r="712" spans="1:2">
      <c r="A712" s="77">
        <v>712</v>
      </c>
      <c r="B712" s="77" t="s">
        <v>895</v>
      </c>
    </row>
    <row r="713" spans="1:2">
      <c r="A713" s="77">
        <v>713</v>
      </c>
      <c r="B713" s="77" t="s">
        <v>896</v>
      </c>
    </row>
    <row r="714" spans="1:2">
      <c r="A714" s="77">
        <v>714</v>
      </c>
      <c r="B714" s="77" t="s">
        <v>897</v>
      </c>
    </row>
    <row r="715" spans="1:2">
      <c r="A715" s="77">
        <v>715</v>
      </c>
      <c r="B715" s="77" t="s">
        <v>898</v>
      </c>
    </row>
    <row r="716" spans="1:2">
      <c r="A716" s="77">
        <v>716</v>
      </c>
      <c r="B716" s="77" t="s">
        <v>899</v>
      </c>
    </row>
    <row r="717" spans="1:2">
      <c r="A717" s="77">
        <v>717</v>
      </c>
      <c r="B717" s="77" t="s">
        <v>900</v>
      </c>
    </row>
    <row r="718" spans="1:2">
      <c r="A718" s="77">
        <v>718</v>
      </c>
      <c r="B718" s="77" t="s">
        <v>901</v>
      </c>
    </row>
    <row r="719" spans="1:2">
      <c r="A719" s="77">
        <v>719</v>
      </c>
      <c r="B719" s="77" t="s">
        <v>902</v>
      </c>
    </row>
    <row r="720" spans="1:2">
      <c r="A720" s="77">
        <v>720</v>
      </c>
      <c r="B720" s="77" t="s">
        <v>903</v>
      </c>
    </row>
    <row r="721" spans="1:2">
      <c r="A721" s="77">
        <v>721</v>
      </c>
      <c r="B721" s="77" t="s">
        <v>904</v>
      </c>
    </row>
    <row r="722" spans="1:2">
      <c r="A722" s="77">
        <v>722</v>
      </c>
      <c r="B722" s="77" t="s">
        <v>905</v>
      </c>
    </row>
    <row r="723" spans="1:2">
      <c r="A723" s="77">
        <v>723</v>
      </c>
      <c r="B723" s="77" t="s">
        <v>906</v>
      </c>
    </row>
    <row r="724" spans="1:2">
      <c r="A724" s="77">
        <v>724</v>
      </c>
      <c r="B724" s="77" t="s">
        <v>907</v>
      </c>
    </row>
    <row r="725" spans="1:2">
      <c r="A725" s="77">
        <v>725</v>
      </c>
      <c r="B725" s="77" t="s">
        <v>908</v>
      </c>
    </row>
    <row r="726" spans="1:2">
      <c r="A726" s="77">
        <v>726</v>
      </c>
      <c r="B726" s="77" t="s">
        <v>909</v>
      </c>
    </row>
    <row r="727" spans="1:2">
      <c r="A727" s="77">
        <v>727</v>
      </c>
      <c r="B727" s="77" t="s">
        <v>910</v>
      </c>
    </row>
    <row r="728" spans="1:2">
      <c r="A728" s="77">
        <v>728</v>
      </c>
      <c r="B728" s="77" t="s">
        <v>911</v>
      </c>
    </row>
    <row r="729" spans="1:2">
      <c r="A729" s="77">
        <v>729</v>
      </c>
      <c r="B729" s="77" t="s">
        <v>912</v>
      </c>
    </row>
    <row r="730" spans="1:2">
      <c r="A730" s="77">
        <v>730</v>
      </c>
      <c r="B730" s="77" t="s">
        <v>913</v>
      </c>
    </row>
    <row r="731" spans="1:2">
      <c r="A731" s="77">
        <v>731</v>
      </c>
      <c r="B731" s="77" t="s">
        <v>914</v>
      </c>
    </row>
    <row r="732" spans="1:2">
      <c r="A732" s="77">
        <v>732</v>
      </c>
      <c r="B732" s="77" t="s">
        <v>915</v>
      </c>
    </row>
    <row r="733" spans="1:2">
      <c r="A733" s="77">
        <v>733</v>
      </c>
      <c r="B733" s="77" t="s">
        <v>916</v>
      </c>
    </row>
    <row r="734" spans="1:2">
      <c r="A734" s="77">
        <v>734</v>
      </c>
      <c r="B734" s="77" t="s">
        <v>917</v>
      </c>
    </row>
    <row r="735" spans="1:2">
      <c r="A735" s="77">
        <v>735</v>
      </c>
      <c r="B735" s="77" t="s">
        <v>918</v>
      </c>
    </row>
    <row r="736" spans="1:2">
      <c r="A736" s="77">
        <v>736</v>
      </c>
      <c r="B736" s="77" t="s">
        <v>919</v>
      </c>
    </row>
    <row r="737" spans="1:2">
      <c r="A737" s="77">
        <v>737</v>
      </c>
      <c r="B737" s="77" t="s">
        <v>920</v>
      </c>
    </row>
    <row r="738" spans="1:2">
      <c r="A738" s="77">
        <v>738</v>
      </c>
      <c r="B738" s="77" t="s">
        <v>921</v>
      </c>
    </row>
    <row r="739" spans="1:2">
      <c r="A739" s="77">
        <v>739</v>
      </c>
      <c r="B739" s="77" t="s">
        <v>922</v>
      </c>
    </row>
    <row r="740" spans="1:2">
      <c r="A740" s="77">
        <v>740</v>
      </c>
      <c r="B740" s="77" t="s">
        <v>923</v>
      </c>
    </row>
    <row r="741" spans="1:2">
      <c r="A741" s="77">
        <v>741</v>
      </c>
      <c r="B741" s="77" t="s">
        <v>924</v>
      </c>
    </row>
    <row r="742" spans="1:2">
      <c r="A742" s="77">
        <v>742</v>
      </c>
      <c r="B742" s="77" t="s">
        <v>925</v>
      </c>
    </row>
    <row r="743" spans="1:2">
      <c r="A743" s="77">
        <v>743</v>
      </c>
      <c r="B743" s="77" t="s">
        <v>926</v>
      </c>
    </row>
    <row r="744" spans="1:2">
      <c r="A744" s="77">
        <v>744</v>
      </c>
      <c r="B744" s="77" t="s">
        <v>927</v>
      </c>
    </row>
    <row r="745" spans="1:2">
      <c r="A745" s="77">
        <v>745</v>
      </c>
      <c r="B745" s="77" t="s">
        <v>928</v>
      </c>
    </row>
    <row r="746" spans="1:2">
      <c r="A746" s="77">
        <v>746</v>
      </c>
      <c r="B746" s="77" t="s">
        <v>929</v>
      </c>
    </row>
    <row r="747" spans="1:2">
      <c r="A747" s="77">
        <v>747</v>
      </c>
      <c r="B747" s="77" t="s">
        <v>930</v>
      </c>
    </row>
    <row r="748" spans="1:2">
      <c r="A748" s="77">
        <v>748</v>
      </c>
      <c r="B748" s="77" t="s">
        <v>931</v>
      </c>
    </row>
    <row r="749" spans="1:2">
      <c r="A749" s="77">
        <v>749</v>
      </c>
      <c r="B749" s="77" t="s">
        <v>932</v>
      </c>
    </row>
    <row r="750" spans="1:2">
      <c r="A750" s="77">
        <v>750</v>
      </c>
      <c r="B750" s="77" t="s">
        <v>933</v>
      </c>
    </row>
    <row r="751" spans="1:2">
      <c r="A751" s="77">
        <v>751</v>
      </c>
      <c r="B751" s="77" t="s">
        <v>934</v>
      </c>
    </row>
    <row r="752" spans="1:2">
      <c r="A752" s="77">
        <v>752</v>
      </c>
      <c r="B752" s="77" t="s">
        <v>935</v>
      </c>
    </row>
    <row r="753" spans="1:2">
      <c r="A753" s="77">
        <v>753</v>
      </c>
      <c r="B753" s="77" t="s">
        <v>936</v>
      </c>
    </row>
    <row r="754" spans="1:2">
      <c r="A754" s="77">
        <v>754</v>
      </c>
      <c r="B754" s="77" t="s">
        <v>937</v>
      </c>
    </row>
    <row r="755" spans="1:2">
      <c r="A755" s="77">
        <v>755</v>
      </c>
      <c r="B755" s="77" t="s">
        <v>938</v>
      </c>
    </row>
    <row r="756" spans="1:2">
      <c r="A756" s="77">
        <v>756</v>
      </c>
      <c r="B756" s="77" t="s">
        <v>939</v>
      </c>
    </row>
    <row r="757" spans="1:2">
      <c r="A757" s="77">
        <v>757</v>
      </c>
      <c r="B757" s="77" t="s">
        <v>940</v>
      </c>
    </row>
    <row r="758" spans="1:2">
      <c r="A758" s="77">
        <v>758</v>
      </c>
      <c r="B758" s="77" t="s">
        <v>941</v>
      </c>
    </row>
    <row r="759" spans="1:2">
      <c r="A759" s="77">
        <v>759</v>
      </c>
      <c r="B759" s="77" t="s">
        <v>942</v>
      </c>
    </row>
    <row r="760" spans="1:2">
      <c r="A760" s="77">
        <v>760</v>
      </c>
      <c r="B760" s="77" t="s">
        <v>943</v>
      </c>
    </row>
    <row r="761" spans="1:2">
      <c r="A761" s="77">
        <v>761</v>
      </c>
      <c r="B761" s="77" t="s">
        <v>944</v>
      </c>
    </row>
    <row r="762" spans="1:2">
      <c r="A762" s="77">
        <v>762</v>
      </c>
      <c r="B762" s="77" t="s">
        <v>945</v>
      </c>
    </row>
    <row r="763" spans="1:2">
      <c r="A763" s="77">
        <v>763</v>
      </c>
      <c r="B763" s="77" t="s">
        <v>946</v>
      </c>
    </row>
    <row r="764" spans="1:2">
      <c r="A764" s="77">
        <v>764</v>
      </c>
      <c r="B764" s="77" t="s">
        <v>947</v>
      </c>
    </row>
    <row r="765" spans="1:2">
      <c r="A765" s="77">
        <v>765</v>
      </c>
      <c r="B765" s="77" t="s">
        <v>948</v>
      </c>
    </row>
    <row r="766" spans="1:2">
      <c r="A766" s="77">
        <v>766</v>
      </c>
      <c r="B766" s="77" t="s">
        <v>949</v>
      </c>
    </row>
    <row r="767" spans="1:2">
      <c r="A767" s="77">
        <v>767</v>
      </c>
      <c r="B767" s="77" t="s">
        <v>950</v>
      </c>
    </row>
    <row r="768" spans="1:2">
      <c r="A768" s="77">
        <v>768</v>
      </c>
      <c r="B768" s="77" t="s">
        <v>951</v>
      </c>
    </row>
    <row r="769" spans="1:2">
      <c r="A769" s="77">
        <v>769</v>
      </c>
      <c r="B769" s="77" t="s">
        <v>952</v>
      </c>
    </row>
    <row r="770" spans="1:2">
      <c r="A770" s="77">
        <v>770</v>
      </c>
      <c r="B770" s="77" t="s">
        <v>953</v>
      </c>
    </row>
    <row r="771" spans="1:2">
      <c r="A771" s="77">
        <v>771</v>
      </c>
      <c r="B771" s="77" t="s">
        <v>954</v>
      </c>
    </row>
    <row r="772" spans="1:2">
      <c r="A772" s="77">
        <v>772</v>
      </c>
      <c r="B772" s="77" t="s">
        <v>955</v>
      </c>
    </row>
    <row r="773" spans="1:2">
      <c r="A773" s="77">
        <v>773</v>
      </c>
      <c r="B773" s="77" t="s">
        <v>956</v>
      </c>
    </row>
    <row r="774" spans="1:2">
      <c r="A774" s="77">
        <v>774</v>
      </c>
      <c r="B774" s="77" t="s">
        <v>957</v>
      </c>
    </row>
    <row r="775" spans="1:2">
      <c r="A775" s="77">
        <v>775</v>
      </c>
      <c r="B775" s="77" t="s">
        <v>958</v>
      </c>
    </row>
    <row r="776" spans="1:2">
      <c r="A776" s="77">
        <v>776</v>
      </c>
      <c r="B776" s="77" t="s">
        <v>959</v>
      </c>
    </row>
    <row r="777" spans="1:2">
      <c r="A777" s="77">
        <v>777</v>
      </c>
      <c r="B777" s="77" t="s">
        <v>960</v>
      </c>
    </row>
    <row r="778" spans="1:2">
      <c r="A778" s="77">
        <v>778</v>
      </c>
      <c r="B778" s="77" t="s">
        <v>961</v>
      </c>
    </row>
    <row r="779" spans="1:2">
      <c r="A779" s="77">
        <v>779</v>
      </c>
      <c r="B779" s="77" t="s">
        <v>962</v>
      </c>
    </row>
    <row r="780" spans="1:2">
      <c r="A780" s="77">
        <v>780</v>
      </c>
      <c r="B780" s="77" t="s">
        <v>963</v>
      </c>
    </row>
    <row r="781" spans="1:2">
      <c r="A781" s="77">
        <v>781</v>
      </c>
      <c r="B781" s="77" t="s">
        <v>964</v>
      </c>
    </row>
    <row r="782" spans="1:2">
      <c r="A782" s="77">
        <v>782</v>
      </c>
      <c r="B782" s="77" t="s">
        <v>965</v>
      </c>
    </row>
    <row r="783" spans="1:2">
      <c r="A783" s="77">
        <v>783</v>
      </c>
      <c r="B783" s="77" t="s">
        <v>966</v>
      </c>
    </row>
    <row r="784" spans="1:2">
      <c r="A784" s="77">
        <v>784</v>
      </c>
      <c r="B784" s="77" t="s">
        <v>967</v>
      </c>
    </row>
    <row r="785" spans="1:2">
      <c r="A785" s="77">
        <v>785</v>
      </c>
      <c r="B785" s="77" t="s">
        <v>968</v>
      </c>
    </row>
    <row r="786" spans="1:2">
      <c r="A786" s="77">
        <v>786</v>
      </c>
      <c r="B786" s="77" t="s">
        <v>969</v>
      </c>
    </row>
    <row r="787" spans="1:2">
      <c r="A787" s="77">
        <v>787</v>
      </c>
      <c r="B787" s="77" t="s">
        <v>970</v>
      </c>
    </row>
    <row r="788" spans="1:2">
      <c r="A788" s="77">
        <v>788</v>
      </c>
      <c r="B788" s="77" t="s">
        <v>971</v>
      </c>
    </row>
    <row r="789" spans="1:2">
      <c r="A789" s="77">
        <v>789</v>
      </c>
      <c r="B789" s="77" t="s">
        <v>972</v>
      </c>
    </row>
    <row r="790" spans="1:2">
      <c r="A790" s="77">
        <v>790</v>
      </c>
      <c r="B790" s="77" t="s">
        <v>973</v>
      </c>
    </row>
    <row r="791" spans="1:2">
      <c r="A791" s="77">
        <v>791</v>
      </c>
      <c r="B791" s="77" t="s">
        <v>974</v>
      </c>
    </row>
    <row r="792" spans="1:2">
      <c r="A792" s="77">
        <v>792</v>
      </c>
      <c r="B792" s="77" t="s">
        <v>975</v>
      </c>
    </row>
    <row r="793" spans="1:2">
      <c r="A793" s="77">
        <v>793</v>
      </c>
      <c r="B793" s="77" t="s">
        <v>976</v>
      </c>
    </row>
    <row r="794" spans="1:2">
      <c r="A794" s="77">
        <v>794</v>
      </c>
      <c r="B794" s="77" t="s">
        <v>977</v>
      </c>
    </row>
    <row r="795" spans="1:2">
      <c r="A795" s="77">
        <v>795</v>
      </c>
      <c r="B795" s="77" t="s">
        <v>978</v>
      </c>
    </row>
    <row r="796" spans="1:2">
      <c r="A796" s="77">
        <v>796</v>
      </c>
      <c r="B796" s="77" t="s">
        <v>979</v>
      </c>
    </row>
    <row r="797" spans="1:2">
      <c r="A797" s="77">
        <v>797</v>
      </c>
      <c r="B797" s="77" t="s">
        <v>980</v>
      </c>
    </row>
    <row r="798" spans="1:2">
      <c r="A798" s="77">
        <v>798</v>
      </c>
      <c r="B798" s="77" t="s">
        <v>981</v>
      </c>
    </row>
    <row r="799" spans="1:2">
      <c r="A799" s="77">
        <v>799</v>
      </c>
      <c r="B799" s="77" t="s">
        <v>982</v>
      </c>
    </row>
    <row r="800" spans="1:2">
      <c r="A800" s="77">
        <v>800</v>
      </c>
      <c r="B800" s="77" t="s">
        <v>983</v>
      </c>
    </row>
    <row r="801" spans="1:2">
      <c r="A801" s="77">
        <v>801</v>
      </c>
      <c r="B801" s="77" t="s">
        <v>984</v>
      </c>
    </row>
    <row r="802" spans="1:2">
      <c r="A802" s="77">
        <v>802</v>
      </c>
      <c r="B802" s="77" t="s">
        <v>985</v>
      </c>
    </row>
    <row r="803" spans="1:2">
      <c r="A803" s="77">
        <v>803</v>
      </c>
      <c r="B803" s="77" t="s">
        <v>986</v>
      </c>
    </row>
    <row r="804" spans="1:2">
      <c r="A804" s="77">
        <v>804</v>
      </c>
      <c r="B804" s="77" t="s">
        <v>987</v>
      </c>
    </row>
    <row r="805" spans="1:2">
      <c r="A805" s="77">
        <v>805</v>
      </c>
      <c r="B805" s="77" t="s">
        <v>988</v>
      </c>
    </row>
    <row r="806" spans="1:2">
      <c r="A806" s="77">
        <v>806</v>
      </c>
      <c r="B806" s="77" t="s">
        <v>989</v>
      </c>
    </row>
    <row r="807" spans="1:2">
      <c r="A807" s="77">
        <v>807</v>
      </c>
      <c r="B807" s="77" t="s">
        <v>990</v>
      </c>
    </row>
    <row r="808" spans="1:2">
      <c r="A808" s="77">
        <v>808</v>
      </c>
      <c r="B808" s="77" t="s">
        <v>991</v>
      </c>
    </row>
    <row r="809" spans="1:2">
      <c r="A809" s="77">
        <v>809</v>
      </c>
      <c r="B809" s="77" t="s">
        <v>992</v>
      </c>
    </row>
    <row r="810" spans="1:2">
      <c r="A810" s="77">
        <v>810</v>
      </c>
      <c r="B810" s="77" t="s">
        <v>993</v>
      </c>
    </row>
    <row r="811" spans="1:2">
      <c r="A811" s="77">
        <v>811</v>
      </c>
      <c r="B811" s="77" t="s">
        <v>994</v>
      </c>
    </row>
    <row r="812" spans="1:2">
      <c r="A812" s="77">
        <v>812</v>
      </c>
      <c r="B812" s="77" t="s">
        <v>995</v>
      </c>
    </row>
    <row r="813" spans="1:2">
      <c r="A813" s="77">
        <v>813</v>
      </c>
      <c r="B813" s="77" t="s">
        <v>996</v>
      </c>
    </row>
    <row r="814" spans="1:2">
      <c r="A814" s="77">
        <v>814</v>
      </c>
      <c r="B814" s="77" t="s">
        <v>997</v>
      </c>
    </row>
    <row r="815" spans="1:2">
      <c r="A815" s="77">
        <v>815</v>
      </c>
      <c r="B815" s="77" t="s">
        <v>998</v>
      </c>
    </row>
    <row r="816" spans="1:2">
      <c r="A816" s="77">
        <v>816</v>
      </c>
      <c r="B816" s="77" t="s">
        <v>999</v>
      </c>
    </row>
    <row r="817" spans="1:2">
      <c r="A817" s="77">
        <v>817</v>
      </c>
      <c r="B817" s="77" t="s">
        <v>1000</v>
      </c>
    </row>
    <row r="818" spans="1:2">
      <c r="A818" s="77">
        <v>818</v>
      </c>
      <c r="B818" s="77" t="s">
        <v>1001</v>
      </c>
    </row>
    <row r="819" spans="1:2">
      <c r="A819" s="77">
        <v>819</v>
      </c>
      <c r="B819" s="77" t="s">
        <v>1002</v>
      </c>
    </row>
    <row r="820" spans="1:2">
      <c r="A820" s="77">
        <v>820</v>
      </c>
      <c r="B820" s="77" t="s">
        <v>1003</v>
      </c>
    </row>
    <row r="821" spans="1:2">
      <c r="A821" s="77">
        <v>821</v>
      </c>
      <c r="B821" s="77" t="s">
        <v>1004</v>
      </c>
    </row>
    <row r="822" spans="1:2">
      <c r="A822" s="77">
        <v>822</v>
      </c>
      <c r="B822" s="77" t="s">
        <v>1005</v>
      </c>
    </row>
    <row r="823" spans="1:2">
      <c r="A823" s="77">
        <v>823</v>
      </c>
      <c r="B823" s="77" t="s">
        <v>1006</v>
      </c>
    </row>
    <row r="824" spans="1:2">
      <c r="A824" s="77">
        <v>824</v>
      </c>
      <c r="B824" s="77" t="s">
        <v>1007</v>
      </c>
    </row>
    <row r="825" spans="1:2">
      <c r="A825" s="77">
        <v>825</v>
      </c>
      <c r="B825" s="77" t="s">
        <v>1008</v>
      </c>
    </row>
    <row r="826" spans="1:2">
      <c r="A826" s="77">
        <v>826</v>
      </c>
      <c r="B826" s="77" t="s">
        <v>1009</v>
      </c>
    </row>
    <row r="827" spans="1:2">
      <c r="A827" s="77">
        <v>827</v>
      </c>
      <c r="B827" s="77" t="s">
        <v>1010</v>
      </c>
    </row>
    <row r="828" spans="1:2">
      <c r="A828" s="77">
        <v>828</v>
      </c>
      <c r="B828" s="77" t="s">
        <v>1011</v>
      </c>
    </row>
    <row r="829" spans="1:2">
      <c r="A829" s="77">
        <v>829</v>
      </c>
      <c r="B829" s="77" t="s">
        <v>1012</v>
      </c>
    </row>
    <row r="830" spans="1:2">
      <c r="A830" s="77">
        <v>830</v>
      </c>
      <c r="B830" s="77" t="s">
        <v>1013</v>
      </c>
    </row>
    <row r="831" spans="1:2">
      <c r="A831" s="77">
        <v>831</v>
      </c>
      <c r="B831" s="77" t="s">
        <v>1014</v>
      </c>
    </row>
    <row r="832" spans="1:2">
      <c r="A832" s="77">
        <v>832</v>
      </c>
      <c r="B832" s="77" t="s">
        <v>1015</v>
      </c>
    </row>
    <row r="833" spans="1:2">
      <c r="A833" s="77">
        <v>833</v>
      </c>
      <c r="B833" s="77" t="s">
        <v>1016</v>
      </c>
    </row>
    <row r="834" spans="1:2">
      <c r="A834" s="77">
        <v>834</v>
      </c>
      <c r="B834" s="77" t="s">
        <v>1017</v>
      </c>
    </row>
    <row r="835" spans="1:2">
      <c r="A835" s="77">
        <v>835</v>
      </c>
      <c r="B835" s="77" t="s">
        <v>1018</v>
      </c>
    </row>
    <row r="836" spans="1:2">
      <c r="A836" s="77">
        <v>836</v>
      </c>
      <c r="B836" s="77" t="s">
        <v>1019</v>
      </c>
    </row>
    <row r="837" spans="1:2">
      <c r="A837" s="77">
        <v>837</v>
      </c>
      <c r="B837" s="77" t="s">
        <v>1020</v>
      </c>
    </row>
    <row r="838" spans="1:2">
      <c r="A838" s="77">
        <v>838</v>
      </c>
      <c r="B838" s="77" t="s">
        <v>1021</v>
      </c>
    </row>
    <row r="839" spans="1:2">
      <c r="A839" s="77">
        <v>839</v>
      </c>
      <c r="B839" s="77" t="s">
        <v>1022</v>
      </c>
    </row>
    <row r="840" spans="1:2">
      <c r="A840" s="77">
        <v>840</v>
      </c>
      <c r="B840" s="77" t="s">
        <v>1023</v>
      </c>
    </row>
    <row r="841" spans="1:2">
      <c r="A841" s="77">
        <v>841</v>
      </c>
      <c r="B841" s="77" t="s">
        <v>1024</v>
      </c>
    </row>
    <row r="842" spans="1:2">
      <c r="A842" s="77">
        <v>842</v>
      </c>
      <c r="B842" s="77" t="s">
        <v>1025</v>
      </c>
    </row>
    <row r="843" spans="1:2">
      <c r="A843" s="77">
        <v>843</v>
      </c>
      <c r="B843" s="77" t="s">
        <v>1026</v>
      </c>
    </row>
    <row r="844" spans="1:2">
      <c r="A844" s="77">
        <v>844</v>
      </c>
      <c r="B844" s="77" t="s">
        <v>1027</v>
      </c>
    </row>
    <row r="845" spans="1:2">
      <c r="A845" s="77">
        <v>845</v>
      </c>
      <c r="B845" s="77" t="s">
        <v>1028</v>
      </c>
    </row>
    <row r="846" spans="1:2">
      <c r="A846" s="77">
        <v>846</v>
      </c>
      <c r="B846" s="77" t="s">
        <v>1029</v>
      </c>
    </row>
    <row r="847" spans="1:2">
      <c r="A847" s="77">
        <v>847</v>
      </c>
      <c r="B847" s="77" t="s">
        <v>1030</v>
      </c>
    </row>
    <row r="848" spans="1:2">
      <c r="A848" s="77">
        <v>848</v>
      </c>
      <c r="B848" s="77" t="s">
        <v>1031</v>
      </c>
    </row>
    <row r="849" spans="1:2">
      <c r="A849" s="77">
        <v>849</v>
      </c>
      <c r="B849" s="77" t="s">
        <v>1032</v>
      </c>
    </row>
    <row r="850" spans="1:2">
      <c r="A850" s="77">
        <v>850</v>
      </c>
      <c r="B850" s="77" t="s">
        <v>1033</v>
      </c>
    </row>
    <row r="851" spans="1:2">
      <c r="A851" s="77">
        <v>851</v>
      </c>
      <c r="B851" s="77" t="s">
        <v>1034</v>
      </c>
    </row>
    <row r="852" spans="1:2">
      <c r="A852" s="77">
        <v>852</v>
      </c>
      <c r="B852" s="77" t="s">
        <v>1035</v>
      </c>
    </row>
    <row r="853" spans="1:2">
      <c r="A853" s="77">
        <v>853</v>
      </c>
      <c r="B853" s="77" t="s">
        <v>1036</v>
      </c>
    </row>
    <row r="854" spans="1:2">
      <c r="A854" s="77">
        <v>854</v>
      </c>
      <c r="B854" s="77" t="s">
        <v>1037</v>
      </c>
    </row>
    <row r="855" spans="1:2">
      <c r="A855" s="77">
        <v>855</v>
      </c>
      <c r="B855" s="77" t="s">
        <v>1038</v>
      </c>
    </row>
    <row r="856" spans="1:2">
      <c r="A856" s="77">
        <v>856</v>
      </c>
      <c r="B856" s="77" t="s">
        <v>1039</v>
      </c>
    </row>
    <row r="857" spans="1:2">
      <c r="A857" s="77">
        <v>857</v>
      </c>
      <c r="B857" s="77" t="s">
        <v>1040</v>
      </c>
    </row>
    <row r="858" spans="1:2">
      <c r="A858" s="77">
        <v>858</v>
      </c>
      <c r="B858" s="77" t="s">
        <v>1041</v>
      </c>
    </row>
    <row r="859" spans="1:2">
      <c r="A859" s="77">
        <v>859</v>
      </c>
      <c r="B859" s="77" t="s">
        <v>1042</v>
      </c>
    </row>
    <row r="860" spans="1:2">
      <c r="A860" s="77">
        <v>860</v>
      </c>
      <c r="B860" s="77" t="s">
        <v>1043</v>
      </c>
    </row>
    <row r="861" spans="1:2">
      <c r="A861" s="77">
        <v>861</v>
      </c>
      <c r="B861" s="77" t="s">
        <v>1044</v>
      </c>
    </row>
    <row r="862" spans="1:2">
      <c r="A862" s="77">
        <v>862</v>
      </c>
      <c r="B862" s="77" t="s">
        <v>1045</v>
      </c>
    </row>
    <row r="863" spans="1:2">
      <c r="A863" s="77">
        <v>863</v>
      </c>
      <c r="B863" s="77" t="s">
        <v>1046</v>
      </c>
    </row>
    <row r="864" spans="1:2">
      <c r="A864" s="77">
        <v>864</v>
      </c>
      <c r="B864" s="77" t="s">
        <v>1047</v>
      </c>
    </row>
    <row r="865" spans="1:2">
      <c r="A865" s="77">
        <v>865</v>
      </c>
      <c r="B865" s="77" t="s">
        <v>1048</v>
      </c>
    </row>
    <row r="866" spans="1:2">
      <c r="A866" s="77">
        <v>866</v>
      </c>
      <c r="B866" s="77" t="s">
        <v>1049</v>
      </c>
    </row>
    <row r="867" spans="1:2">
      <c r="A867" s="77">
        <v>867</v>
      </c>
      <c r="B867" s="77" t="s">
        <v>1050</v>
      </c>
    </row>
    <row r="868" spans="1:2">
      <c r="A868" s="77">
        <v>868</v>
      </c>
      <c r="B868" s="77" t="s">
        <v>1051</v>
      </c>
    </row>
    <row r="869" spans="1:2">
      <c r="A869" s="77">
        <v>869</v>
      </c>
      <c r="B869" s="77" t="s">
        <v>1052</v>
      </c>
    </row>
    <row r="870" spans="1:2">
      <c r="A870" s="77">
        <v>870</v>
      </c>
      <c r="B870" s="77" t="s">
        <v>1053</v>
      </c>
    </row>
    <row r="871" spans="1:2">
      <c r="A871" s="77">
        <v>871</v>
      </c>
      <c r="B871" s="77" t="s">
        <v>1054</v>
      </c>
    </row>
    <row r="872" spans="1:2">
      <c r="A872" s="77">
        <v>872</v>
      </c>
      <c r="B872" s="77" t="s">
        <v>1055</v>
      </c>
    </row>
    <row r="873" spans="1:2">
      <c r="A873" s="77">
        <v>873</v>
      </c>
      <c r="B873" s="77" t="s">
        <v>1056</v>
      </c>
    </row>
    <row r="874" spans="1:2">
      <c r="A874" s="77">
        <v>874</v>
      </c>
      <c r="B874" s="77" t="s">
        <v>1057</v>
      </c>
    </row>
    <row r="875" spans="1:2">
      <c r="A875" s="77">
        <v>875</v>
      </c>
      <c r="B875" s="77" t="s">
        <v>1058</v>
      </c>
    </row>
    <row r="876" spans="1:2">
      <c r="A876" s="77">
        <v>876</v>
      </c>
      <c r="B876" s="77" t="s">
        <v>1059</v>
      </c>
    </row>
    <row r="877" spans="1:2">
      <c r="A877" s="77">
        <v>877</v>
      </c>
      <c r="B877" s="77" t="s">
        <v>1060</v>
      </c>
    </row>
    <row r="878" spans="1:2">
      <c r="A878" s="77">
        <v>878</v>
      </c>
      <c r="B878" s="77" t="s">
        <v>1061</v>
      </c>
    </row>
    <row r="879" spans="1:2">
      <c r="A879" s="77">
        <v>879</v>
      </c>
      <c r="B879" s="77" t="s">
        <v>1062</v>
      </c>
    </row>
    <row r="880" spans="1:2">
      <c r="A880" s="77">
        <v>880</v>
      </c>
      <c r="B880" s="77" t="s">
        <v>1063</v>
      </c>
    </row>
    <row r="881" spans="1:2">
      <c r="A881" s="77">
        <v>881</v>
      </c>
      <c r="B881" s="77" t="s">
        <v>1064</v>
      </c>
    </row>
    <row r="882" spans="1:2">
      <c r="A882" s="77">
        <v>882</v>
      </c>
      <c r="B882" s="77" t="s">
        <v>1065</v>
      </c>
    </row>
    <row r="883" spans="1:2">
      <c r="A883" s="77">
        <v>883</v>
      </c>
      <c r="B883" s="77" t="s">
        <v>1066</v>
      </c>
    </row>
    <row r="884" spans="1:2">
      <c r="A884" s="77">
        <v>884</v>
      </c>
      <c r="B884" s="77" t="s">
        <v>1067</v>
      </c>
    </row>
    <row r="885" spans="1:2">
      <c r="A885" s="77">
        <v>885</v>
      </c>
      <c r="B885" s="77" t="s">
        <v>1068</v>
      </c>
    </row>
    <row r="886" spans="1:2">
      <c r="A886" s="77">
        <v>886</v>
      </c>
      <c r="B886" s="77" t="s">
        <v>1069</v>
      </c>
    </row>
    <row r="887" spans="1:2">
      <c r="A887" s="77">
        <v>887</v>
      </c>
      <c r="B887" s="77" t="s">
        <v>1070</v>
      </c>
    </row>
    <row r="888" spans="1:2">
      <c r="A888" s="77">
        <v>888</v>
      </c>
      <c r="B888" s="77" t="s">
        <v>1071</v>
      </c>
    </row>
    <row r="889" spans="1:2">
      <c r="A889" s="77">
        <v>889</v>
      </c>
      <c r="B889" s="77" t="s">
        <v>1072</v>
      </c>
    </row>
    <row r="890" spans="1:2">
      <c r="A890" s="77">
        <v>890</v>
      </c>
      <c r="B890" s="77" t="s">
        <v>1073</v>
      </c>
    </row>
    <row r="891" spans="1:2">
      <c r="A891" s="77">
        <v>891</v>
      </c>
      <c r="B891" s="77" t="s">
        <v>1074</v>
      </c>
    </row>
    <row r="892" spans="1:2">
      <c r="A892" s="77">
        <v>892</v>
      </c>
      <c r="B892" s="77" t="s">
        <v>1075</v>
      </c>
    </row>
    <row r="893" spans="1:2">
      <c r="A893" s="77">
        <v>893</v>
      </c>
      <c r="B893" s="77" t="s">
        <v>1076</v>
      </c>
    </row>
    <row r="894" spans="1:2">
      <c r="A894" s="77">
        <v>894</v>
      </c>
      <c r="B894" s="77" t="s">
        <v>1077</v>
      </c>
    </row>
    <row r="895" spans="1:2">
      <c r="A895" s="77">
        <v>895</v>
      </c>
      <c r="B895" s="77" t="s">
        <v>1078</v>
      </c>
    </row>
    <row r="896" spans="1:2">
      <c r="A896" s="77">
        <v>896</v>
      </c>
      <c r="B896" s="77" t="s">
        <v>1079</v>
      </c>
    </row>
    <row r="897" spans="1:2">
      <c r="A897" s="77">
        <v>897</v>
      </c>
      <c r="B897" s="77" t="s">
        <v>1080</v>
      </c>
    </row>
    <row r="898" spans="1:2">
      <c r="A898" s="77">
        <v>898</v>
      </c>
      <c r="B898" s="77" t="s">
        <v>1081</v>
      </c>
    </row>
    <row r="899" spans="1:2">
      <c r="A899" s="77">
        <v>899</v>
      </c>
      <c r="B899" s="77" t="s">
        <v>1082</v>
      </c>
    </row>
    <row r="900" spans="1:2">
      <c r="A900" s="77">
        <v>900</v>
      </c>
      <c r="B900" s="77" t="s">
        <v>1083</v>
      </c>
    </row>
    <row r="901" spans="1:2">
      <c r="A901" s="77">
        <v>901</v>
      </c>
      <c r="B901" s="77" t="s">
        <v>1084</v>
      </c>
    </row>
    <row r="902" spans="1:2">
      <c r="A902" s="77">
        <v>902</v>
      </c>
      <c r="B902" s="77" t="s">
        <v>1085</v>
      </c>
    </row>
    <row r="903" spans="1:2">
      <c r="A903" s="77">
        <v>903</v>
      </c>
      <c r="B903" s="77" t="s">
        <v>1086</v>
      </c>
    </row>
    <row r="904" spans="1:2">
      <c r="A904" s="77">
        <v>904</v>
      </c>
      <c r="B904" s="77" t="s">
        <v>1087</v>
      </c>
    </row>
    <row r="905" spans="1:2">
      <c r="A905" s="77">
        <v>905</v>
      </c>
      <c r="B905" s="77" t="s">
        <v>1088</v>
      </c>
    </row>
    <row r="906" spans="1:2">
      <c r="A906" s="77">
        <v>906</v>
      </c>
      <c r="B906" s="77" t="s">
        <v>1089</v>
      </c>
    </row>
    <row r="907" spans="1:2">
      <c r="A907" s="77">
        <v>907</v>
      </c>
      <c r="B907" s="77" t="s">
        <v>1090</v>
      </c>
    </row>
    <row r="908" spans="1:2">
      <c r="A908" s="77">
        <v>908</v>
      </c>
      <c r="B908" s="77" t="s">
        <v>1091</v>
      </c>
    </row>
    <row r="909" spans="1:2">
      <c r="A909" s="77">
        <v>909</v>
      </c>
      <c r="B909" s="77" t="s">
        <v>1092</v>
      </c>
    </row>
    <row r="910" spans="1:2">
      <c r="A910" s="77">
        <v>910</v>
      </c>
      <c r="B910" s="77" t="s">
        <v>1093</v>
      </c>
    </row>
    <row r="911" spans="1:2">
      <c r="A911" s="77">
        <v>911</v>
      </c>
      <c r="B911" s="77" t="s">
        <v>1094</v>
      </c>
    </row>
    <row r="912" spans="1:2">
      <c r="A912" s="77">
        <v>912</v>
      </c>
      <c r="B912" s="77" t="s">
        <v>1095</v>
      </c>
    </row>
    <row r="913" spans="1:2">
      <c r="A913" s="77">
        <v>913</v>
      </c>
      <c r="B913" s="77" t="s">
        <v>1096</v>
      </c>
    </row>
    <row r="914" spans="1:2">
      <c r="A914" s="77">
        <v>914</v>
      </c>
      <c r="B914" s="77" t="s">
        <v>1097</v>
      </c>
    </row>
    <row r="915" spans="1:2">
      <c r="A915" s="77">
        <v>915</v>
      </c>
      <c r="B915" s="77" t="s">
        <v>1098</v>
      </c>
    </row>
    <row r="916" spans="1:2">
      <c r="A916" s="77">
        <v>916</v>
      </c>
      <c r="B916" s="77" t="s">
        <v>1099</v>
      </c>
    </row>
    <row r="917" spans="1:2">
      <c r="A917" s="77">
        <v>917</v>
      </c>
      <c r="B917" s="77" t="s">
        <v>1100</v>
      </c>
    </row>
    <row r="918" spans="1:2">
      <c r="A918" s="77">
        <v>918</v>
      </c>
      <c r="B918" s="77" t="s">
        <v>1101</v>
      </c>
    </row>
    <row r="919" spans="1:2">
      <c r="A919" s="77">
        <v>919</v>
      </c>
      <c r="B919" s="77" t="s">
        <v>1102</v>
      </c>
    </row>
    <row r="920" spans="1:2">
      <c r="A920" s="77">
        <v>920</v>
      </c>
      <c r="B920" s="77" t="s">
        <v>1103</v>
      </c>
    </row>
    <row r="921" spans="1:2">
      <c r="A921" s="77">
        <v>921</v>
      </c>
      <c r="B921" s="77" t="s">
        <v>1104</v>
      </c>
    </row>
    <row r="922" spans="1:2">
      <c r="A922" s="77">
        <v>922</v>
      </c>
      <c r="B922" s="77" t="s">
        <v>1105</v>
      </c>
    </row>
    <row r="923" spans="1:2">
      <c r="A923" s="77">
        <v>923</v>
      </c>
      <c r="B923" s="77" t="s">
        <v>1106</v>
      </c>
    </row>
    <row r="924" spans="1:2">
      <c r="A924" s="77">
        <v>924</v>
      </c>
      <c r="B924" s="77" t="s">
        <v>1107</v>
      </c>
    </row>
    <row r="925" spans="1:2">
      <c r="A925" s="77">
        <v>925</v>
      </c>
      <c r="B925" s="77" t="s">
        <v>1108</v>
      </c>
    </row>
    <row r="926" spans="1:2">
      <c r="A926" s="77">
        <v>926</v>
      </c>
      <c r="B926" s="77" t="s">
        <v>1109</v>
      </c>
    </row>
    <row r="927" spans="1:2">
      <c r="A927" s="77">
        <v>927</v>
      </c>
      <c r="B927" s="77" t="s">
        <v>1110</v>
      </c>
    </row>
    <row r="928" spans="1:2">
      <c r="A928" s="77">
        <v>928</v>
      </c>
      <c r="B928" s="77" t="s">
        <v>1111</v>
      </c>
    </row>
    <row r="929" spans="1:2">
      <c r="A929" s="77">
        <v>929</v>
      </c>
      <c r="B929" s="77" t="s">
        <v>1112</v>
      </c>
    </row>
    <row r="930" spans="1:2">
      <c r="A930" s="77">
        <v>930</v>
      </c>
      <c r="B930" s="77" t="s">
        <v>1113</v>
      </c>
    </row>
    <row r="931" spans="1:2">
      <c r="A931" s="77">
        <v>931</v>
      </c>
      <c r="B931" s="77" t="s">
        <v>1114</v>
      </c>
    </row>
    <row r="932" spans="1:2">
      <c r="A932" s="77">
        <v>932</v>
      </c>
      <c r="B932" s="77" t="s">
        <v>1115</v>
      </c>
    </row>
    <row r="933" spans="1:2">
      <c r="A933" s="77">
        <v>933</v>
      </c>
      <c r="B933" s="77" t="s">
        <v>1116</v>
      </c>
    </row>
    <row r="934" spans="1:2">
      <c r="A934" s="77">
        <v>934</v>
      </c>
      <c r="B934" s="77" t="s">
        <v>1117</v>
      </c>
    </row>
    <row r="935" spans="1:2">
      <c r="A935" s="77">
        <v>935</v>
      </c>
      <c r="B935" s="77" t="s">
        <v>1118</v>
      </c>
    </row>
    <row r="936" spans="1:2">
      <c r="A936" s="77">
        <v>936</v>
      </c>
      <c r="B936" s="77" t="s">
        <v>1119</v>
      </c>
    </row>
    <row r="937" spans="1:2">
      <c r="A937" s="77">
        <v>937</v>
      </c>
      <c r="B937" s="77" t="s">
        <v>1120</v>
      </c>
    </row>
    <row r="938" spans="1:2">
      <c r="A938" s="77">
        <v>938</v>
      </c>
      <c r="B938" s="77" t="s">
        <v>1121</v>
      </c>
    </row>
    <row r="939" spans="1:2">
      <c r="A939" s="77">
        <v>939</v>
      </c>
      <c r="B939" s="77" t="s">
        <v>1122</v>
      </c>
    </row>
    <row r="940" spans="1:2">
      <c r="A940" s="77">
        <v>940</v>
      </c>
      <c r="B940" s="77" t="s">
        <v>1123</v>
      </c>
    </row>
    <row r="941" spans="1:2">
      <c r="A941" s="77">
        <v>941</v>
      </c>
      <c r="B941" s="77" t="s">
        <v>1124</v>
      </c>
    </row>
    <row r="942" spans="1:2">
      <c r="A942" s="77">
        <v>942</v>
      </c>
      <c r="B942" s="77" t="s">
        <v>1125</v>
      </c>
    </row>
    <row r="943" spans="1:2">
      <c r="A943" s="77">
        <v>943</v>
      </c>
      <c r="B943" s="77" t="s">
        <v>1126</v>
      </c>
    </row>
    <row r="944" spans="1:2">
      <c r="A944" s="77">
        <v>944</v>
      </c>
      <c r="B944" s="77" t="s">
        <v>1127</v>
      </c>
    </row>
    <row r="945" spans="1:2">
      <c r="A945" s="77">
        <v>945</v>
      </c>
      <c r="B945" s="77" t="s">
        <v>1128</v>
      </c>
    </row>
    <row r="946" spans="1:2">
      <c r="A946" s="77">
        <v>946</v>
      </c>
      <c r="B946" s="77" t="s">
        <v>1129</v>
      </c>
    </row>
    <row r="947" spans="1:2">
      <c r="A947" s="77">
        <v>947</v>
      </c>
      <c r="B947" s="77" t="s">
        <v>1130</v>
      </c>
    </row>
    <row r="948" spans="1:2">
      <c r="A948" s="77">
        <v>948</v>
      </c>
      <c r="B948" s="77" t="s">
        <v>1131</v>
      </c>
    </row>
    <row r="949" spans="1:2">
      <c r="A949" s="77">
        <v>949</v>
      </c>
      <c r="B949" s="77" t="s">
        <v>1132</v>
      </c>
    </row>
    <row r="950" spans="1:2">
      <c r="A950" s="77">
        <v>950</v>
      </c>
      <c r="B950" s="77" t="s">
        <v>1133</v>
      </c>
    </row>
    <row r="951" spans="1:2">
      <c r="A951" s="77">
        <v>951</v>
      </c>
      <c r="B951" s="77" t="s">
        <v>1134</v>
      </c>
    </row>
    <row r="952" spans="1:2">
      <c r="A952" s="77">
        <v>952</v>
      </c>
      <c r="B952" s="77" t="s">
        <v>1135</v>
      </c>
    </row>
    <row r="953" spans="1:2">
      <c r="A953" s="77">
        <v>953</v>
      </c>
      <c r="B953" s="77" t="s">
        <v>1136</v>
      </c>
    </row>
    <row r="954" spans="1:2">
      <c r="A954" s="77">
        <v>954</v>
      </c>
      <c r="B954" s="77" t="s">
        <v>1137</v>
      </c>
    </row>
    <row r="955" spans="1:2">
      <c r="A955" s="77">
        <v>955</v>
      </c>
      <c r="B955" s="77" t="s">
        <v>1138</v>
      </c>
    </row>
    <row r="956" spans="1:2">
      <c r="A956" s="77">
        <v>956</v>
      </c>
      <c r="B956" s="77" t="s">
        <v>1139</v>
      </c>
    </row>
    <row r="957" spans="1:2">
      <c r="A957" s="77">
        <v>957</v>
      </c>
      <c r="B957" s="77" t="s">
        <v>1140</v>
      </c>
    </row>
    <row r="958" spans="1:2">
      <c r="A958" s="77">
        <v>958</v>
      </c>
      <c r="B958" s="77" t="s">
        <v>1141</v>
      </c>
    </row>
    <row r="959" spans="1:2">
      <c r="A959" s="77">
        <v>959</v>
      </c>
      <c r="B959" s="77" t="s">
        <v>1142</v>
      </c>
    </row>
    <row r="960" spans="1:2">
      <c r="A960" s="77">
        <v>960</v>
      </c>
      <c r="B960" s="77" t="s">
        <v>1143</v>
      </c>
    </row>
    <row r="961" spans="1:2">
      <c r="A961" s="77">
        <v>961</v>
      </c>
      <c r="B961" s="77" t="s">
        <v>1144</v>
      </c>
    </row>
    <row r="962" spans="1:2">
      <c r="A962" s="77">
        <v>962</v>
      </c>
      <c r="B962" s="77" t="s">
        <v>1145</v>
      </c>
    </row>
    <row r="963" spans="1:2">
      <c r="A963" s="77">
        <v>963</v>
      </c>
      <c r="B963" s="77" t="s">
        <v>1146</v>
      </c>
    </row>
    <row r="964" spans="1:2">
      <c r="A964" s="77">
        <v>964</v>
      </c>
      <c r="B964" s="77" t="s">
        <v>1147</v>
      </c>
    </row>
    <row r="965" spans="1:2">
      <c r="A965" s="77">
        <v>965</v>
      </c>
      <c r="B965" s="77" t="s">
        <v>1148</v>
      </c>
    </row>
    <row r="966" spans="1:2">
      <c r="A966" s="77">
        <v>966</v>
      </c>
      <c r="B966" s="77" t="s">
        <v>1149</v>
      </c>
    </row>
    <row r="967" spans="1:2">
      <c r="A967" s="77">
        <v>967</v>
      </c>
      <c r="B967" s="77" t="s">
        <v>1150</v>
      </c>
    </row>
    <row r="968" spans="1:2">
      <c r="A968" s="77">
        <v>968</v>
      </c>
      <c r="B968" s="77" t="s">
        <v>1151</v>
      </c>
    </row>
    <row r="969" spans="1:2">
      <c r="A969" s="77">
        <v>969</v>
      </c>
      <c r="B969" s="77" t="s">
        <v>1152</v>
      </c>
    </row>
    <row r="970" spans="1:2">
      <c r="A970" s="77">
        <v>970</v>
      </c>
      <c r="B970" s="77" t="s">
        <v>1153</v>
      </c>
    </row>
    <row r="971" spans="1:2">
      <c r="A971" s="77">
        <v>971</v>
      </c>
      <c r="B971" s="77" t="s">
        <v>1154</v>
      </c>
    </row>
    <row r="972" spans="1:2">
      <c r="A972" s="77">
        <v>972</v>
      </c>
      <c r="B972" s="77" t="s">
        <v>1155</v>
      </c>
    </row>
    <row r="973" spans="1:2">
      <c r="A973" s="77">
        <v>973</v>
      </c>
      <c r="B973" s="77" t="s">
        <v>1156</v>
      </c>
    </row>
    <row r="974" spans="1:2">
      <c r="A974" s="77">
        <v>974</v>
      </c>
      <c r="B974" s="77" t="s">
        <v>1157</v>
      </c>
    </row>
    <row r="975" spans="1:2">
      <c r="A975" s="77">
        <v>975</v>
      </c>
      <c r="B975" s="77" t="s">
        <v>1158</v>
      </c>
    </row>
    <row r="976" spans="1:2">
      <c r="A976" s="77">
        <v>976</v>
      </c>
      <c r="B976" s="77" t="s">
        <v>1159</v>
      </c>
    </row>
    <row r="977" spans="1:2">
      <c r="A977" s="77">
        <v>977</v>
      </c>
      <c r="B977" s="77" t="s">
        <v>1160</v>
      </c>
    </row>
    <row r="978" spans="1:2">
      <c r="A978" s="77">
        <v>978</v>
      </c>
      <c r="B978" s="77" t="s">
        <v>1161</v>
      </c>
    </row>
    <row r="979" spans="1:2">
      <c r="A979" s="77">
        <v>979</v>
      </c>
      <c r="B979" s="77" t="s">
        <v>1162</v>
      </c>
    </row>
    <row r="980" spans="1:2">
      <c r="A980" s="77">
        <v>980</v>
      </c>
      <c r="B980" s="77" t="s">
        <v>1163</v>
      </c>
    </row>
    <row r="981" spans="1:2">
      <c r="A981" s="77">
        <v>981</v>
      </c>
      <c r="B981" s="77" t="s">
        <v>1164</v>
      </c>
    </row>
    <row r="982" spans="1:2">
      <c r="A982" s="77">
        <v>982</v>
      </c>
      <c r="B982" s="77" t="s">
        <v>1165</v>
      </c>
    </row>
    <row r="983" spans="1:2">
      <c r="A983" s="77">
        <v>983</v>
      </c>
      <c r="B983" s="77" t="s">
        <v>1166</v>
      </c>
    </row>
    <row r="984" spans="1:2">
      <c r="A984" s="77">
        <v>984</v>
      </c>
      <c r="B984" s="77" t="s">
        <v>1167</v>
      </c>
    </row>
    <row r="985" spans="1:2">
      <c r="A985" s="77">
        <v>985</v>
      </c>
      <c r="B985" s="77" t="s">
        <v>1168</v>
      </c>
    </row>
    <row r="986" spans="1:2">
      <c r="A986" s="77">
        <v>986</v>
      </c>
      <c r="B986" s="77" t="s">
        <v>1169</v>
      </c>
    </row>
    <row r="987" spans="1:2">
      <c r="A987" s="77">
        <v>987</v>
      </c>
      <c r="B987" s="77" t="s">
        <v>1170</v>
      </c>
    </row>
    <row r="988" spans="1:2">
      <c r="A988" s="77">
        <v>988</v>
      </c>
      <c r="B988" s="77" t="s">
        <v>1171</v>
      </c>
    </row>
    <row r="989" spans="1:2">
      <c r="A989" s="77">
        <v>989</v>
      </c>
      <c r="B989" s="77" t="s">
        <v>1172</v>
      </c>
    </row>
    <row r="990" spans="1:2">
      <c r="A990" s="77">
        <v>990</v>
      </c>
      <c r="B990" s="77" t="s">
        <v>1173</v>
      </c>
    </row>
    <row r="991" spans="1:2">
      <c r="A991" s="77">
        <v>991</v>
      </c>
      <c r="B991" s="77" t="s">
        <v>1174</v>
      </c>
    </row>
    <row r="992" spans="1:2">
      <c r="A992" s="77">
        <v>992</v>
      </c>
      <c r="B992" s="77" t="s">
        <v>1175</v>
      </c>
    </row>
    <row r="993" spans="1:2">
      <c r="A993" s="77">
        <v>993</v>
      </c>
      <c r="B993" s="77" t="s">
        <v>1176</v>
      </c>
    </row>
    <row r="994" spans="1:2">
      <c r="A994" s="77">
        <v>994</v>
      </c>
      <c r="B994" s="77" t="s">
        <v>1177</v>
      </c>
    </row>
    <row r="995" spans="1:2">
      <c r="A995" s="77">
        <v>995</v>
      </c>
      <c r="B995" s="77" t="s">
        <v>1178</v>
      </c>
    </row>
    <row r="996" spans="1:2">
      <c r="A996" s="77">
        <v>996</v>
      </c>
      <c r="B996" s="77" t="s">
        <v>1179</v>
      </c>
    </row>
    <row r="997" spans="1:2">
      <c r="A997" s="77">
        <v>997</v>
      </c>
      <c r="B997" s="77" t="s">
        <v>1180</v>
      </c>
    </row>
    <row r="998" spans="1:2">
      <c r="A998" s="77">
        <v>998</v>
      </c>
      <c r="B998" s="77" t="s">
        <v>1181</v>
      </c>
    </row>
    <row r="999" spans="1:2">
      <c r="A999" s="77">
        <v>999</v>
      </c>
      <c r="B999" s="77" t="s">
        <v>1182</v>
      </c>
    </row>
    <row r="1000" spans="1:2">
      <c r="A1000" s="77">
        <v>1000</v>
      </c>
      <c r="B1000" s="77" t="s">
        <v>1183</v>
      </c>
    </row>
    <row r="1001" spans="1:2">
      <c r="A1001" s="77">
        <v>1001</v>
      </c>
      <c r="B1001" s="77" t="s">
        <v>1184</v>
      </c>
    </row>
    <row r="1002" spans="1:2">
      <c r="A1002" s="77">
        <v>1002</v>
      </c>
      <c r="B1002" s="77" t="s">
        <v>1185</v>
      </c>
    </row>
    <row r="1003" spans="1:2">
      <c r="A1003" s="77">
        <v>1003</v>
      </c>
      <c r="B1003" s="77" t="s">
        <v>1186</v>
      </c>
    </row>
    <row r="1004" spans="1:2">
      <c r="A1004" s="77">
        <v>1004</v>
      </c>
      <c r="B1004" s="77" t="s">
        <v>1187</v>
      </c>
    </row>
    <row r="1005" spans="1:2">
      <c r="A1005" s="77">
        <v>1005</v>
      </c>
      <c r="B1005" s="77" t="s">
        <v>1188</v>
      </c>
    </row>
    <row r="1006" spans="1:2">
      <c r="A1006" s="77">
        <v>1006</v>
      </c>
      <c r="B1006" s="77" t="s">
        <v>1189</v>
      </c>
    </row>
    <row r="1007" spans="1:2">
      <c r="A1007" s="77">
        <v>1007</v>
      </c>
      <c r="B1007" s="77" t="s">
        <v>1190</v>
      </c>
    </row>
    <row r="1008" spans="1:2">
      <c r="A1008" s="77">
        <v>1008</v>
      </c>
      <c r="B1008" s="77" t="s">
        <v>1191</v>
      </c>
    </row>
    <row r="1009" spans="1:2">
      <c r="A1009" s="77">
        <v>1009</v>
      </c>
      <c r="B1009" s="77" t="s">
        <v>1192</v>
      </c>
    </row>
    <row r="1010" spans="1:2">
      <c r="A1010" s="77">
        <v>1010</v>
      </c>
      <c r="B1010" s="77" t="s">
        <v>1193</v>
      </c>
    </row>
    <row r="1011" spans="1:2">
      <c r="A1011" s="77">
        <v>1011</v>
      </c>
      <c r="B1011" s="77" t="s">
        <v>1194</v>
      </c>
    </row>
    <row r="1012" spans="1:2">
      <c r="A1012" s="77">
        <v>1012</v>
      </c>
      <c r="B1012" s="77" t="s">
        <v>1195</v>
      </c>
    </row>
    <row r="1013" spans="1:2">
      <c r="A1013" s="77">
        <v>1013</v>
      </c>
      <c r="B1013" s="77" t="s">
        <v>1196</v>
      </c>
    </row>
    <row r="1014" spans="1:2">
      <c r="A1014" s="77">
        <v>1014</v>
      </c>
      <c r="B1014" s="77" t="s">
        <v>1197</v>
      </c>
    </row>
    <row r="1015" spans="1:2">
      <c r="A1015" s="77">
        <v>1015</v>
      </c>
      <c r="B1015" s="77" t="s">
        <v>1198</v>
      </c>
    </row>
    <row r="1016" spans="1:2">
      <c r="A1016" s="77">
        <v>1016</v>
      </c>
      <c r="B1016" s="77" t="s">
        <v>1199</v>
      </c>
    </row>
    <row r="1017" spans="1:2">
      <c r="A1017" s="77">
        <v>1017</v>
      </c>
      <c r="B1017" s="77" t="s">
        <v>1200</v>
      </c>
    </row>
    <row r="1018" spans="1:2">
      <c r="A1018" s="77">
        <v>1018</v>
      </c>
      <c r="B1018" s="77" t="s">
        <v>1201</v>
      </c>
    </row>
    <row r="1019" spans="1:2">
      <c r="A1019" s="77">
        <v>1019</v>
      </c>
      <c r="B1019" s="77" t="s">
        <v>1202</v>
      </c>
    </row>
    <row r="1020" spans="1:2">
      <c r="A1020" s="77">
        <v>1020</v>
      </c>
      <c r="B1020" s="77" t="s">
        <v>1203</v>
      </c>
    </row>
    <row r="1021" spans="1:2">
      <c r="A1021" s="77">
        <v>1021</v>
      </c>
      <c r="B1021" s="77" t="s">
        <v>1204</v>
      </c>
    </row>
    <row r="1022" spans="1:2">
      <c r="A1022" s="77">
        <v>1022</v>
      </c>
      <c r="B1022" s="77" t="s">
        <v>1205</v>
      </c>
    </row>
    <row r="1023" spans="1:2">
      <c r="A1023" s="77">
        <v>1023</v>
      </c>
      <c r="B1023" s="77" t="s">
        <v>1206</v>
      </c>
    </row>
    <row r="1024" spans="1:2">
      <c r="A1024" s="77">
        <v>1024</v>
      </c>
      <c r="B1024" s="77" t="s">
        <v>1207</v>
      </c>
    </row>
    <row r="1025" spans="1:2">
      <c r="A1025" s="77">
        <v>1025</v>
      </c>
      <c r="B1025" s="77" t="s">
        <v>1208</v>
      </c>
    </row>
    <row r="1026" spans="1:2">
      <c r="A1026" s="77">
        <v>1026</v>
      </c>
      <c r="B1026" s="77" t="s">
        <v>1209</v>
      </c>
    </row>
    <row r="1027" spans="1:2">
      <c r="A1027" s="77">
        <v>1027</v>
      </c>
      <c r="B1027" s="77" t="s">
        <v>1210</v>
      </c>
    </row>
    <row r="1028" spans="1:2">
      <c r="A1028" s="77">
        <v>1028</v>
      </c>
      <c r="B1028" s="77" t="s">
        <v>1211</v>
      </c>
    </row>
    <row r="1029" spans="1:2">
      <c r="A1029" s="77">
        <v>1029</v>
      </c>
      <c r="B1029" s="77" t="s">
        <v>1212</v>
      </c>
    </row>
    <row r="1030" spans="1:2">
      <c r="A1030" s="77">
        <v>1030</v>
      </c>
      <c r="B1030" s="77" t="s">
        <v>1213</v>
      </c>
    </row>
    <row r="1031" spans="1:2">
      <c r="A1031" s="77">
        <v>1031</v>
      </c>
      <c r="B1031" s="77" t="s">
        <v>1214</v>
      </c>
    </row>
    <row r="1032" spans="1:2">
      <c r="A1032" s="77">
        <v>1032</v>
      </c>
      <c r="B1032" s="77" t="s">
        <v>1215</v>
      </c>
    </row>
    <row r="1033" spans="1:2">
      <c r="A1033" s="77">
        <v>1033</v>
      </c>
      <c r="B1033" s="77" t="s">
        <v>1216</v>
      </c>
    </row>
    <row r="1034" spans="1:2">
      <c r="A1034" s="77">
        <v>1034</v>
      </c>
      <c r="B1034" s="77" t="s">
        <v>1217</v>
      </c>
    </row>
    <row r="1035" spans="1:2">
      <c r="A1035" s="77">
        <v>1035</v>
      </c>
      <c r="B1035" s="77" t="s">
        <v>1218</v>
      </c>
    </row>
    <row r="1036" spans="1:2">
      <c r="A1036" s="77">
        <v>1036</v>
      </c>
      <c r="B1036" s="77" t="s">
        <v>1219</v>
      </c>
    </row>
    <row r="1037" spans="1:2">
      <c r="A1037" s="77">
        <v>1037</v>
      </c>
      <c r="B1037" s="77" t="s">
        <v>1220</v>
      </c>
    </row>
    <row r="1038" spans="1:2">
      <c r="A1038" s="77">
        <v>1038</v>
      </c>
      <c r="B1038" s="77" t="s">
        <v>1221</v>
      </c>
    </row>
    <row r="1039" spans="1:2">
      <c r="A1039" s="77">
        <v>1039</v>
      </c>
      <c r="B1039" s="77" t="s">
        <v>1222</v>
      </c>
    </row>
    <row r="1040" spans="1:2">
      <c r="A1040" s="77">
        <v>1040</v>
      </c>
      <c r="B1040" s="77" t="s">
        <v>1223</v>
      </c>
    </row>
    <row r="1041" spans="1:2">
      <c r="A1041" s="77">
        <v>1041</v>
      </c>
      <c r="B1041" s="77" t="s">
        <v>1224</v>
      </c>
    </row>
    <row r="1042" spans="1:2">
      <c r="A1042" s="77">
        <v>1042</v>
      </c>
      <c r="B1042" s="77" t="s">
        <v>1225</v>
      </c>
    </row>
    <row r="1043" spans="1:2">
      <c r="A1043" s="77">
        <v>1043</v>
      </c>
      <c r="B1043" s="77" t="s">
        <v>1226</v>
      </c>
    </row>
    <row r="1044" spans="1:2">
      <c r="A1044" s="77">
        <v>1044</v>
      </c>
      <c r="B1044" s="77" t="s">
        <v>1227</v>
      </c>
    </row>
    <row r="1045" spans="1:2">
      <c r="A1045" s="77">
        <v>1045</v>
      </c>
      <c r="B1045" s="77" t="s">
        <v>1228</v>
      </c>
    </row>
    <row r="1046" spans="1:2">
      <c r="A1046" s="77">
        <v>1046</v>
      </c>
      <c r="B1046" s="77" t="s">
        <v>1229</v>
      </c>
    </row>
    <row r="1047" spans="1:2">
      <c r="A1047" s="77">
        <v>1047</v>
      </c>
      <c r="B1047" s="77" t="s">
        <v>1230</v>
      </c>
    </row>
    <row r="1048" spans="1:2">
      <c r="A1048" s="77">
        <v>1048</v>
      </c>
      <c r="B1048" s="77" t="s">
        <v>1231</v>
      </c>
    </row>
    <row r="1049" spans="1:2">
      <c r="A1049" s="77">
        <v>1049</v>
      </c>
      <c r="B1049" s="77" t="s">
        <v>1232</v>
      </c>
    </row>
    <row r="1050" spans="1:2">
      <c r="A1050" s="77">
        <v>1050</v>
      </c>
      <c r="B1050" s="77" t="s">
        <v>1233</v>
      </c>
    </row>
    <row r="1051" spans="1:2">
      <c r="A1051" s="77">
        <v>1051</v>
      </c>
      <c r="B1051" s="77" t="s">
        <v>1234</v>
      </c>
    </row>
    <row r="1052" spans="1:2">
      <c r="A1052" s="77">
        <v>1052</v>
      </c>
      <c r="B1052" s="77" t="s">
        <v>1235</v>
      </c>
    </row>
    <row r="1053" spans="1:2">
      <c r="A1053" s="77">
        <v>1053</v>
      </c>
      <c r="B1053" s="77" t="s">
        <v>1236</v>
      </c>
    </row>
    <row r="1054" spans="1:2">
      <c r="A1054" s="77">
        <v>1054</v>
      </c>
      <c r="B1054" s="77" t="s">
        <v>1237</v>
      </c>
    </row>
    <row r="1055" spans="1:2">
      <c r="A1055" s="77">
        <v>1055</v>
      </c>
      <c r="B1055" s="77" t="s">
        <v>1238</v>
      </c>
    </row>
    <row r="1056" spans="1:2">
      <c r="A1056" s="77">
        <v>1056</v>
      </c>
      <c r="B1056" s="77" t="s">
        <v>1239</v>
      </c>
    </row>
    <row r="1057" spans="1:2">
      <c r="A1057" s="77">
        <v>1057</v>
      </c>
      <c r="B1057" s="77" t="s">
        <v>1240</v>
      </c>
    </row>
    <row r="1058" spans="1:2">
      <c r="A1058" s="77">
        <v>1058</v>
      </c>
      <c r="B1058" s="77" t="s">
        <v>1241</v>
      </c>
    </row>
    <row r="1059" spans="1:2">
      <c r="A1059" s="77">
        <v>1059</v>
      </c>
      <c r="B1059" s="77" t="s">
        <v>1242</v>
      </c>
    </row>
    <row r="1060" spans="1:2">
      <c r="A1060" s="77">
        <v>1060</v>
      </c>
      <c r="B1060" s="77" t="s">
        <v>1243</v>
      </c>
    </row>
    <row r="1061" spans="1:2">
      <c r="A1061" s="77">
        <v>1061</v>
      </c>
      <c r="B1061" s="77" t="s">
        <v>1244</v>
      </c>
    </row>
    <row r="1062" spans="1:2">
      <c r="A1062" s="77">
        <v>1062</v>
      </c>
      <c r="B1062" s="77" t="s">
        <v>1245</v>
      </c>
    </row>
    <row r="1063" spans="1:2">
      <c r="A1063" s="77">
        <v>1063</v>
      </c>
      <c r="B1063" s="77" t="s">
        <v>1246</v>
      </c>
    </row>
    <row r="1064" spans="1:2">
      <c r="A1064" s="77">
        <v>1064</v>
      </c>
      <c r="B1064" s="77" t="s">
        <v>1247</v>
      </c>
    </row>
    <row r="1065" spans="1:2">
      <c r="A1065" s="77">
        <v>1065</v>
      </c>
      <c r="B1065" s="77" t="s">
        <v>1248</v>
      </c>
    </row>
    <row r="1066" spans="1:2">
      <c r="A1066" s="77">
        <v>1066</v>
      </c>
      <c r="B1066" s="77" t="s">
        <v>1249</v>
      </c>
    </row>
    <row r="1067" spans="1:2">
      <c r="A1067" s="77">
        <v>1067</v>
      </c>
      <c r="B1067" s="77" t="s">
        <v>1250</v>
      </c>
    </row>
    <row r="1068" spans="1:2">
      <c r="A1068" s="77">
        <v>1068</v>
      </c>
      <c r="B1068" s="77" t="s">
        <v>1251</v>
      </c>
    </row>
    <row r="1069" spans="1:2">
      <c r="A1069" s="77">
        <v>1069</v>
      </c>
      <c r="B1069" s="77" t="s">
        <v>1252</v>
      </c>
    </row>
    <row r="1070" spans="1:2">
      <c r="A1070" s="77">
        <v>1070</v>
      </c>
      <c r="B1070" s="77" t="s">
        <v>1253</v>
      </c>
    </row>
    <row r="1071" spans="1:2">
      <c r="A1071" s="77">
        <v>1071</v>
      </c>
      <c r="B1071" s="77" t="s">
        <v>1254</v>
      </c>
    </row>
    <row r="1072" spans="1:2">
      <c r="A1072" s="77">
        <v>1072</v>
      </c>
      <c r="B1072" s="77" t="s">
        <v>1255</v>
      </c>
    </row>
    <row r="1073" spans="1:2">
      <c r="A1073" s="77">
        <v>1073</v>
      </c>
      <c r="B1073" s="77" t="s">
        <v>1256</v>
      </c>
    </row>
    <row r="1074" spans="1:2">
      <c r="A1074" s="77">
        <v>1074</v>
      </c>
      <c r="B1074" s="77" t="s">
        <v>1257</v>
      </c>
    </row>
    <row r="1075" spans="1:2">
      <c r="A1075" s="77">
        <v>1075</v>
      </c>
      <c r="B1075" s="77" t="s">
        <v>1258</v>
      </c>
    </row>
    <row r="1076" spans="1:2">
      <c r="A1076" s="77">
        <v>1076</v>
      </c>
      <c r="B1076" s="77" t="s">
        <v>1259</v>
      </c>
    </row>
    <row r="1077" spans="1:2">
      <c r="A1077" s="77">
        <v>1077</v>
      </c>
      <c r="B1077" s="77" t="s">
        <v>1260</v>
      </c>
    </row>
    <row r="1078" spans="1:2">
      <c r="A1078" s="77">
        <v>1078</v>
      </c>
      <c r="B1078" s="77" t="s">
        <v>1261</v>
      </c>
    </row>
    <row r="1079" spans="1:2">
      <c r="A1079" s="77">
        <v>1079</v>
      </c>
      <c r="B1079" s="77" t="s">
        <v>1262</v>
      </c>
    </row>
    <row r="1080" spans="1:2">
      <c r="A1080" s="77">
        <v>1080</v>
      </c>
      <c r="B1080" s="77" t="s">
        <v>1263</v>
      </c>
    </row>
    <row r="1081" spans="1:2">
      <c r="A1081" s="77">
        <v>1081</v>
      </c>
      <c r="B1081" s="77" t="s">
        <v>1264</v>
      </c>
    </row>
    <row r="1082" spans="1:2">
      <c r="A1082" s="77">
        <v>1082</v>
      </c>
      <c r="B1082" s="77" t="s">
        <v>1265</v>
      </c>
    </row>
    <row r="1083" spans="1:2">
      <c r="A1083" s="77">
        <v>1083</v>
      </c>
      <c r="B1083" s="77" t="s">
        <v>1266</v>
      </c>
    </row>
    <row r="1084" spans="1:2">
      <c r="A1084" s="77">
        <v>1084</v>
      </c>
      <c r="B1084" s="77" t="s">
        <v>1267</v>
      </c>
    </row>
    <row r="1085" spans="1:2">
      <c r="A1085" s="77">
        <v>1085</v>
      </c>
      <c r="B1085" s="77" t="s">
        <v>1268</v>
      </c>
    </row>
    <row r="1086" spans="1:2">
      <c r="A1086" s="77">
        <v>1086</v>
      </c>
      <c r="B1086" s="77" t="s">
        <v>1269</v>
      </c>
    </row>
    <row r="1087" spans="1:2">
      <c r="A1087" s="77">
        <v>1087</v>
      </c>
      <c r="B1087" s="77" t="s">
        <v>1270</v>
      </c>
    </row>
    <row r="1088" spans="1:2">
      <c r="A1088" s="77">
        <v>1088</v>
      </c>
      <c r="B1088" s="77" t="s">
        <v>1271</v>
      </c>
    </row>
    <row r="1089" spans="1:2">
      <c r="A1089" s="77">
        <v>1089</v>
      </c>
      <c r="B1089" s="77" t="s">
        <v>1272</v>
      </c>
    </row>
    <row r="1090" spans="1:2">
      <c r="A1090" s="77">
        <v>1090</v>
      </c>
      <c r="B1090" s="77" t="s">
        <v>1273</v>
      </c>
    </row>
    <row r="1091" spans="1:2">
      <c r="A1091" s="77">
        <v>1091</v>
      </c>
      <c r="B1091" s="77" t="s">
        <v>1274</v>
      </c>
    </row>
    <row r="1092" spans="1:2">
      <c r="A1092" s="77">
        <v>1092</v>
      </c>
      <c r="B1092" s="77" t="s">
        <v>1275</v>
      </c>
    </row>
    <row r="1093" spans="1:2">
      <c r="A1093" s="77">
        <v>1093</v>
      </c>
      <c r="B1093" s="77" t="s">
        <v>1276</v>
      </c>
    </row>
    <row r="1094" spans="1:2">
      <c r="A1094" s="77">
        <v>1094</v>
      </c>
      <c r="B1094" s="77" t="s">
        <v>1277</v>
      </c>
    </row>
    <row r="1095" spans="1:2">
      <c r="A1095" s="77">
        <v>1095</v>
      </c>
      <c r="B1095" s="77" t="s">
        <v>1278</v>
      </c>
    </row>
    <row r="1096" spans="1:2">
      <c r="A1096" s="77">
        <v>1096</v>
      </c>
      <c r="B1096" s="77" t="s">
        <v>1279</v>
      </c>
    </row>
    <row r="1097" spans="1:2">
      <c r="A1097" s="77">
        <v>1097</v>
      </c>
      <c r="B1097" s="77" t="s">
        <v>1280</v>
      </c>
    </row>
    <row r="1098" spans="1:2">
      <c r="A1098" s="77">
        <v>1098</v>
      </c>
      <c r="B1098" s="77" t="s">
        <v>1281</v>
      </c>
    </row>
    <row r="1099" spans="1:2">
      <c r="A1099" s="77">
        <v>1099</v>
      </c>
      <c r="B1099" s="77" t="s">
        <v>1282</v>
      </c>
    </row>
    <row r="1100" spans="1:2">
      <c r="A1100" s="77">
        <v>1100</v>
      </c>
      <c r="B1100" s="77" t="s">
        <v>1283</v>
      </c>
    </row>
    <row r="1101" spans="1:2">
      <c r="A1101" s="77">
        <v>1101</v>
      </c>
      <c r="B1101" s="77" t="s">
        <v>1284</v>
      </c>
    </row>
    <row r="1102" spans="1:2">
      <c r="A1102" s="77">
        <v>1102</v>
      </c>
      <c r="B1102" s="77" t="s">
        <v>1285</v>
      </c>
    </row>
    <row r="1103" spans="1:2">
      <c r="A1103" s="77">
        <v>1103</v>
      </c>
      <c r="B1103" s="77" t="s">
        <v>1286</v>
      </c>
    </row>
    <row r="1104" spans="1:2">
      <c r="A1104" s="77">
        <v>1104</v>
      </c>
      <c r="B1104" s="77" t="s">
        <v>1287</v>
      </c>
    </row>
    <row r="1105" spans="1:2">
      <c r="A1105" s="77">
        <v>1105</v>
      </c>
      <c r="B1105" s="77" t="s">
        <v>1288</v>
      </c>
    </row>
    <row r="1106" spans="1:2">
      <c r="A1106" s="77">
        <v>1106</v>
      </c>
      <c r="B1106" s="77" t="s">
        <v>1289</v>
      </c>
    </row>
    <row r="1107" spans="1:2">
      <c r="A1107" s="77">
        <v>1107</v>
      </c>
      <c r="B1107" s="77" t="s">
        <v>1290</v>
      </c>
    </row>
    <row r="1108" spans="1:2">
      <c r="A1108" s="77">
        <v>1108</v>
      </c>
      <c r="B1108" s="77" t="s">
        <v>1291</v>
      </c>
    </row>
    <row r="1109" spans="1:2">
      <c r="A1109" s="77">
        <v>1109</v>
      </c>
      <c r="B1109" s="77" t="s">
        <v>1292</v>
      </c>
    </row>
    <row r="1110" spans="1:2">
      <c r="A1110" s="77">
        <v>1110</v>
      </c>
      <c r="B1110" s="77" t="s">
        <v>1293</v>
      </c>
    </row>
    <row r="1111" spans="1:2">
      <c r="A1111" s="77">
        <v>1111</v>
      </c>
      <c r="B1111" s="77" t="s">
        <v>1294</v>
      </c>
    </row>
    <row r="1112" spans="1:2">
      <c r="A1112" s="77">
        <v>1112</v>
      </c>
      <c r="B1112" s="77" t="s">
        <v>1295</v>
      </c>
    </row>
    <row r="1113" spans="1:2">
      <c r="A1113" s="77">
        <v>1113</v>
      </c>
      <c r="B1113" s="77" t="s">
        <v>1296</v>
      </c>
    </row>
    <row r="1114" spans="1:2">
      <c r="A1114" s="77">
        <v>1114</v>
      </c>
      <c r="B1114" s="77" t="s">
        <v>1297</v>
      </c>
    </row>
    <row r="1115" spans="1:2">
      <c r="A1115" s="77">
        <v>1115</v>
      </c>
      <c r="B1115" s="77" t="s">
        <v>1298</v>
      </c>
    </row>
    <row r="1116" spans="1:2">
      <c r="A1116" s="77">
        <v>1116</v>
      </c>
      <c r="B1116" s="77" t="s">
        <v>1299</v>
      </c>
    </row>
    <row r="1117" spans="1:2">
      <c r="A1117" s="77">
        <v>1117</v>
      </c>
      <c r="B1117" s="77" t="s">
        <v>1300</v>
      </c>
    </row>
    <row r="1118" spans="1:2">
      <c r="A1118" s="77">
        <v>1118</v>
      </c>
      <c r="B1118" s="77" t="s">
        <v>1301</v>
      </c>
    </row>
    <row r="1119" spans="1:2">
      <c r="A1119" s="77">
        <v>1119</v>
      </c>
      <c r="B1119" s="77" t="s">
        <v>1302</v>
      </c>
    </row>
    <row r="1120" spans="1:2">
      <c r="A1120" s="77">
        <v>1120</v>
      </c>
      <c r="B1120" s="77" t="s">
        <v>1303</v>
      </c>
    </row>
    <row r="1121" spans="1:2">
      <c r="A1121" s="77">
        <v>1121</v>
      </c>
      <c r="B1121" s="77" t="s">
        <v>1304</v>
      </c>
    </row>
    <row r="1122" spans="1:2">
      <c r="A1122" s="77">
        <v>1122</v>
      </c>
      <c r="B1122" s="77" t="s">
        <v>1305</v>
      </c>
    </row>
    <row r="1123" spans="1:2">
      <c r="A1123" s="77">
        <v>1123</v>
      </c>
      <c r="B1123" s="77" t="s">
        <v>1306</v>
      </c>
    </row>
    <row r="1124" spans="1:2">
      <c r="A1124" s="77">
        <v>1124</v>
      </c>
      <c r="B1124" s="77" t="s">
        <v>1307</v>
      </c>
    </row>
    <row r="1125" spans="1:2">
      <c r="A1125" s="77">
        <v>1125</v>
      </c>
      <c r="B1125" s="77" t="s">
        <v>1308</v>
      </c>
    </row>
    <row r="1126" spans="1:2">
      <c r="A1126" s="77">
        <v>1126</v>
      </c>
      <c r="B1126" s="77" t="s">
        <v>1309</v>
      </c>
    </row>
    <row r="1127" spans="1:2">
      <c r="A1127" s="77">
        <v>1127</v>
      </c>
      <c r="B1127" s="77" t="s">
        <v>1310</v>
      </c>
    </row>
    <row r="1128" spans="1:2">
      <c r="A1128" s="77">
        <v>1128</v>
      </c>
      <c r="B1128" s="77" t="s">
        <v>1311</v>
      </c>
    </row>
    <row r="1129" spans="1:2">
      <c r="A1129" s="77">
        <v>1129</v>
      </c>
      <c r="B1129" s="77" t="s">
        <v>1312</v>
      </c>
    </row>
    <row r="1130" spans="1:2">
      <c r="A1130" s="77">
        <v>1130</v>
      </c>
      <c r="B1130" s="77" t="s">
        <v>1313</v>
      </c>
    </row>
    <row r="1131" spans="1:2">
      <c r="A1131" s="77">
        <v>1131</v>
      </c>
      <c r="B1131" s="77" t="s">
        <v>1314</v>
      </c>
    </row>
    <row r="1132" spans="1:2">
      <c r="A1132" s="77">
        <v>1132</v>
      </c>
      <c r="B1132" s="77" t="s">
        <v>1315</v>
      </c>
    </row>
    <row r="1133" spans="1:2">
      <c r="A1133" s="77">
        <v>1133</v>
      </c>
      <c r="B1133" s="77" t="s">
        <v>1316</v>
      </c>
    </row>
    <row r="1134" spans="1:2">
      <c r="A1134" s="77">
        <v>1134</v>
      </c>
      <c r="B1134" s="77" t="s">
        <v>1317</v>
      </c>
    </row>
    <row r="1135" spans="1:2">
      <c r="A1135" s="77">
        <v>1135</v>
      </c>
      <c r="B1135" s="77" t="s">
        <v>1318</v>
      </c>
    </row>
    <row r="1136" spans="1:2">
      <c r="A1136" s="77">
        <v>1136</v>
      </c>
      <c r="B1136" s="77" t="s">
        <v>1319</v>
      </c>
    </row>
    <row r="1137" spans="1:2">
      <c r="A1137" s="77">
        <v>1137</v>
      </c>
      <c r="B1137" s="77" t="s">
        <v>1320</v>
      </c>
    </row>
    <row r="1138" spans="1:2">
      <c r="A1138" s="77">
        <v>1138</v>
      </c>
      <c r="B1138" s="77" t="s">
        <v>1321</v>
      </c>
    </row>
    <row r="1139" spans="1:2">
      <c r="A1139" s="77">
        <v>1139</v>
      </c>
      <c r="B1139" s="77" t="s">
        <v>1322</v>
      </c>
    </row>
    <row r="1140" spans="1:2">
      <c r="A1140" s="77">
        <v>1140</v>
      </c>
      <c r="B1140" s="77" t="s">
        <v>1323</v>
      </c>
    </row>
    <row r="1141" spans="1:2">
      <c r="A1141" s="77">
        <v>1141</v>
      </c>
      <c r="B1141" s="77" t="s">
        <v>1324</v>
      </c>
    </row>
    <row r="1142" spans="1:2">
      <c r="A1142" s="77">
        <v>1142</v>
      </c>
      <c r="B1142" s="77" t="s">
        <v>1325</v>
      </c>
    </row>
    <row r="1143" spans="1:2">
      <c r="A1143" s="77">
        <v>1143</v>
      </c>
      <c r="B1143" s="77" t="s">
        <v>1326</v>
      </c>
    </row>
    <row r="1144" spans="1:2">
      <c r="A1144" s="77">
        <v>1144</v>
      </c>
      <c r="B1144" s="77" t="s">
        <v>1327</v>
      </c>
    </row>
    <row r="1145" spans="1:2">
      <c r="A1145" s="77">
        <v>1145</v>
      </c>
      <c r="B1145" s="77" t="s">
        <v>1328</v>
      </c>
    </row>
    <row r="1146" spans="1:2">
      <c r="A1146" s="77">
        <v>1146</v>
      </c>
      <c r="B1146" s="77" t="s">
        <v>1329</v>
      </c>
    </row>
    <row r="1147" spans="1:2">
      <c r="A1147" s="77">
        <v>1147</v>
      </c>
      <c r="B1147" s="77" t="s">
        <v>1330</v>
      </c>
    </row>
    <row r="1148" spans="1:2">
      <c r="A1148" s="77">
        <v>1148</v>
      </c>
      <c r="B1148" s="77" t="s">
        <v>1331</v>
      </c>
    </row>
    <row r="1149" spans="1:2">
      <c r="A1149" s="77">
        <v>1149</v>
      </c>
      <c r="B1149" s="77" t="s">
        <v>1332</v>
      </c>
    </row>
    <row r="1150" spans="1:2">
      <c r="A1150" s="77">
        <v>1150</v>
      </c>
      <c r="B1150" s="77" t="s">
        <v>1333</v>
      </c>
    </row>
    <row r="1151" spans="1:2">
      <c r="A1151" s="77">
        <v>1151</v>
      </c>
      <c r="B1151" s="77" t="s">
        <v>1334</v>
      </c>
    </row>
    <row r="1152" spans="1:2">
      <c r="A1152" s="77">
        <v>1152</v>
      </c>
      <c r="B1152" s="77" t="s">
        <v>1335</v>
      </c>
    </row>
    <row r="1153" spans="1:2">
      <c r="A1153" s="77">
        <v>1153</v>
      </c>
      <c r="B1153" s="77" t="s">
        <v>1336</v>
      </c>
    </row>
    <row r="1154" spans="1:2">
      <c r="A1154" s="77">
        <v>1154</v>
      </c>
      <c r="B1154" s="77" t="s">
        <v>1337</v>
      </c>
    </row>
    <row r="1155" spans="1:2">
      <c r="A1155" s="77">
        <v>1155</v>
      </c>
      <c r="B1155" s="77" t="s">
        <v>1338</v>
      </c>
    </row>
    <row r="1156" spans="1:2">
      <c r="A1156" s="77">
        <v>1156</v>
      </c>
      <c r="B1156" s="77" t="s">
        <v>1339</v>
      </c>
    </row>
    <row r="1157" spans="1:2">
      <c r="A1157" s="77">
        <v>1157</v>
      </c>
      <c r="B1157" s="77" t="s">
        <v>1340</v>
      </c>
    </row>
    <row r="1158" spans="1:2">
      <c r="A1158" s="77">
        <v>1158</v>
      </c>
      <c r="B1158" s="77" t="s">
        <v>1341</v>
      </c>
    </row>
    <row r="1159" spans="1:2">
      <c r="A1159" s="77">
        <v>1159</v>
      </c>
      <c r="B1159" s="77" t="s">
        <v>1342</v>
      </c>
    </row>
    <row r="1160" spans="1:2">
      <c r="A1160" s="77">
        <v>1160</v>
      </c>
      <c r="B1160" s="77" t="s">
        <v>1343</v>
      </c>
    </row>
    <row r="1161" spans="1:2">
      <c r="A1161" s="77">
        <v>1161</v>
      </c>
      <c r="B1161" s="77" t="s">
        <v>1344</v>
      </c>
    </row>
    <row r="1162" spans="1:2">
      <c r="A1162" s="77">
        <v>1162</v>
      </c>
      <c r="B1162" s="77" t="s">
        <v>1345</v>
      </c>
    </row>
    <row r="1163" spans="1:2">
      <c r="A1163" s="77">
        <v>1163</v>
      </c>
      <c r="B1163" s="77" t="s">
        <v>1346</v>
      </c>
    </row>
    <row r="1164" spans="1:2">
      <c r="A1164" s="77">
        <v>1164</v>
      </c>
      <c r="B1164" s="77" t="s">
        <v>1347</v>
      </c>
    </row>
    <row r="1165" spans="1:2">
      <c r="A1165" s="77">
        <v>1165</v>
      </c>
      <c r="B1165" s="77" t="s">
        <v>1348</v>
      </c>
    </row>
    <row r="1166" spans="1:2">
      <c r="A1166" s="77">
        <v>1166</v>
      </c>
      <c r="B1166" s="77" t="s">
        <v>1349</v>
      </c>
    </row>
    <row r="1167" spans="1:2">
      <c r="A1167" s="77">
        <v>1167</v>
      </c>
      <c r="B1167" s="77" t="s">
        <v>1350</v>
      </c>
    </row>
    <row r="1168" spans="1:2">
      <c r="A1168" s="77">
        <v>1168</v>
      </c>
      <c r="B1168" s="77" t="s">
        <v>1351</v>
      </c>
    </row>
    <row r="1169" spans="1:2">
      <c r="A1169" s="77">
        <v>1169</v>
      </c>
      <c r="B1169" s="77" t="s">
        <v>1352</v>
      </c>
    </row>
    <row r="1170" spans="1:2">
      <c r="A1170" s="77">
        <v>1170</v>
      </c>
      <c r="B1170" s="77" t="s">
        <v>1353</v>
      </c>
    </row>
    <row r="1171" spans="1:2">
      <c r="A1171" s="77">
        <v>1171</v>
      </c>
      <c r="B1171" s="77" t="s">
        <v>1354</v>
      </c>
    </row>
    <row r="1172" spans="1:2">
      <c r="A1172" s="77">
        <v>1172</v>
      </c>
      <c r="B1172" s="77" t="s">
        <v>1355</v>
      </c>
    </row>
    <row r="1173" spans="1:2">
      <c r="A1173" s="77">
        <v>1173</v>
      </c>
      <c r="B1173" s="77" t="s">
        <v>1356</v>
      </c>
    </row>
    <row r="1174" spans="1:2">
      <c r="A1174" s="77">
        <v>1174</v>
      </c>
      <c r="B1174" s="77" t="s">
        <v>1357</v>
      </c>
    </row>
    <row r="1175" spans="1:2">
      <c r="A1175" s="77">
        <v>1175</v>
      </c>
      <c r="B1175" s="77" t="s">
        <v>1358</v>
      </c>
    </row>
    <row r="1176" spans="1:2">
      <c r="A1176" s="77">
        <v>1176</v>
      </c>
      <c r="B1176" s="77" t="s">
        <v>1359</v>
      </c>
    </row>
    <row r="1177" spans="1:2">
      <c r="A1177" s="77">
        <v>1177</v>
      </c>
      <c r="B1177" s="77" t="s">
        <v>1360</v>
      </c>
    </row>
    <row r="1178" spans="1:2">
      <c r="A1178" s="77">
        <v>1178</v>
      </c>
      <c r="B1178" s="77" t="s">
        <v>1361</v>
      </c>
    </row>
    <row r="1179" spans="1:2">
      <c r="A1179" s="77">
        <v>1179</v>
      </c>
      <c r="B1179" s="77" t="s">
        <v>1362</v>
      </c>
    </row>
    <row r="1180" spans="1:2">
      <c r="A1180" s="77">
        <v>1180</v>
      </c>
      <c r="B1180" s="77" t="s">
        <v>1363</v>
      </c>
    </row>
    <row r="1181" spans="1:2">
      <c r="A1181" s="77">
        <v>1181</v>
      </c>
      <c r="B1181" s="77" t="s">
        <v>1364</v>
      </c>
    </row>
    <row r="1182" spans="1:2">
      <c r="A1182" s="77">
        <v>1182</v>
      </c>
      <c r="B1182" s="77" t="s">
        <v>1365</v>
      </c>
    </row>
    <row r="1183" spans="1:2">
      <c r="A1183" s="77">
        <v>1183</v>
      </c>
      <c r="B1183" s="77" t="s">
        <v>1366</v>
      </c>
    </row>
    <row r="1184" spans="1:2">
      <c r="A1184" s="77">
        <v>1184</v>
      </c>
      <c r="B1184" s="77" t="s">
        <v>1367</v>
      </c>
    </row>
    <row r="1185" spans="1:2">
      <c r="A1185" s="77">
        <v>1185</v>
      </c>
      <c r="B1185" s="77" t="s">
        <v>1368</v>
      </c>
    </row>
    <row r="1186" spans="1:2">
      <c r="A1186" s="77">
        <v>1186</v>
      </c>
      <c r="B1186" s="77" t="s">
        <v>1369</v>
      </c>
    </row>
    <row r="1187" spans="1:2">
      <c r="A1187" s="77">
        <v>1187</v>
      </c>
      <c r="B1187" s="77" t="s">
        <v>1370</v>
      </c>
    </row>
    <row r="1188" spans="1:2">
      <c r="A1188" s="77">
        <v>1188</v>
      </c>
      <c r="B1188" s="77" t="s">
        <v>1371</v>
      </c>
    </row>
    <row r="1189" spans="1:2">
      <c r="A1189" s="77">
        <v>1189</v>
      </c>
      <c r="B1189" s="77" t="s">
        <v>1372</v>
      </c>
    </row>
    <row r="1190" spans="1:2">
      <c r="A1190" s="77">
        <v>1190</v>
      </c>
      <c r="B1190" s="77" t="s">
        <v>1373</v>
      </c>
    </row>
    <row r="1191" spans="1:2">
      <c r="A1191" s="77">
        <v>1191</v>
      </c>
      <c r="B1191" s="77" t="s">
        <v>1374</v>
      </c>
    </row>
    <row r="1192" spans="1:2">
      <c r="A1192" s="77">
        <v>1192</v>
      </c>
      <c r="B1192" s="77" t="s">
        <v>1375</v>
      </c>
    </row>
    <row r="1193" spans="1:2">
      <c r="A1193" s="77">
        <v>1193</v>
      </c>
      <c r="B1193" s="77" t="s">
        <v>1376</v>
      </c>
    </row>
    <row r="1194" spans="1:2">
      <c r="A1194" s="77">
        <v>1194</v>
      </c>
      <c r="B1194" s="77" t="s">
        <v>1377</v>
      </c>
    </row>
    <row r="1195" spans="1:2">
      <c r="A1195" s="77">
        <v>1195</v>
      </c>
      <c r="B1195" s="77" t="s">
        <v>1378</v>
      </c>
    </row>
    <row r="1196" spans="1:2">
      <c r="A1196" s="77">
        <v>1196</v>
      </c>
      <c r="B1196" s="77" t="s">
        <v>1379</v>
      </c>
    </row>
    <row r="1197" spans="1:2">
      <c r="A1197" s="77">
        <v>1197</v>
      </c>
      <c r="B1197" s="77" t="s">
        <v>1380</v>
      </c>
    </row>
    <row r="1198" spans="1:2">
      <c r="A1198" s="77">
        <v>1198</v>
      </c>
      <c r="B1198" s="77" t="s">
        <v>1381</v>
      </c>
    </row>
    <row r="1199" spans="1:2">
      <c r="A1199" s="77">
        <v>1199</v>
      </c>
      <c r="B1199" s="77" t="s">
        <v>1382</v>
      </c>
    </row>
    <row r="1200" spans="1:2">
      <c r="A1200" s="77">
        <v>1200</v>
      </c>
      <c r="B1200" s="77" t="s">
        <v>1383</v>
      </c>
    </row>
    <row r="1201" spans="1:2">
      <c r="A1201" s="77">
        <v>1201</v>
      </c>
      <c r="B1201" s="77" t="s">
        <v>1384</v>
      </c>
    </row>
    <row r="1202" spans="1:2">
      <c r="A1202" s="77">
        <v>1202</v>
      </c>
      <c r="B1202" s="77" t="s">
        <v>1385</v>
      </c>
    </row>
    <row r="1203" spans="1:2">
      <c r="A1203" s="77">
        <v>1203</v>
      </c>
      <c r="B1203" s="77" t="s">
        <v>1386</v>
      </c>
    </row>
    <row r="1204" spans="1:2">
      <c r="A1204" s="77">
        <v>1204</v>
      </c>
      <c r="B1204" s="77" t="s">
        <v>1387</v>
      </c>
    </row>
    <row r="1205" spans="1:2">
      <c r="A1205" s="77">
        <v>1205</v>
      </c>
      <c r="B1205" s="77" t="s">
        <v>1388</v>
      </c>
    </row>
    <row r="1206" spans="1:2">
      <c r="A1206" s="77">
        <v>1206</v>
      </c>
      <c r="B1206" s="77" t="s">
        <v>1389</v>
      </c>
    </row>
    <row r="1207" spans="1:2">
      <c r="A1207" s="77">
        <v>1207</v>
      </c>
      <c r="B1207" s="77" t="s">
        <v>1390</v>
      </c>
    </row>
    <row r="1208" spans="1:2">
      <c r="A1208" s="77">
        <v>1208</v>
      </c>
      <c r="B1208" s="77" t="s">
        <v>1391</v>
      </c>
    </row>
    <row r="1209" spans="1:2">
      <c r="A1209" s="77">
        <v>1209</v>
      </c>
      <c r="B1209" s="77" t="s">
        <v>1392</v>
      </c>
    </row>
    <row r="1210" spans="1:2">
      <c r="A1210" s="77">
        <v>1210</v>
      </c>
      <c r="B1210" s="77" t="s">
        <v>1393</v>
      </c>
    </row>
    <row r="1211" spans="1:2">
      <c r="A1211" s="77">
        <v>1211</v>
      </c>
      <c r="B1211" s="77" t="s">
        <v>1394</v>
      </c>
    </row>
    <row r="1212" spans="1:2">
      <c r="A1212" s="77">
        <v>1212</v>
      </c>
      <c r="B1212" s="77" t="s">
        <v>1395</v>
      </c>
    </row>
    <row r="1213" spans="1:2">
      <c r="A1213" s="77">
        <v>1213</v>
      </c>
      <c r="B1213" s="77" t="s">
        <v>1396</v>
      </c>
    </row>
    <row r="1214" spans="1:2">
      <c r="A1214" s="77">
        <v>1214</v>
      </c>
      <c r="B1214" s="77" t="s">
        <v>1397</v>
      </c>
    </row>
    <row r="1215" spans="1:2">
      <c r="A1215" s="77">
        <v>1215</v>
      </c>
      <c r="B1215" s="77" t="s">
        <v>1398</v>
      </c>
    </row>
    <row r="1216" spans="1:2">
      <c r="A1216" s="77">
        <v>1216</v>
      </c>
      <c r="B1216" s="77" t="s">
        <v>1399</v>
      </c>
    </row>
    <row r="1217" spans="1:2">
      <c r="A1217" s="77">
        <v>1217</v>
      </c>
      <c r="B1217" s="77" t="s">
        <v>1400</v>
      </c>
    </row>
    <row r="1218" spans="1:2">
      <c r="A1218" s="77">
        <v>1218</v>
      </c>
      <c r="B1218" s="77" t="s">
        <v>1401</v>
      </c>
    </row>
    <row r="1219" spans="1:2">
      <c r="A1219" s="77">
        <v>1219</v>
      </c>
      <c r="B1219" s="77" t="s">
        <v>1402</v>
      </c>
    </row>
    <row r="1220" spans="1:2">
      <c r="A1220" s="77">
        <v>1220</v>
      </c>
      <c r="B1220" s="77" t="s">
        <v>1403</v>
      </c>
    </row>
    <row r="1221" spans="1:2">
      <c r="A1221" s="77">
        <v>1221</v>
      </c>
      <c r="B1221" s="77" t="s">
        <v>1404</v>
      </c>
    </row>
    <row r="1222" spans="1:2">
      <c r="A1222" s="77">
        <v>1222</v>
      </c>
      <c r="B1222" s="77" t="s">
        <v>1405</v>
      </c>
    </row>
    <row r="1223" spans="1:2">
      <c r="A1223" s="77">
        <v>1223</v>
      </c>
      <c r="B1223" s="77" t="s">
        <v>1406</v>
      </c>
    </row>
    <row r="1224" spans="1:2">
      <c r="A1224" s="77">
        <v>1224</v>
      </c>
      <c r="B1224" s="77" t="s">
        <v>1407</v>
      </c>
    </row>
    <row r="1225" spans="1:2">
      <c r="A1225" s="77">
        <v>1225</v>
      </c>
      <c r="B1225" s="77" t="s">
        <v>1408</v>
      </c>
    </row>
    <row r="1226" spans="1:2">
      <c r="A1226" s="77">
        <v>1226</v>
      </c>
      <c r="B1226" s="77" t="s">
        <v>1409</v>
      </c>
    </row>
    <row r="1227" spans="1:2">
      <c r="A1227" s="77">
        <v>1227</v>
      </c>
      <c r="B1227" s="77" t="s">
        <v>1410</v>
      </c>
    </row>
    <row r="1228" spans="1:2">
      <c r="A1228" s="77">
        <v>1228</v>
      </c>
      <c r="B1228" s="77" t="s">
        <v>1411</v>
      </c>
    </row>
    <row r="1229" spans="1:2">
      <c r="A1229" s="77">
        <v>1229</v>
      </c>
      <c r="B1229" s="77" t="s">
        <v>1412</v>
      </c>
    </row>
    <row r="1230" spans="1:2">
      <c r="A1230" s="77">
        <v>1230</v>
      </c>
      <c r="B1230" s="77" t="s">
        <v>1413</v>
      </c>
    </row>
    <row r="1231" spans="1:2">
      <c r="A1231" s="77">
        <v>1231</v>
      </c>
      <c r="B1231" s="77" t="s">
        <v>1414</v>
      </c>
    </row>
    <row r="1232" spans="1:2">
      <c r="A1232" s="77">
        <v>1232</v>
      </c>
      <c r="B1232" s="77" t="s">
        <v>1415</v>
      </c>
    </row>
    <row r="1233" spans="1:2">
      <c r="A1233" s="77">
        <v>1233</v>
      </c>
      <c r="B1233" s="77" t="s">
        <v>1416</v>
      </c>
    </row>
    <row r="1234" spans="1:2">
      <c r="A1234" s="77">
        <v>1234</v>
      </c>
      <c r="B1234" s="77" t="s">
        <v>1417</v>
      </c>
    </row>
    <row r="1235" spans="1:2">
      <c r="A1235" s="77">
        <v>1235</v>
      </c>
      <c r="B1235" s="77" t="s">
        <v>1418</v>
      </c>
    </row>
    <row r="1236" spans="1:2">
      <c r="A1236" s="77">
        <v>1236</v>
      </c>
      <c r="B1236" s="77" t="s">
        <v>1419</v>
      </c>
    </row>
    <row r="1237" spans="1:2">
      <c r="A1237" s="77">
        <v>1237</v>
      </c>
      <c r="B1237" s="77" t="s">
        <v>1420</v>
      </c>
    </row>
    <row r="1238" spans="1:2">
      <c r="A1238" s="77">
        <v>1238</v>
      </c>
      <c r="B1238" s="77" t="s">
        <v>1421</v>
      </c>
    </row>
    <row r="1239" spans="1:2">
      <c r="A1239" s="77">
        <v>1239</v>
      </c>
      <c r="B1239" s="77" t="s">
        <v>1422</v>
      </c>
    </row>
    <row r="1240" spans="1:2">
      <c r="A1240" s="77">
        <v>1240</v>
      </c>
      <c r="B1240" s="77" t="s">
        <v>1423</v>
      </c>
    </row>
    <row r="1241" spans="1:2">
      <c r="A1241" s="77">
        <v>1241</v>
      </c>
      <c r="B1241" s="77" t="s">
        <v>1424</v>
      </c>
    </row>
    <row r="1242" spans="1:2">
      <c r="A1242" s="77">
        <v>1242</v>
      </c>
      <c r="B1242" s="77" t="s">
        <v>1425</v>
      </c>
    </row>
    <row r="1243" spans="1:2">
      <c r="A1243" s="77">
        <v>1243</v>
      </c>
      <c r="B1243" s="77" t="s">
        <v>1426</v>
      </c>
    </row>
    <row r="1244" spans="1:2">
      <c r="A1244" s="77">
        <v>1244</v>
      </c>
      <c r="B1244" s="77" t="s">
        <v>1427</v>
      </c>
    </row>
    <row r="1245" spans="1:2">
      <c r="A1245" s="77">
        <v>1245</v>
      </c>
      <c r="B1245" s="77" t="s">
        <v>1428</v>
      </c>
    </row>
    <row r="1246" spans="1:2">
      <c r="A1246" s="77">
        <v>1246</v>
      </c>
      <c r="B1246" s="77" t="s">
        <v>1429</v>
      </c>
    </row>
    <row r="1247" spans="1:2">
      <c r="A1247" s="77">
        <v>1247</v>
      </c>
      <c r="B1247" s="77" t="s">
        <v>1430</v>
      </c>
    </row>
    <row r="1248" spans="1:2">
      <c r="A1248" s="77">
        <v>1248</v>
      </c>
      <c r="B1248" s="77" t="s">
        <v>1431</v>
      </c>
    </row>
    <row r="1249" spans="1:2">
      <c r="A1249" s="77">
        <v>1249</v>
      </c>
      <c r="B1249" s="77" t="s">
        <v>1432</v>
      </c>
    </row>
    <row r="1250" spans="1:2">
      <c r="A1250" s="77">
        <v>1250</v>
      </c>
      <c r="B1250" s="77" t="s">
        <v>1433</v>
      </c>
    </row>
    <row r="1251" spans="1:2">
      <c r="A1251" s="77">
        <v>1251</v>
      </c>
      <c r="B1251" s="77" t="s">
        <v>1434</v>
      </c>
    </row>
    <row r="1252" spans="1:2">
      <c r="A1252" s="77">
        <v>1252</v>
      </c>
      <c r="B1252" s="77" t="s">
        <v>1435</v>
      </c>
    </row>
    <row r="1253" spans="1:2">
      <c r="A1253" s="77">
        <v>1253</v>
      </c>
      <c r="B1253" s="77" t="s">
        <v>1436</v>
      </c>
    </row>
    <row r="1254" spans="1:2">
      <c r="A1254" s="77">
        <v>1254</v>
      </c>
      <c r="B1254" s="77" t="s">
        <v>1437</v>
      </c>
    </row>
    <row r="1255" spans="1:2">
      <c r="A1255" s="77">
        <v>1255</v>
      </c>
      <c r="B1255" s="77" t="s">
        <v>1438</v>
      </c>
    </row>
    <row r="1256" spans="1:2">
      <c r="A1256" s="77">
        <v>1256</v>
      </c>
      <c r="B1256" s="77" t="s">
        <v>1439</v>
      </c>
    </row>
    <row r="1257" spans="1:2">
      <c r="A1257" s="77">
        <v>1257</v>
      </c>
      <c r="B1257" s="77" t="s">
        <v>1440</v>
      </c>
    </row>
    <row r="1258" spans="1:2">
      <c r="A1258" s="77">
        <v>1258</v>
      </c>
      <c r="B1258" s="77" t="s">
        <v>1441</v>
      </c>
    </row>
    <row r="1259" spans="1:2">
      <c r="A1259" s="77">
        <v>1259</v>
      </c>
      <c r="B1259" s="77" t="s">
        <v>1442</v>
      </c>
    </row>
    <row r="1260" spans="1:2">
      <c r="A1260" s="77">
        <v>1260</v>
      </c>
      <c r="B1260" s="77" t="s">
        <v>1443</v>
      </c>
    </row>
    <row r="1261" spans="1:2">
      <c r="A1261" s="77">
        <v>1261</v>
      </c>
      <c r="B1261" s="77" t="s">
        <v>1444</v>
      </c>
    </row>
    <row r="1262" spans="1:2">
      <c r="A1262" s="77">
        <v>1262</v>
      </c>
      <c r="B1262" s="77" t="s">
        <v>1445</v>
      </c>
    </row>
    <row r="1263" spans="1:2">
      <c r="A1263" s="77">
        <v>1263</v>
      </c>
      <c r="B1263" s="77" t="s">
        <v>1446</v>
      </c>
    </row>
    <row r="1264" spans="1:2">
      <c r="A1264" s="77">
        <v>1264</v>
      </c>
      <c r="B1264" s="77" t="s">
        <v>1447</v>
      </c>
    </row>
    <row r="1265" spans="1:2">
      <c r="A1265" s="77">
        <v>1265</v>
      </c>
      <c r="B1265" s="77" t="s">
        <v>1448</v>
      </c>
    </row>
    <row r="1266" spans="1:2">
      <c r="A1266" s="77">
        <v>1266</v>
      </c>
      <c r="B1266" s="77" t="s">
        <v>1449</v>
      </c>
    </row>
    <row r="1267" spans="1:2">
      <c r="A1267" s="77">
        <v>1267</v>
      </c>
      <c r="B1267" s="77" t="s">
        <v>1450</v>
      </c>
    </row>
    <row r="1268" spans="1:2">
      <c r="A1268" s="77">
        <v>1268</v>
      </c>
      <c r="B1268" s="77" t="s">
        <v>1451</v>
      </c>
    </row>
    <row r="1269" spans="1:2">
      <c r="A1269" s="77">
        <v>1269</v>
      </c>
      <c r="B1269" s="77" t="s">
        <v>1452</v>
      </c>
    </row>
    <row r="1270" spans="1:2">
      <c r="A1270" s="77">
        <v>1270</v>
      </c>
      <c r="B1270" s="77" t="s">
        <v>1453</v>
      </c>
    </row>
    <row r="1271" spans="1:2">
      <c r="A1271" s="77">
        <v>1271</v>
      </c>
      <c r="B1271" s="77" t="s">
        <v>1454</v>
      </c>
    </row>
    <row r="1272" spans="1:2">
      <c r="A1272" s="77">
        <v>1272</v>
      </c>
      <c r="B1272" s="77" t="s">
        <v>1455</v>
      </c>
    </row>
    <row r="1273" spans="1:2">
      <c r="A1273" s="77">
        <v>1273</v>
      </c>
      <c r="B1273" s="77" t="s">
        <v>1456</v>
      </c>
    </row>
    <row r="1274" spans="1:2">
      <c r="A1274" s="77">
        <v>1274</v>
      </c>
      <c r="B1274" s="77" t="s">
        <v>1457</v>
      </c>
    </row>
    <row r="1275" spans="1:2">
      <c r="A1275" s="77">
        <v>1275</v>
      </c>
      <c r="B1275" s="77" t="s">
        <v>1458</v>
      </c>
    </row>
    <row r="1276" spans="1:2">
      <c r="A1276" s="77">
        <v>1276</v>
      </c>
      <c r="B1276" s="77" t="s">
        <v>1459</v>
      </c>
    </row>
    <row r="1277" spans="1:2">
      <c r="A1277" s="77">
        <v>1277</v>
      </c>
      <c r="B1277" s="77" t="s">
        <v>1460</v>
      </c>
    </row>
    <row r="1278" spans="1:2">
      <c r="A1278" s="77">
        <v>1278</v>
      </c>
      <c r="B1278" s="77" t="s">
        <v>1461</v>
      </c>
    </row>
    <row r="1279" spans="1:2">
      <c r="A1279" s="77">
        <v>1279</v>
      </c>
      <c r="B1279" s="77" t="s">
        <v>1462</v>
      </c>
    </row>
    <row r="1280" spans="1:2">
      <c r="A1280" s="77">
        <v>1280</v>
      </c>
      <c r="B1280" s="77" t="s">
        <v>1463</v>
      </c>
    </row>
    <row r="1281" spans="1:2">
      <c r="A1281" s="77">
        <v>1281</v>
      </c>
      <c r="B1281" s="77" t="s">
        <v>1464</v>
      </c>
    </row>
    <row r="1282" spans="1:2">
      <c r="A1282" s="77">
        <v>1282</v>
      </c>
      <c r="B1282" s="77" t="s">
        <v>1465</v>
      </c>
    </row>
    <row r="1283" spans="1:2">
      <c r="A1283" s="77">
        <v>1283</v>
      </c>
      <c r="B1283" s="77" t="s">
        <v>1466</v>
      </c>
    </row>
    <row r="1284" spans="1:2">
      <c r="A1284" s="77">
        <v>1284</v>
      </c>
      <c r="B1284" s="77" t="s">
        <v>1467</v>
      </c>
    </row>
    <row r="1285" spans="1:2">
      <c r="A1285" s="77">
        <v>1285</v>
      </c>
      <c r="B1285" s="77" t="s">
        <v>1468</v>
      </c>
    </row>
    <row r="1286" spans="1:2">
      <c r="A1286" s="77">
        <v>1286</v>
      </c>
      <c r="B1286" s="77" t="s">
        <v>1469</v>
      </c>
    </row>
    <row r="1287" spans="1:2">
      <c r="A1287" s="77">
        <v>1287</v>
      </c>
      <c r="B1287" s="77" t="s">
        <v>1470</v>
      </c>
    </row>
    <row r="1288" spans="1:2">
      <c r="A1288" s="77">
        <v>1288</v>
      </c>
      <c r="B1288" s="77" t="s">
        <v>1471</v>
      </c>
    </row>
    <row r="1289" spans="1:2">
      <c r="A1289" s="77">
        <v>1289</v>
      </c>
      <c r="B1289" s="77" t="s">
        <v>1472</v>
      </c>
    </row>
    <row r="1290" spans="1:2">
      <c r="A1290" s="77">
        <v>1290</v>
      </c>
      <c r="B1290" s="77" t="s">
        <v>1473</v>
      </c>
    </row>
    <row r="1291" spans="1:2">
      <c r="A1291" s="77">
        <v>1291</v>
      </c>
      <c r="B1291" s="77" t="s">
        <v>1474</v>
      </c>
    </row>
    <row r="1292" spans="1:2">
      <c r="A1292" s="77">
        <v>1292</v>
      </c>
      <c r="B1292" s="77" t="s">
        <v>1475</v>
      </c>
    </row>
    <row r="1293" spans="1:2">
      <c r="A1293" s="77">
        <v>1293</v>
      </c>
      <c r="B1293" s="77" t="s">
        <v>1476</v>
      </c>
    </row>
    <row r="1294" spans="1:2">
      <c r="A1294" s="77">
        <v>1294</v>
      </c>
      <c r="B1294" s="77" t="s">
        <v>1477</v>
      </c>
    </row>
    <row r="1295" spans="1:2">
      <c r="A1295" s="77">
        <v>1295</v>
      </c>
      <c r="B1295" s="77" t="s">
        <v>1478</v>
      </c>
    </row>
    <row r="1296" spans="1:2">
      <c r="A1296" s="77">
        <v>1296</v>
      </c>
      <c r="B1296" s="77" t="s">
        <v>1479</v>
      </c>
    </row>
    <row r="1297" spans="1:2">
      <c r="A1297" s="77">
        <v>1297</v>
      </c>
      <c r="B1297" s="77" t="s">
        <v>1480</v>
      </c>
    </row>
    <row r="1298" spans="1:2">
      <c r="A1298" s="77">
        <v>1298</v>
      </c>
      <c r="B1298" s="77" t="s">
        <v>1481</v>
      </c>
    </row>
    <row r="1299" spans="1:2">
      <c r="A1299" s="77">
        <v>1299</v>
      </c>
      <c r="B1299" s="77" t="s">
        <v>1482</v>
      </c>
    </row>
    <row r="1300" spans="1:2">
      <c r="A1300" s="77">
        <v>1300</v>
      </c>
      <c r="B1300" s="77" t="s">
        <v>1483</v>
      </c>
    </row>
    <row r="1301" spans="1:2">
      <c r="A1301" s="77">
        <v>1301</v>
      </c>
      <c r="B1301" s="77" t="s">
        <v>1484</v>
      </c>
    </row>
    <row r="1302" spans="1:2">
      <c r="A1302" s="77">
        <v>1302</v>
      </c>
      <c r="B1302" s="77" t="s">
        <v>1485</v>
      </c>
    </row>
    <row r="1303" spans="1:2">
      <c r="A1303" s="77">
        <v>1303</v>
      </c>
      <c r="B1303" s="77" t="s">
        <v>1486</v>
      </c>
    </row>
    <row r="1304" spans="1:2">
      <c r="A1304" s="77">
        <v>1304</v>
      </c>
      <c r="B1304" s="77" t="s">
        <v>1487</v>
      </c>
    </row>
    <row r="1305" spans="1:2">
      <c r="A1305" s="77">
        <v>1305</v>
      </c>
      <c r="B1305" s="77" t="s">
        <v>1488</v>
      </c>
    </row>
    <row r="1306" spans="1:2">
      <c r="A1306" s="77">
        <v>1306</v>
      </c>
      <c r="B1306" s="77" t="s">
        <v>1489</v>
      </c>
    </row>
    <row r="1307" spans="1:2">
      <c r="A1307" s="77">
        <v>1307</v>
      </c>
      <c r="B1307" s="77" t="s">
        <v>1490</v>
      </c>
    </row>
    <row r="1308" spans="1:2">
      <c r="A1308" s="77">
        <v>1308</v>
      </c>
      <c r="B1308" s="77" t="s">
        <v>1491</v>
      </c>
    </row>
    <row r="1309" spans="1:2">
      <c r="A1309" s="77">
        <v>1309</v>
      </c>
      <c r="B1309" s="77" t="s">
        <v>1492</v>
      </c>
    </row>
    <row r="1310" spans="1:2">
      <c r="A1310" s="77">
        <v>1310</v>
      </c>
      <c r="B1310" s="77" t="s">
        <v>1493</v>
      </c>
    </row>
    <row r="1311" spans="1:2">
      <c r="A1311" s="77">
        <v>1311</v>
      </c>
      <c r="B1311" s="77" t="s">
        <v>1494</v>
      </c>
    </row>
    <row r="1312" spans="1:2">
      <c r="A1312" s="77">
        <v>1312</v>
      </c>
      <c r="B1312" s="77" t="s">
        <v>1495</v>
      </c>
    </row>
    <row r="1313" spans="1:2">
      <c r="A1313" s="77">
        <v>1313</v>
      </c>
      <c r="B1313" s="77" t="s">
        <v>1496</v>
      </c>
    </row>
    <row r="1314" spans="1:2">
      <c r="A1314" s="77">
        <v>1314</v>
      </c>
      <c r="B1314" s="77" t="s">
        <v>1497</v>
      </c>
    </row>
    <row r="1315" spans="1:2">
      <c r="A1315" s="77">
        <v>1315</v>
      </c>
      <c r="B1315" s="77" t="s">
        <v>1498</v>
      </c>
    </row>
    <row r="1316" spans="1:2">
      <c r="A1316" s="77">
        <v>1316</v>
      </c>
      <c r="B1316" s="77" t="s">
        <v>1499</v>
      </c>
    </row>
    <row r="1317" spans="1:2">
      <c r="A1317" s="77">
        <v>1317</v>
      </c>
      <c r="B1317" s="77" t="s">
        <v>1500</v>
      </c>
    </row>
    <row r="1318" spans="1:2">
      <c r="A1318" s="77">
        <v>1318</v>
      </c>
      <c r="B1318" s="77" t="s">
        <v>1501</v>
      </c>
    </row>
    <row r="1319" spans="1:2">
      <c r="A1319" s="77">
        <v>1319</v>
      </c>
      <c r="B1319" s="77" t="s">
        <v>1502</v>
      </c>
    </row>
    <row r="1320" spans="1:2">
      <c r="A1320" s="77">
        <v>1320</v>
      </c>
      <c r="B1320" s="77" t="s">
        <v>1503</v>
      </c>
    </row>
    <row r="1321" spans="1:2">
      <c r="A1321" s="77">
        <v>1321</v>
      </c>
      <c r="B1321" s="77" t="s">
        <v>1504</v>
      </c>
    </row>
    <row r="1322" spans="1:2">
      <c r="A1322" s="77">
        <v>1322</v>
      </c>
      <c r="B1322" s="77" t="s">
        <v>1505</v>
      </c>
    </row>
    <row r="1323" spans="1:2">
      <c r="A1323" s="77">
        <v>1323</v>
      </c>
      <c r="B1323" s="77" t="s">
        <v>1506</v>
      </c>
    </row>
    <row r="1324" spans="1:2">
      <c r="A1324" s="77">
        <v>1324</v>
      </c>
      <c r="B1324" s="77" t="s">
        <v>1507</v>
      </c>
    </row>
    <row r="1325" spans="1:2">
      <c r="A1325" s="77">
        <v>1325</v>
      </c>
      <c r="B1325" s="77" t="s">
        <v>1508</v>
      </c>
    </row>
    <row r="1326" spans="1:2">
      <c r="A1326" s="77">
        <v>1326</v>
      </c>
      <c r="B1326" s="77" t="s">
        <v>1509</v>
      </c>
    </row>
    <row r="1327" spans="1:2">
      <c r="A1327" s="77">
        <v>1327</v>
      </c>
      <c r="B1327" s="77" t="s">
        <v>1510</v>
      </c>
    </row>
    <row r="1328" spans="1:2">
      <c r="A1328" s="77">
        <v>1328</v>
      </c>
      <c r="B1328" s="77" t="s">
        <v>1511</v>
      </c>
    </row>
    <row r="1329" spans="1:2">
      <c r="A1329" s="77">
        <v>1329</v>
      </c>
      <c r="B1329" s="77" t="s">
        <v>1512</v>
      </c>
    </row>
    <row r="1330" spans="1:2">
      <c r="A1330" s="77">
        <v>1330</v>
      </c>
      <c r="B1330" s="77" t="s">
        <v>1513</v>
      </c>
    </row>
    <row r="1331" spans="1:2">
      <c r="A1331" s="77">
        <v>1331</v>
      </c>
      <c r="B1331" s="77" t="s">
        <v>1514</v>
      </c>
    </row>
    <row r="1332" spans="1:2">
      <c r="A1332" s="77">
        <v>1332</v>
      </c>
      <c r="B1332" s="77" t="s">
        <v>1515</v>
      </c>
    </row>
    <row r="1333" spans="1:2">
      <c r="A1333" s="77">
        <v>1333</v>
      </c>
      <c r="B1333" s="77" t="s">
        <v>1516</v>
      </c>
    </row>
    <row r="1334" spans="1:2">
      <c r="A1334" s="77">
        <v>1334</v>
      </c>
      <c r="B1334" s="77" t="s">
        <v>1517</v>
      </c>
    </row>
    <row r="1335" spans="1:2">
      <c r="A1335" s="77">
        <v>1335</v>
      </c>
      <c r="B1335" s="77" t="s">
        <v>1518</v>
      </c>
    </row>
    <row r="1336" spans="1:2">
      <c r="A1336" s="77">
        <v>1336</v>
      </c>
      <c r="B1336" s="77" t="s">
        <v>1519</v>
      </c>
    </row>
    <row r="1337" spans="1:2">
      <c r="A1337" s="77">
        <v>1337</v>
      </c>
      <c r="B1337" s="77" t="s">
        <v>1520</v>
      </c>
    </row>
    <row r="1338" spans="1:2">
      <c r="A1338" s="77">
        <v>1338</v>
      </c>
      <c r="B1338" s="77" t="s">
        <v>1521</v>
      </c>
    </row>
    <row r="1339" spans="1:2">
      <c r="A1339" s="77">
        <v>1339</v>
      </c>
      <c r="B1339" s="77" t="s">
        <v>1522</v>
      </c>
    </row>
    <row r="1340" spans="1:2">
      <c r="A1340" s="77">
        <v>1340</v>
      </c>
      <c r="B1340" s="77" t="s">
        <v>1523</v>
      </c>
    </row>
    <row r="1341" spans="1:2">
      <c r="A1341" s="77">
        <v>1341</v>
      </c>
      <c r="B1341" s="77" t="s">
        <v>1524</v>
      </c>
    </row>
    <row r="1342" spans="1:2">
      <c r="A1342" s="77">
        <v>1342</v>
      </c>
      <c r="B1342" s="77" t="s">
        <v>1525</v>
      </c>
    </row>
    <row r="1343" spans="1:2">
      <c r="A1343" s="77">
        <v>1343</v>
      </c>
      <c r="B1343" s="77" t="s">
        <v>1526</v>
      </c>
    </row>
    <row r="1344" spans="1:2">
      <c r="A1344" s="77">
        <v>1344</v>
      </c>
      <c r="B1344" s="77" t="s">
        <v>1527</v>
      </c>
    </row>
    <row r="1345" spans="1:2">
      <c r="A1345" s="77">
        <v>1345</v>
      </c>
      <c r="B1345" s="77" t="s">
        <v>1528</v>
      </c>
    </row>
    <row r="1346" spans="1:2">
      <c r="A1346" s="77">
        <v>1346</v>
      </c>
      <c r="B1346" s="77" t="s">
        <v>1529</v>
      </c>
    </row>
    <row r="1347" spans="1:2">
      <c r="A1347" s="77">
        <v>1347</v>
      </c>
      <c r="B1347" s="77" t="s">
        <v>1530</v>
      </c>
    </row>
    <row r="1348" spans="1:2">
      <c r="A1348" s="77">
        <v>1348</v>
      </c>
      <c r="B1348" s="77" t="s">
        <v>1531</v>
      </c>
    </row>
    <row r="1349" spans="1:2">
      <c r="A1349" s="77">
        <v>1349</v>
      </c>
      <c r="B1349" s="77" t="s">
        <v>1532</v>
      </c>
    </row>
    <row r="1350" spans="1:2">
      <c r="A1350" s="77">
        <v>1350</v>
      </c>
      <c r="B1350" s="77" t="s">
        <v>1533</v>
      </c>
    </row>
    <row r="1351" spans="1:2">
      <c r="A1351" s="77">
        <v>1351</v>
      </c>
      <c r="B1351" s="77" t="s">
        <v>1534</v>
      </c>
    </row>
    <row r="1352" spans="1:2">
      <c r="A1352" s="77">
        <v>1352</v>
      </c>
      <c r="B1352" s="77" t="s">
        <v>1535</v>
      </c>
    </row>
    <row r="1353" spans="1:2">
      <c r="A1353" s="77">
        <v>1353</v>
      </c>
      <c r="B1353" s="77" t="s">
        <v>1536</v>
      </c>
    </row>
    <row r="1354" spans="1:2">
      <c r="A1354" s="77">
        <v>1354</v>
      </c>
      <c r="B1354" s="77" t="s">
        <v>1537</v>
      </c>
    </row>
    <row r="1355" spans="1:2">
      <c r="A1355" s="77">
        <v>1355</v>
      </c>
      <c r="B1355" s="77" t="s">
        <v>1538</v>
      </c>
    </row>
    <row r="1356" spans="1:2">
      <c r="A1356" s="77">
        <v>1356</v>
      </c>
      <c r="B1356" s="77" t="s">
        <v>1539</v>
      </c>
    </row>
    <row r="1357" spans="1:2">
      <c r="A1357" s="77">
        <v>1357</v>
      </c>
      <c r="B1357" s="77" t="s">
        <v>1540</v>
      </c>
    </row>
    <row r="1358" spans="1:2">
      <c r="A1358" s="77">
        <v>1358</v>
      </c>
      <c r="B1358" s="77" t="s">
        <v>1541</v>
      </c>
    </row>
    <row r="1359" spans="1:2">
      <c r="A1359" s="77">
        <v>1359</v>
      </c>
      <c r="B1359" s="77" t="s">
        <v>1542</v>
      </c>
    </row>
    <row r="1360" spans="1:2">
      <c r="A1360" s="77">
        <v>1360</v>
      </c>
      <c r="B1360" s="77" t="s">
        <v>1543</v>
      </c>
    </row>
    <row r="1361" spans="1:2">
      <c r="A1361" s="77">
        <v>1361</v>
      </c>
      <c r="B1361" s="77" t="s">
        <v>1544</v>
      </c>
    </row>
    <row r="1362" spans="1:2">
      <c r="A1362" s="77">
        <v>1362</v>
      </c>
      <c r="B1362" s="77" t="s">
        <v>1545</v>
      </c>
    </row>
    <row r="1363" spans="1:2">
      <c r="A1363" s="77">
        <v>1363</v>
      </c>
      <c r="B1363" s="77" t="s">
        <v>1546</v>
      </c>
    </row>
    <row r="1364" spans="1:2">
      <c r="A1364" s="77">
        <v>1364</v>
      </c>
      <c r="B1364" s="77" t="s">
        <v>1547</v>
      </c>
    </row>
    <row r="1365" spans="1:2">
      <c r="A1365" s="77">
        <v>1365</v>
      </c>
      <c r="B1365" s="77" t="s">
        <v>1548</v>
      </c>
    </row>
    <row r="1366" spans="1:2">
      <c r="A1366" s="77">
        <v>1366</v>
      </c>
      <c r="B1366" s="77" t="s">
        <v>1549</v>
      </c>
    </row>
    <row r="1367" spans="1:2">
      <c r="A1367" s="77">
        <v>1367</v>
      </c>
      <c r="B1367" s="77" t="s">
        <v>1550</v>
      </c>
    </row>
    <row r="1368" spans="1:2">
      <c r="A1368" s="77">
        <v>1368</v>
      </c>
      <c r="B1368" s="77" t="s">
        <v>1551</v>
      </c>
    </row>
    <row r="1369" spans="1:2">
      <c r="A1369" s="77">
        <v>1369</v>
      </c>
      <c r="B1369" s="77" t="s">
        <v>1552</v>
      </c>
    </row>
    <row r="1370" spans="1:2">
      <c r="A1370" s="77">
        <v>1370</v>
      </c>
      <c r="B1370" s="77" t="s">
        <v>1553</v>
      </c>
    </row>
    <row r="1371" spans="1:2">
      <c r="A1371" s="77">
        <v>1371</v>
      </c>
      <c r="B1371" s="77" t="s">
        <v>1554</v>
      </c>
    </row>
    <row r="1372" spans="1:2">
      <c r="A1372" s="77">
        <v>1372</v>
      </c>
      <c r="B1372" s="77" t="s">
        <v>1555</v>
      </c>
    </row>
    <row r="1373" spans="1:2">
      <c r="A1373" s="77">
        <v>1373</v>
      </c>
      <c r="B1373" s="77" t="s">
        <v>1556</v>
      </c>
    </row>
    <row r="1374" spans="1:2">
      <c r="A1374" s="77">
        <v>1374</v>
      </c>
      <c r="B1374" s="77" t="s">
        <v>1557</v>
      </c>
    </row>
    <row r="1375" spans="1:2">
      <c r="A1375" s="77">
        <v>1375</v>
      </c>
      <c r="B1375" s="77" t="s">
        <v>1558</v>
      </c>
    </row>
    <row r="1376" spans="1:2">
      <c r="A1376" s="77">
        <v>1376</v>
      </c>
      <c r="B1376" s="77" t="s">
        <v>1559</v>
      </c>
    </row>
    <row r="1377" spans="1:2">
      <c r="A1377" s="77">
        <v>1377</v>
      </c>
      <c r="B1377" s="77" t="s">
        <v>1560</v>
      </c>
    </row>
    <row r="1378" spans="1:2">
      <c r="A1378" s="77">
        <v>1378</v>
      </c>
      <c r="B1378" s="77" t="s">
        <v>1561</v>
      </c>
    </row>
    <row r="1379" spans="1:2">
      <c r="A1379" s="77">
        <v>1379</v>
      </c>
      <c r="B1379" s="77" t="s">
        <v>1562</v>
      </c>
    </row>
    <row r="1380" spans="1:2">
      <c r="A1380" s="77">
        <v>1380</v>
      </c>
      <c r="B1380" s="77" t="s">
        <v>1563</v>
      </c>
    </row>
    <row r="1381" spans="1:2">
      <c r="A1381" s="77">
        <v>1381</v>
      </c>
      <c r="B1381" s="77" t="s">
        <v>1564</v>
      </c>
    </row>
    <row r="1382" spans="1:2">
      <c r="A1382" s="77">
        <v>1382</v>
      </c>
      <c r="B1382" s="77" t="s">
        <v>1565</v>
      </c>
    </row>
    <row r="1383" spans="1:2">
      <c r="A1383" s="77">
        <v>1383</v>
      </c>
      <c r="B1383" s="77" t="s">
        <v>1566</v>
      </c>
    </row>
    <row r="1384" spans="1:2">
      <c r="A1384" s="77">
        <v>1384</v>
      </c>
      <c r="B1384" s="77" t="s">
        <v>1567</v>
      </c>
    </row>
    <row r="1385" spans="1:2">
      <c r="A1385" s="77">
        <v>1385</v>
      </c>
      <c r="B1385" s="77" t="s">
        <v>1568</v>
      </c>
    </row>
    <row r="1386" spans="1:2">
      <c r="A1386" s="77">
        <v>1386</v>
      </c>
      <c r="B1386" s="77" t="s">
        <v>1569</v>
      </c>
    </row>
    <row r="1387" spans="1:2">
      <c r="A1387" s="77">
        <v>1387</v>
      </c>
      <c r="B1387" s="77" t="s">
        <v>1570</v>
      </c>
    </row>
    <row r="1388" spans="1:2">
      <c r="A1388" s="77">
        <v>1388</v>
      </c>
      <c r="B1388" s="77" t="s">
        <v>1571</v>
      </c>
    </row>
    <row r="1389" spans="1:2">
      <c r="A1389" s="77">
        <v>1389</v>
      </c>
      <c r="B1389" s="77" t="s">
        <v>1572</v>
      </c>
    </row>
    <row r="1390" spans="1:2">
      <c r="A1390" s="77">
        <v>1390</v>
      </c>
      <c r="B1390" s="77" t="s">
        <v>1573</v>
      </c>
    </row>
    <row r="1391" spans="1:2">
      <c r="A1391" s="77">
        <v>1391</v>
      </c>
      <c r="B1391" s="77" t="s">
        <v>1574</v>
      </c>
    </row>
    <row r="1392" spans="1:2">
      <c r="A1392" s="77">
        <v>1392</v>
      </c>
      <c r="B1392" s="77" t="s">
        <v>1575</v>
      </c>
    </row>
    <row r="1393" spans="1:2">
      <c r="A1393" s="77">
        <v>1393</v>
      </c>
      <c r="B1393" s="77" t="s">
        <v>1576</v>
      </c>
    </row>
    <row r="1394" spans="1:2">
      <c r="A1394" s="77">
        <v>1394</v>
      </c>
      <c r="B1394" s="77" t="s">
        <v>1577</v>
      </c>
    </row>
    <row r="1395" spans="1:2">
      <c r="A1395" s="77">
        <v>1395</v>
      </c>
      <c r="B1395" s="77" t="s">
        <v>1578</v>
      </c>
    </row>
    <row r="1396" spans="1:2">
      <c r="A1396" s="77">
        <v>1396</v>
      </c>
      <c r="B1396" s="77" t="s">
        <v>1579</v>
      </c>
    </row>
    <row r="1397" spans="1:2">
      <c r="A1397" s="77">
        <v>1397</v>
      </c>
      <c r="B1397" s="77" t="s">
        <v>1580</v>
      </c>
    </row>
    <row r="1398" spans="1:2">
      <c r="A1398" s="77">
        <v>1398</v>
      </c>
      <c r="B1398" s="77" t="s">
        <v>1581</v>
      </c>
    </row>
    <row r="1399" spans="1:2">
      <c r="A1399" s="77">
        <v>1399</v>
      </c>
      <c r="B1399" s="77" t="s">
        <v>1582</v>
      </c>
    </row>
    <row r="1400" spans="1:2">
      <c r="A1400" s="77">
        <v>1400</v>
      </c>
      <c r="B1400" s="77" t="s">
        <v>1583</v>
      </c>
    </row>
    <row r="1401" spans="1:2">
      <c r="A1401" s="77">
        <v>1401</v>
      </c>
      <c r="B1401" s="77" t="s">
        <v>1584</v>
      </c>
    </row>
    <row r="1402" spans="1:2">
      <c r="A1402" s="77">
        <v>1402</v>
      </c>
      <c r="B1402" s="77" t="s">
        <v>1585</v>
      </c>
    </row>
    <row r="1403" spans="1:2">
      <c r="A1403" s="77">
        <v>1403</v>
      </c>
      <c r="B1403" s="77" t="s">
        <v>1586</v>
      </c>
    </row>
    <row r="1404" spans="1:2">
      <c r="A1404" s="77">
        <v>1404</v>
      </c>
      <c r="B1404" s="77" t="s">
        <v>1587</v>
      </c>
    </row>
    <row r="1405" spans="1:2">
      <c r="A1405" s="77">
        <v>1405</v>
      </c>
      <c r="B1405" s="77" t="s">
        <v>1588</v>
      </c>
    </row>
    <row r="1406" spans="1:2">
      <c r="A1406" s="77">
        <v>1406</v>
      </c>
      <c r="B1406" s="77" t="s">
        <v>1589</v>
      </c>
    </row>
    <row r="1407" spans="1:2">
      <c r="A1407" s="77">
        <v>1407</v>
      </c>
      <c r="B1407" s="77" t="s">
        <v>1590</v>
      </c>
    </row>
    <row r="1408" spans="1:2">
      <c r="A1408" s="77">
        <v>1408</v>
      </c>
      <c r="B1408" s="77" t="s">
        <v>1591</v>
      </c>
    </row>
    <row r="1409" spans="1:2">
      <c r="A1409" s="77">
        <v>1409</v>
      </c>
      <c r="B1409" s="77" t="s">
        <v>1592</v>
      </c>
    </row>
    <row r="1410" spans="1:2">
      <c r="A1410" s="77">
        <v>1410</v>
      </c>
      <c r="B1410" s="77" t="s">
        <v>1593</v>
      </c>
    </row>
    <row r="1411" spans="1:2">
      <c r="A1411" s="77">
        <v>1411</v>
      </c>
      <c r="B1411" s="77" t="s">
        <v>1594</v>
      </c>
    </row>
    <row r="1412" spans="1:2">
      <c r="A1412" s="77">
        <v>1412</v>
      </c>
      <c r="B1412" s="77" t="s">
        <v>1595</v>
      </c>
    </row>
    <row r="1413" spans="1:2">
      <c r="A1413" s="77">
        <v>1413</v>
      </c>
      <c r="B1413" s="77" t="s">
        <v>1596</v>
      </c>
    </row>
    <row r="1414" spans="1:2">
      <c r="A1414" s="77">
        <v>1414</v>
      </c>
      <c r="B1414" s="77" t="s">
        <v>1597</v>
      </c>
    </row>
    <row r="1415" spans="1:2">
      <c r="A1415" s="77">
        <v>1415</v>
      </c>
      <c r="B1415" s="77" t="s">
        <v>1598</v>
      </c>
    </row>
    <row r="1416" spans="1:2">
      <c r="A1416" s="77">
        <v>1416</v>
      </c>
      <c r="B1416" s="77" t="s">
        <v>1599</v>
      </c>
    </row>
    <row r="1417" spans="1:2">
      <c r="A1417" s="77">
        <v>1417</v>
      </c>
      <c r="B1417" s="77" t="s">
        <v>1600</v>
      </c>
    </row>
    <row r="1418" spans="1:2">
      <c r="A1418" s="77">
        <v>1418</v>
      </c>
      <c r="B1418" s="77" t="s">
        <v>1601</v>
      </c>
    </row>
    <row r="1419" spans="1:2">
      <c r="A1419" s="77">
        <v>1419</v>
      </c>
      <c r="B1419" s="77" t="s">
        <v>1602</v>
      </c>
    </row>
    <row r="1420" spans="1:2">
      <c r="A1420" s="77">
        <v>1420</v>
      </c>
      <c r="B1420" s="77" t="s">
        <v>1603</v>
      </c>
    </row>
    <row r="1421" spans="1:2">
      <c r="A1421" s="77">
        <v>1421</v>
      </c>
      <c r="B1421" s="77" t="s">
        <v>1604</v>
      </c>
    </row>
    <row r="1422" spans="1:2">
      <c r="A1422" s="77">
        <v>1422</v>
      </c>
      <c r="B1422" s="77" t="s">
        <v>1605</v>
      </c>
    </row>
    <row r="1423" spans="1:2">
      <c r="A1423" s="77">
        <v>1423</v>
      </c>
      <c r="B1423" s="77" t="s">
        <v>1606</v>
      </c>
    </row>
    <row r="1424" spans="1:2">
      <c r="A1424" s="77">
        <v>1424</v>
      </c>
      <c r="B1424" s="77" t="s">
        <v>1607</v>
      </c>
    </row>
    <row r="1425" spans="1:2">
      <c r="A1425" s="77">
        <v>1425</v>
      </c>
      <c r="B1425" s="77" t="s">
        <v>1608</v>
      </c>
    </row>
    <row r="1426" spans="1:2">
      <c r="A1426" s="77">
        <v>1426</v>
      </c>
      <c r="B1426" s="77" t="s">
        <v>1609</v>
      </c>
    </row>
    <row r="1427" spans="1:2">
      <c r="A1427" s="77">
        <v>1427</v>
      </c>
      <c r="B1427" s="77" t="s">
        <v>1610</v>
      </c>
    </row>
    <row r="1428" spans="1:2">
      <c r="A1428" s="77">
        <v>1428</v>
      </c>
      <c r="B1428" s="77" t="s">
        <v>1611</v>
      </c>
    </row>
    <row r="1429" spans="1:2">
      <c r="A1429" s="77">
        <v>1429</v>
      </c>
      <c r="B1429" s="77" t="s">
        <v>1612</v>
      </c>
    </row>
    <row r="1430" spans="1:2">
      <c r="A1430" s="77">
        <v>1430</v>
      </c>
      <c r="B1430" s="77" t="s">
        <v>1613</v>
      </c>
    </row>
    <row r="1431" spans="1:2">
      <c r="A1431" s="77">
        <v>1431</v>
      </c>
      <c r="B1431" s="77" t="s">
        <v>1614</v>
      </c>
    </row>
    <row r="1432" spans="1:2">
      <c r="A1432" s="77">
        <v>1432</v>
      </c>
      <c r="B1432" s="77" t="s">
        <v>1615</v>
      </c>
    </row>
    <row r="1433" spans="1:2">
      <c r="A1433" s="77">
        <v>1433</v>
      </c>
      <c r="B1433" s="77" t="s">
        <v>1616</v>
      </c>
    </row>
    <row r="1434" spans="1:2">
      <c r="A1434" s="77">
        <v>1434</v>
      </c>
      <c r="B1434" s="77" t="s">
        <v>1617</v>
      </c>
    </row>
    <row r="1435" spans="1:2">
      <c r="A1435" s="77">
        <v>1435</v>
      </c>
      <c r="B1435" s="77" t="s">
        <v>1618</v>
      </c>
    </row>
    <row r="1436" spans="1:2">
      <c r="A1436" s="77">
        <v>1436</v>
      </c>
      <c r="B1436" s="77" t="s">
        <v>1619</v>
      </c>
    </row>
    <row r="1437" spans="1:2">
      <c r="A1437" s="77">
        <v>1437</v>
      </c>
      <c r="B1437" s="77" t="s">
        <v>1620</v>
      </c>
    </row>
    <row r="1438" spans="1:2">
      <c r="A1438" s="77">
        <v>1438</v>
      </c>
      <c r="B1438" s="77" t="s">
        <v>1621</v>
      </c>
    </row>
    <row r="1439" spans="1:2">
      <c r="A1439" s="77">
        <v>1439</v>
      </c>
      <c r="B1439" s="77" t="s">
        <v>1622</v>
      </c>
    </row>
    <row r="1440" spans="1:2">
      <c r="A1440" s="77">
        <v>1440</v>
      </c>
      <c r="B1440" s="77" t="s">
        <v>1623</v>
      </c>
    </row>
    <row r="1441" spans="1:2">
      <c r="A1441" s="77">
        <v>1441</v>
      </c>
      <c r="B1441" s="77" t="s">
        <v>1624</v>
      </c>
    </row>
    <row r="1442" spans="1:2">
      <c r="A1442" s="77">
        <v>1442</v>
      </c>
      <c r="B1442" s="77" t="s">
        <v>1625</v>
      </c>
    </row>
    <row r="1443" spans="1:2">
      <c r="A1443" s="77">
        <v>1443</v>
      </c>
      <c r="B1443" s="77" t="s">
        <v>1626</v>
      </c>
    </row>
    <row r="1444" spans="1:2">
      <c r="A1444" s="77">
        <v>1444</v>
      </c>
      <c r="B1444" s="77" t="s">
        <v>1627</v>
      </c>
    </row>
    <row r="1445" spans="1:2">
      <c r="A1445" s="77">
        <v>1445</v>
      </c>
      <c r="B1445" s="77" t="s">
        <v>1628</v>
      </c>
    </row>
    <row r="1446" spans="1:2">
      <c r="A1446" s="77">
        <v>1446</v>
      </c>
      <c r="B1446" s="77" t="s">
        <v>1629</v>
      </c>
    </row>
    <row r="1447" spans="1:2">
      <c r="A1447" s="77">
        <v>1447</v>
      </c>
      <c r="B1447" s="77" t="s">
        <v>1630</v>
      </c>
    </row>
    <row r="1448" spans="1:2">
      <c r="A1448" s="77">
        <v>1448</v>
      </c>
      <c r="B1448" s="77" t="s">
        <v>1631</v>
      </c>
    </row>
    <row r="1449" spans="1:2">
      <c r="A1449" s="77">
        <v>1449</v>
      </c>
      <c r="B1449" s="77" t="s">
        <v>1632</v>
      </c>
    </row>
    <row r="1450" spans="1:2">
      <c r="A1450" s="77">
        <v>1450</v>
      </c>
      <c r="B1450" s="77" t="s">
        <v>1633</v>
      </c>
    </row>
    <row r="1451" spans="1:2">
      <c r="A1451" s="77">
        <v>1451</v>
      </c>
      <c r="B1451" s="77" t="s">
        <v>1634</v>
      </c>
    </row>
    <row r="1452" spans="1:2">
      <c r="A1452" s="77">
        <v>1452</v>
      </c>
      <c r="B1452" s="77" t="s">
        <v>1635</v>
      </c>
    </row>
    <row r="1453" spans="1:2">
      <c r="A1453" s="77">
        <v>1453</v>
      </c>
      <c r="B1453" s="77" t="s">
        <v>1636</v>
      </c>
    </row>
    <row r="1454" spans="1:2">
      <c r="A1454" s="77">
        <v>1454</v>
      </c>
      <c r="B1454" s="77" t="s">
        <v>1637</v>
      </c>
    </row>
    <row r="1455" spans="1:2">
      <c r="A1455" s="77">
        <v>1455</v>
      </c>
      <c r="B1455" s="77" t="s">
        <v>1638</v>
      </c>
    </row>
    <row r="1456" spans="1:2">
      <c r="A1456" s="77">
        <v>1456</v>
      </c>
      <c r="B1456" s="77" t="s">
        <v>1639</v>
      </c>
    </row>
    <row r="1457" spans="1:2">
      <c r="A1457" s="77">
        <v>1457</v>
      </c>
      <c r="B1457" s="77" t="s">
        <v>1640</v>
      </c>
    </row>
    <row r="1458" spans="1:2">
      <c r="A1458" s="77">
        <v>1458</v>
      </c>
      <c r="B1458" s="77" t="s">
        <v>1641</v>
      </c>
    </row>
    <row r="1459" spans="1:2">
      <c r="A1459" s="77">
        <v>1459</v>
      </c>
      <c r="B1459" s="77" t="s">
        <v>1642</v>
      </c>
    </row>
    <row r="1460" spans="1:2">
      <c r="A1460" s="77">
        <v>1460</v>
      </c>
      <c r="B1460" s="77" t="s">
        <v>1643</v>
      </c>
    </row>
    <row r="1461" spans="1:2">
      <c r="A1461" s="77">
        <v>1461</v>
      </c>
      <c r="B1461" s="77" t="s">
        <v>1644</v>
      </c>
    </row>
    <row r="1462" spans="1:2">
      <c r="A1462" s="77">
        <v>1462</v>
      </c>
      <c r="B1462" s="77" t="s">
        <v>1645</v>
      </c>
    </row>
    <row r="1463" spans="1:2">
      <c r="A1463" s="77">
        <v>1463</v>
      </c>
      <c r="B1463" s="77" t="s">
        <v>1646</v>
      </c>
    </row>
    <row r="1464" spans="1:2">
      <c r="A1464" s="77">
        <v>1464</v>
      </c>
      <c r="B1464" s="77" t="s">
        <v>1647</v>
      </c>
    </row>
    <row r="1465" spans="1:2">
      <c r="A1465" s="77">
        <v>1465</v>
      </c>
      <c r="B1465" s="77" t="s">
        <v>1648</v>
      </c>
    </row>
    <row r="1466" spans="1:2">
      <c r="A1466" s="77">
        <v>1466</v>
      </c>
      <c r="B1466" s="77" t="s">
        <v>1649</v>
      </c>
    </row>
    <row r="1467" spans="1:2">
      <c r="A1467" s="77">
        <v>1467</v>
      </c>
      <c r="B1467" s="77" t="s">
        <v>1650</v>
      </c>
    </row>
    <row r="1468" spans="1:2">
      <c r="A1468" s="77">
        <v>1468</v>
      </c>
      <c r="B1468" s="77" t="s">
        <v>1651</v>
      </c>
    </row>
    <row r="1469" spans="1:2">
      <c r="A1469" s="77">
        <v>1469</v>
      </c>
      <c r="B1469" s="77" t="s">
        <v>1652</v>
      </c>
    </row>
    <row r="1470" spans="1:2">
      <c r="A1470" s="77">
        <v>1470</v>
      </c>
      <c r="B1470" s="77" t="s">
        <v>1653</v>
      </c>
    </row>
    <row r="1471" spans="1:2">
      <c r="A1471" s="77">
        <v>1471</v>
      </c>
      <c r="B1471" s="77" t="s">
        <v>1654</v>
      </c>
    </row>
    <row r="1472" spans="1:2">
      <c r="A1472" s="77">
        <v>1472</v>
      </c>
      <c r="B1472" s="77" t="s">
        <v>1655</v>
      </c>
    </row>
    <row r="1473" spans="1:2">
      <c r="A1473" s="77">
        <v>1473</v>
      </c>
      <c r="B1473" s="77" t="s">
        <v>1656</v>
      </c>
    </row>
    <row r="1474" spans="1:2">
      <c r="A1474" s="77">
        <v>1474</v>
      </c>
      <c r="B1474" s="77" t="s">
        <v>1657</v>
      </c>
    </row>
    <row r="1475" spans="1:2">
      <c r="A1475" s="77">
        <v>1475</v>
      </c>
      <c r="B1475" s="77" t="s">
        <v>1658</v>
      </c>
    </row>
    <row r="1476" spans="1:2">
      <c r="A1476" s="77">
        <v>1476</v>
      </c>
      <c r="B1476" s="77" t="s">
        <v>1659</v>
      </c>
    </row>
    <row r="1477" spans="1:2">
      <c r="A1477" s="77">
        <v>1477</v>
      </c>
      <c r="B1477" s="77" t="s">
        <v>1660</v>
      </c>
    </row>
    <row r="1478" spans="1:2">
      <c r="A1478" s="77">
        <v>1478</v>
      </c>
      <c r="B1478" s="77" t="s">
        <v>1661</v>
      </c>
    </row>
    <row r="1479" spans="1:2">
      <c r="A1479" s="77">
        <v>1479</v>
      </c>
      <c r="B1479" s="77" t="s">
        <v>1662</v>
      </c>
    </row>
    <row r="1480" spans="1:2">
      <c r="A1480" s="77">
        <v>1480</v>
      </c>
      <c r="B1480" s="77" t="s">
        <v>1663</v>
      </c>
    </row>
    <row r="1481" spans="1:2">
      <c r="A1481" s="77">
        <v>1481</v>
      </c>
      <c r="B1481" s="77" t="s">
        <v>1664</v>
      </c>
    </row>
    <row r="1482" spans="1:2">
      <c r="A1482" s="77">
        <v>1482</v>
      </c>
      <c r="B1482" s="77" t="s">
        <v>1665</v>
      </c>
    </row>
    <row r="1483" spans="1:2">
      <c r="A1483" s="77">
        <v>1483</v>
      </c>
      <c r="B1483" s="77" t="s">
        <v>1666</v>
      </c>
    </row>
    <row r="1484" spans="1:2">
      <c r="A1484" s="77">
        <v>1484</v>
      </c>
      <c r="B1484" s="77" t="s">
        <v>1667</v>
      </c>
    </row>
    <row r="1485" spans="1:2">
      <c r="A1485" s="77">
        <v>1485</v>
      </c>
      <c r="B1485" s="77" t="s">
        <v>1668</v>
      </c>
    </row>
    <row r="1486" spans="1:2">
      <c r="A1486" s="77">
        <v>1486</v>
      </c>
      <c r="B1486" s="77" t="s">
        <v>1669</v>
      </c>
    </row>
    <row r="1487" spans="1:2">
      <c r="A1487" s="77">
        <v>1487</v>
      </c>
      <c r="B1487" s="77" t="s">
        <v>1670</v>
      </c>
    </row>
    <row r="1488" spans="1:2">
      <c r="A1488" s="77">
        <v>1488</v>
      </c>
      <c r="B1488" s="77" t="s">
        <v>1671</v>
      </c>
    </row>
    <row r="1489" spans="1:2">
      <c r="A1489" s="77">
        <v>1489</v>
      </c>
      <c r="B1489" s="77" t="s">
        <v>1672</v>
      </c>
    </row>
    <row r="1490" spans="1:2">
      <c r="A1490" s="77">
        <v>1490</v>
      </c>
      <c r="B1490" s="77" t="s">
        <v>1673</v>
      </c>
    </row>
    <row r="1491" spans="1:2">
      <c r="A1491" s="77">
        <v>1491</v>
      </c>
      <c r="B1491" s="77" t="s">
        <v>1674</v>
      </c>
    </row>
    <row r="1492" spans="1:2">
      <c r="A1492" s="77">
        <v>1492</v>
      </c>
      <c r="B1492" s="77" t="s">
        <v>1675</v>
      </c>
    </row>
    <row r="1493" spans="1:2">
      <c r="A1493" s="77">
        <v>1493</v>
      </c>
      <c r="B1493" s="77" t="s">
        <v>1676</v>
      </c>
    </row>
    <row r="1494" spans="1:2">
      <c r="A1494" s="77">
        <v>1494</v>
      </c>
      <c r="B1494" s="77" t="s">
        <v>1677</v>
      </c>
    </row>
    <row r="1495" spans="1:2">
      <c r="A1495" s="77">
        <v>1495</v>
      </c>
      <c r="B1495" s="77" t="s">
        <v>1678</v>
      </c>
    </row>
    <row r="1496" spans="1:2">
      <c r="A1496" s="77">
        <v>1496</v>
      </c>
      <c r="B1496" s="77" t="s">
        <v>1679</v>
      </c>
    </row>
    <row r="1497" spans="1:2">
      <c r="A1497" s="77">
        <v>1497</v>
      </c>
      <c r="B1497" s="77" t="s">
        <v>1680</v>
      </c>
    </row>
    <row r="1498" spans="1:2">
      <c r="A1498" s="77">
        <v>1498</v>
      </c>
      <c r="B1498" s="77" t="s">
        <v>1681</v>
      </c>
    </row>
    <row r="1499" spans="1:2">
      <c r="A1499" s="77">
        <v>1499</v>
      </c>
      <c r="B1499" s="77" t="s">
        <v>1682</v>
      </c>
    </row>
    <row r="1500" spans="1:2">
      <c r="A1500" s="77">
        <v>1500</v>
      </c>
      <c r="B1500" s="77" t="s">
        <v>1683</v>
      </c>
    </row>
    <row r="1501" spans="1:2">
      <c r="A1501" s="77">
        <v>1501</v>
      </c>
      <c r="B1501" s="77" t="s">
        <v>1684</v>
      </c>
    </row>
    <row r="1502" spans="1:2">
      <c r="A1502" s="77">
        <v>1502</v>
      </c>
      <c r="B1502" s="77" t="s">
        <v>1685</v>
      </c>
    </row>
    <row r="1503" spans="1:2">
      <c r="A1503" s="77">
        <v>1503</v>
      </c>
      <c r="B1503" s="77" t="s">
        <v>1686</v>
      </c>
    </row>
    <row r="1504" spans="1:2">
      <c r="A1504" s="77">
        <v>1504</v>
      </c>
      <c r="B1504" s="77" t="s">
        <v>1687</v>
      </c>
    </row>
    <row r="1505" spans="1:2">
      <c r="A1505" s="77">
        <v>1505</v>
      </c>
      <c r="B1505" s="77" t="s">
        <v>1688</v>
      </c>
    </row>
    <row r="1506" spans="1:2">
      <c r="A1506" s="77">
        <v>1506</v>
      </c>
      <c r="B1506" s="77" t="s">
        <v>1689</v>
      </c>
    </row>
    <row r="1507" spans="1:2">
      <c r="A1507" s="77">
        <v>1507</v>
      </c>
      <c r="B1507" s="77" t="s">
        <v>1690</v>
      </c>
    </row>
    <row r="1508" spans="1:2">
      <c r="A1508" s="77">
        <v>1508</v>
      </c>
      <c r="B1508" s="77" t="s">
        <v>1691</v>
      </c>
    </row>
    <row r="1509" spans="1:2">
      <c r="A1509" s="77">
        <v>1509</v>
      </c>
      <c r="B1509" s="77" t="s">
        <v>1692</v>
      </c>
    </row>
    <row r="1510" spans="1:2">
      <c r="A1510" s="77">
        <v>1510</v>
      </c>
      <c r="B1510" s="77" t="s">
        <v>1693</v>
      </c>
    </row>
    <row r="1511" spans="1:2">
      <c r="A1511" s="77">
        <v>1511</v>
      </c>
      <c r="B1511" s="77" t="s">
        <v>1694</v>
      </c>
    </row>
    <row r="1512" spans="1:2">
      <c r="A1512" s="77">
        <v>1512</v>
      </c>
      <c r="B1512" s="77" t="s">
        <v>1695</v>
      </c>
    </row>
    <row r="1513" spans="1:2">
      <c r="A1513" s="77">
        <v>1513</v>
      </c>
      <c r="B1513" s="77" t="s">
        <v>1696</v>
      </c>
    </row>
    <row r="1514" spans="1:2">
      <c r="A1514" s="77">
        <v>1514</v>
      </c>
      <c r="B1514" s="77" t="s">
        <v>1697</v>
      </c>
    </row>
    <row r="1515" spans="1:2">
      <c r="A1515" s="77">
        <v>1515</v>
      </c>
      <c r="B1515" s="77" t="s">
        <v>1698</v>
      </c>
    </row>
    <row r="1516" spans="1:2">
      <c r="A1516" s="77">
        <v>1516</v>
      </c>
      <c r="B1516" s="77" t="s">
        <v>1699</v>
      </c>
    </row>
    <row r="1517" spans="1:2">
      <c r="A1517" s="77">
        <v>1517</v>
      </c>
      <c r="B1517" s="77" t="s">
        <v>1700</v>
      </c>
    </row>
    <row r="1518" spans="1:2">
      <c r="A1518" s="77">
        <v>1518</v>
      </c>
      <c r="B1518" s="77" t="s">
        <v>1701</v>
      </c>
    </row>
    <row r="1519" spans="1:2">
      <c r="A1519" s="77">
        <v>1519</v>
      </c>
      <c r="B1519" s="77" t="s">
        <v>1702</v>
      </c>
    </row>
    <row r="1520" spans="1:2">
      <c r="A1520" s="77">
        <v>1520</v>
      </c>
      <c r="B1520" s="77" t="s">
        <v>1703</v>
      </c>
    </row>
    <row r="1521" spans="1:2">
      <c r="A1521" s="77">
        <v>1521</v>
      </c>
      <c r="B1521" s="77" t="s">
        <v>1704</v>
      </c>
    </row>
    <row r="1522" spans="1:2">
      <c r="A1522" s="77">
        <v>1522</v>
      </c>
      <c r="B1522" s="77" t="s">
        <v>1705</v>
      </c>
    </row>
    <row r="1523" spans="1:2">
      <c r="A1523" s="77">
        <v>1523</v>
      </c>
      <c r="B1523" s="77" t="s">
        <v>1706</v>
      </c>
    </row>
    <row r="1524" spans="1:2">
      <c r="A1524" s="77">
        <v>1524</v>
      </c>
      <c r="B1524" s="77" t="s">
        <v>1707</v>
      </c>
    </row>
    <row r="1525" spans="1:2">
      <c r="A1525" s="77">
        <v>1525</v>
      </c>
      <c r="B1525" s="77" t="s">
        <v>1708</v>
      </c>
    </row>
    <row r="1526" spans="1:2">
      <c r="A1526" s="77">
        <v>1526</v>
      </c>
      <c r="B1526" s="77" t="s">
        <v>1709</v>
      </c>
    </row>
    <row r="1527" spans="1:2">
      <c r="A1527" s="77">
        <v>1527</v>
      </c>
      <c r="B1527" s="77" t="s">
        <v>1710</v>
      </c>
    </row>
    <row r="1528" spans="1:2">
      <c r="A1528" s="77">
        <v>1528</v>
      </c>
      <c r="B1528" s="77" t="s">
        <v>1711</v>
      </c>
    </row>
    <row r="1529" spans="1:2">
      <c r="A1529" s="77">
        <v>1529</v>
      </c>
      <c r="B1529" s="77" t="s">
        <v>1712</v>
      </c>
    </row>
    <row r="1530" spans="1:2">
      <c r="A1530" s="77">
        <v>1530</v>
      </c>
      <c r="B1530" s="77" t="s">
        <v>1713</v>
      </c>
    </row>
    <row r="1531" spans="1:2">
      <c r="A1531" s="77">
        <v>1531</v>
      </c>
      <c r="B1531" s="77" t="s">
        <v>1714</v>
      </c>
    </row>
    <row r="1532" spans="1:2">
      <c r="A1532" s="77">
        <v>1532</v>
      </c>
      <c r="B1532" s="77" t="s">
        <v>1715</v>
      </c>
    </row>
    <row r="1533" spans="1:2">
      <c r="A1533" s="77">
        <v>1533</v>
      </c>
      <c r="B1533" s="77" t="s">
        <v>1716</v>
      </c>
    </row>
    <row r="1534" spans="1:2">
      <c r="A1534" s="77">
        <v>1534</v>
      </c>
      <c r="B1534" s="77" t="s">
        <v>1717</v>
      </c>
    </row>
    <row r="1535" spans="1:2">
      <c r="A1535" s="77">
        <v>1535</v>
      </c>
      <c r="B1535" s="77" t="s">
        <v>1718</v>
      </c>
    </row>
    <row r="1536" spans="1:2">
      <c r="A1536" s="77">
        <v>1536</v>
      </c>
      <c r="B1536" s="77" t="s">
        <v>1719</v>
      </c>
    </row>
    <row r="1537" spans="1:2">
      <c r="A1537" s="77">
        <v>1537</v>
      </c>
      <c r="B1537" s="77" t="s">
        <v>1720</v>
      </c>
    </row>
    <row r="1538" spans="1:2">
      <c r="A1538" s="77">
        <v>1538</v>
      </c>
      <c r="B1538" s="77" t="s">
        <v>1721</v>
      </c>
    </row>
    <row r="1539" spans="1:2">
      <c r="A1539" s="77">
        <v>1539</v>
      </c>
      <c r="B1539" s="77" t="s">
        <v>1722</v>
      </c>
    </row>
    <row r="1540" spans="1:2">
      <c r="A1540" s="77">
        <v>1540</v>
      </c>
      <c r="B1540" s="77" t="s">
        <v>1723</v>
      </c>
    </row>
    <row r="1541" spans="1:2">
      <c r="A1541" s="77">
        <v>1541</v>
      </c>
      <c r="B1541" s="77" t="s">
        <v>1724</v>
      </c>
    </row>
    <row r="1542" spans="1:2">
      <c r="A1542" s="77">
        <v>1542</v>
      </c>
      <c r="B1542" s="77" t="s">
        <v>1725</v>
      </c>
    </row>
    <row r="1543" spans="1:2">
      <c r="A1543" s="77">
        <v>1543</v>
      </c>
      <c r="B1543" s="77" t="s">
        <v>1726</v>
      </c>
    </row>
    <row r="1544" spans="1:2">
      <c r="A1544" s="77">
        <v>1544</v>
      </c>
      <c r="B1544" s="77" t="s">
        <v>1727</v>
      </c>
    </row>
    <row r="1545" spans="1:2">
      <c r="A1545" s="77">
        <v>1545</v>
      </c>
      <c r="B1545" s="77" t="s">
        <v>1728</v>
      </c>
    </row>
    <row r="1546" spans="1:2">
      <c r="A1546" s="77">
        <v>1546</v>
      </c>
      <c r="B1546" s="77" t="s">
        <v>1729</v>
      </c>
    </row>
    <row r="1547" spans="1:2">
      <c r="A1547" s="77">
        <v>1547</v>
      </c>
      <c r="B1547" s="77" t="s">
        <v>1730</v>
      </c>
    </row>
    <row r="1548" spans="1:2">
      <c r="A1548" s="77">
        <v>1548</v>
      </c>
      <c r="B1548" s="77" t="s">
        <v>1731</v>
      </c>
    </row>
    <row r="1549" spans="1:2">
      <c r="A1549" s="77">
        <v>1549</v>
      </c>
      <c r="B1549" s="77" t="s">
        <v>1732</v>
      </c>
    </row>
    <row r="1550" spans="1:2">
      <c r="A1550" s="77">
        <v>1550</v>
      </c>
      <c r="B1550" s="77" t="s">
        <v>1733</v>
      </c>
    </row>
    <row r="1551" spans="1:2">
      <c r="A1551" s="77">
        <v>1551</v>
      </c>
      <c r="B1551" s="77" t="s">
        <v>1734</v>
      </c>
    </row>
    <row r="1552" spans="1:2">
      <c r="A1552" s="77">
        <v>1552</v>
      </c>
      <c r="B1552" s="77" t="s">
        <v>1735</v>
      </c>
    </row>
    <row r="1553" spans="1:2">
      <c r="A1553" s="77">
        <v>1553</v>
      </c>
      <c r="B1553" s="77" t="s">
        <v>1736</v>
      </c>
    </row>
    <row r="1554" spans="1:2">
      <c r="A1554" s="77">
        <v>1554</v>
      </c>
      <c r="B1554" s="77" t="s">
        <v>1737</v>
      </c>
    </row>
    <row r="1555" spans="1:2">
      <c r="A1555" s="77">
        <v>1555</v>
      </c>
      <c r="B1555" s="77" t="s">
        <v>1738</v>
      </c>
    </row>
    <row r="1556" spans="1:2">
      <c r="A1556" s="77">
        <v>1556</v>
      </c>
      <c r="B1556" s="77" t="s">
        <v>1739</v>
      </c>
    </row>
    <row r="1557" spans="1:2">
      <c r="A1557" s="77">
        <v>1557</v>
      </c>
      <c r="B1557" s="77" t="s">
        <v>1740</v>
      </c>
    </row>
    <row r="1558" spans="1:2">
      <c r="A1558" s="77">
        <v>1558</v>
      </c>
      <c r="B1558" s="77" t="s">
        <v>1741</v>
      </c>
    </row>
    <row r="1559" spans="1:2">
      <c r="A1559" s="77">
        <v>1559</v>
      </c>
      <c r="B1559" s="77" t="s">
        <v>1742</v>
      </c>
    </row>
    <row r="1560" spans="1:2">
      <c r="A1560" s="77">
        <v>1560</v>
      </c>
      <c r="B1560" s="77" t="s">
        <v>1743</v>
      </c>
    </row>
    <row r="1561" spans="1:2">
      <c r="A1561" s="77">
        <v>1561</v>
      </c>
      <c r="B1561" s="77" t="s">
        <v>1744</v>
      </c>
    </row>
    <row r="1562" spans="1:2">
      <c r="A1562" s="77">
        <v>1562</v>
      </c>
      <c r="B1562" s="77" t="s">
        <v>1745</v>
      </c>
    </row>
    <row r="1563" spans="1:2">
      <c r="A1563" s="77">
        <v>1563</v>
      </c>
      <c r="B1563" s="77" t="s">
        <v>1746</v>
      </c>
    </row>
    <row r="1564" spans="1:2">
      <c r="A1564" s="77">
        <v>1564</v>
      </c>
      <c r="B1564" s="77" t="s">
        <v>1747</v>
      </c>
    </row>
    <row r="1565" spans="1:2">
      <c r="A1565" s="77">
        <v>1565</v>
      </c>
      <c r="B1565" s="77" t="s">
        <v>1748</v>
      </c>
    </row>
    <row r="1566" spans="1:2">
      <c r="A1566" s="77">
        <v>1566</v>
      </c>
      <c r="B1566" s="77" t="s">
        <v>1749</v>
      </c>
    </row>
    <row r="1567" spans="1:2">
      <c r="A1567" s="77">
        <v>1567</v>
      </c>
      <c r="B1567" s="77" t="s">
        <v>1750</v>
      </c>
    </row>
    <row r="1568" spans="1:2">
      <c r="A1568" s="77">
        <v>1568</v>
      </c>
      <c r="B1568" s="77" t="s">
        <v>1751</v>
      </c>
    </row>
    <row r="1569" spans="1:2">
      <c r="A1569" s="77">
        <v>1569</v>
      </c>
      <c r="B1569" s="77" t="s">
        <v>1752</v>
      </c>
    </row>
    <row r="1570" spans="1:2">
      <c r="A1570" s="77">
        <v>1570</v>
      </c>
      <c r="B1570" s="77" t="s">
        <v>1753</v>
      </c>
    </row>
    <row r="1571" spans="1:2">
      <c r="A1571" s="77">
        <v>1571</v>
      </c>
      <c r="B1571" s="77" t="s">
        <v>1754</v>
      </c>
    </row>
    <row r="1572" spans="1:2">
      <c r="A1572" s="77">
        <v>1572</v>
      </c>
      <c r="B1572" s="77" t="s">
        <v>1755</v>
      </c>
    </row>
    <row r="1573" spans="1:2">
      <c r="A1573" s="77">
        <v>1573</v>
      </c>
      <c r="B1573" s="77" t="s">
        <v>1756</v>
      </c>
    </row>
    <row r="1574" spans="1:2">
      <c r="A1574" s="77">
        <v>1574</v>
      </c>
      <c r="B1574" s="77" t="s">
        <v>1757</v>
      </c>
    </row>
    <row r="1575" spans="1:2">
      <c r="A1575" s="77">
        <v>1575</v>
      </c>
      <c r="B1575" s="77" t="s">
        <v>1758</v>
      </c>
    </row>
    <row r="1576" spans="1:2">
      <c r="A1576" s="77">
        <v>1576</v>
      </c>
      <c r="B1576" s="77" t="s">
        <v>1759</v>
      </c>
    </row>
    <row r="1577" spans="1:2">
      <c r="A1577" s="77">
        <v>1577</v>
      </c>
      <c r="B1577" s="77" t="s">
        <v>1760</v>
      </c>
    </row>
    <row r="1578" spans="1:2">
      <c r="A1578" s="77">
        <v>1578</v>
      </c>
      <c r="B1578" s="77" t="s">
        <v>1761</v>
      </c>
    </row>
    <row r="1579" spans="1:2">
      <c r="A1579" s="77">
        <v>1579</v>
      </c>
      <c r="B1579" s="77" t="s">
        <v>1762</v>
      </c>
    </row>
    <row r="1580" spans="1:2">
      <c r="A1580" s="77">
        <v>1580</v>
      </c>
      <c r="B1580" s="77" t="s">
        <v>1763</v>
      </c>
    </row>
    <row r="1581" spans="1:2">
      <c r="A1581" s="77">
        <v>1581</v>
      </c>
      <c r="B1581" s="77" t="s">
        <v>1764</v>
      </c>
    </row>
    <row r="1582" spans="1:2">
      <c r="A1582" s="77">
        <v>1582</v>
      </c>
      <c r="B1582" s="77" t="s">
        <v>1765</v>
      </c>
    </row>
    <row r="1583" spans="1:2">
      <c r="A1583" s="77">
        <v>1583</v>
      </c>
      <c r="B1583" s="77" t="s">
        <v>1766</v>
      </c>
    </row>
    <row r="1584" spans="1:2">
      <c r="A1584" s="77">
        <v>1584</v>
      </c>
      <c r="B1584" s="77" t="s">
        <v>1767</v>
      </c>
    </row>
    <row r="1585" spans="1:2">
      <c r="A1585" s="77">
        <v>1585</v>
      </c>
      <c r="B1585" s="77" t="s">
        <v>1768</v>
      </c>
    </row>
    <row r="1586" spans="1:2">
      <c r="A1586" s="77">
        <v>1586</v>
      </c>
      <c r="B1586" s="77" t="s">
        <v>1769</v>
      </c>
    </row>
    <row r="1587" spans="1:2">
      <c r="A1587" s="77">
        <v>1587</v>
      </c>
      <c r="B1587" s="77" t="s">
        <v>1770</v>
      </c>
    </row>
    <row r="1588" spans="1:2">
      <c r="A1588" s="77">
        <v>1588</v>
      </c>
      <c r="B1588" s="77" t="s">
        <v>1771</v>
      </c>
    </row>
    <row r="1589" spans="1:2">
      <c r="A1589" s="77">
        <v>1589</v>
      </c>
      <c r="B1589" s="77" t="s">
        <v>1772</v>
      </c>
    </row>
    <row r="1590" spans="1:2">
      <c r="A1590" s="77">
        <v>1590</v>
      </c>
      <c r="B1590" s="77" t="s">
        <v>1773</v>
      </c>
    </row>
    <row r="1591" spans="1:2">
      <c r="A1591" s="77">
        <v>1591</v>
      </c>
      <c r="B1591" s="77" t="s">
        <v>1774</v>
      </c>
    </row>
    <row r="1592" spans="1:2">
      <c r="A1592" s="77">
        <v>1592</v>
      </c>
      <c r="B1592" s="77" t="s">
        <v>1775</v>
      </c>
    </row>
    <row r="1593" spans="1:2">
      <c r="A1593" s="77">
        <v>1593</v>
      </c>
      <c r="B1593" s="77" t="s">
        <v>1776</v>
      </c>
    </row>
    <row r="1594" spans="1:2">
      <c r="A1594" s="77">
        <v>1594</v>
      </c>
      <c r="B1594" s="77" t="s">
        <v>1777</v>
      </c>
    </row>
    <row r="1595" spans="1:2">
      <c r="A1595" s="77">
        <v>1595</v>
      </c>
      <c r="B1595" s="77" t="s">
        <v>1778</v>
      </c>
    </row>
    <row r="1596" spans="1:2">
      <c r="A1596" s="77">
        <v>1596</v>
      </c>
      <c r="B1596" s="77" t="s">
        <v>1779</v>
      </c>
    </row>
    <row r="1597" spans="1:2">
      <c r="A1597" s="77">
        <v>1597</v>
      </c>
      <c r="B1597" s="77" t="s">
        <v>1780</v>
      </c>
    </row>
    <row r="1598" spans="1:2">
      <c r="A1598" s="77">
        <v>1598</v>
      </c>
      <c r="B1598" s="77" t="s">
        <v>1781</v>
      </c>
    </row>
    <row r="1599" spans="1:2">
      <c r="A1599" s="77">
        <v>1599</v>
      </c>
      <c r="B1599" s="77" t="s">
        <v>1782</v>
      </c>
    </row>
    <row r="1600" spans="1:2">
      <c r="A1600" s="77">
        <v>1600</v>
      </c>
      <c r="B1600" s="77" t="s">
        <v>1783</v>
      </c>
    </row>
    <row r="1601" spans="1:2">
      <c r="A1601" s="77">
        <v>1601</v>
      </c>
      <c r="B1601" s="77" t="s">
        <v>1784</v>
      </c>
    </row>
    <row r="1602" spans="1:2">
      <c r="A1602" s="77">
        <v>1602</v>
      </c>
      <c r="B1602" s="77" t="s">
        <v>1785</v>
      </c>
    </row>
    <row r="1603" spans="1:2">
      <c r="A1603" s="77">
        <v>1603</v>
      </c>
      <c r="B1603" s="77" t="s">
        <v>1786</v>
      </c>
    </row>
    <row r="1604" spans="1:2">
      <c r="A1604" s="77">
        <v>1604</v>
      </c>
      <c r="B1604" s="77" t="s">
        <v>1787</v>
      </c>
    </row>
    <row r="1605" spans="1:2">
      <c r="A1605" s="77">
        <v>1605</v>
      </c>
      <c r="B1605" s="77" t="s">
        <v>1788</v>
      </c>
    </row>
    <row r="1606" spans="1:2">
      <c r="A1606" s="77">
        <v>1606</v>
      </c>
      <c r="B1606" s="77" t="s">
        <v>1789</v>
      </c>
    </row>
    <row r="1607" spans="1:2">
      <c r="A1607" s="77">
        <v>1607</v>
      </c>
      <c r="B1607" s="77" t="s">
        <v>1790</v>
      </c>
    </row>
    <row r="1608" spans="1:2">
      <c r="A1608" s="77">
        <v>1608</v>
      </c>
      <c r="B1608" s="77" t="s">
        <v>1791</v>
      </c>
    </row>
    <row r="1609" spans="1:2">
      <c r="A1609" s="77">
        <v>1609</v>
      </c>
      <c r="B1609" s="77" t="s">
        <v>1792</v>
      </c>
    </row>
    <row r="1610" spans="1:2">
      <c r="A1610" s="77">
        <v>1610</v>
      </c>
      <c r="B1610" s="77" t="s">
        <v>1793</v>
      </c>
    </row>
    <row r="1611" spans="1:2">
      <c r="A1611" s="77">
        <v>1611</v>
      </c>
      <c r="B1611" s="77" t="s">
        <v>1794</v>
      </c>
    </row>
    <row r="1612" spans="1:2">
      <c r="A1612" s="77">
        <v>1612</v>
      </c>
      <c r="B1612" s="77" t="s">
        <v>1795</v>
      </c>
    </row>
    <row r="1613" spans="1:2">
      <c r="A1613" s="77">
        <v>1613</v>
      </c>
      <c r="B1613" s="77" t="s">
        <v>1796</v>
      </c>
    </row>
    <row r="1614" spans="1:2">
      <c r="A1614" s="77">
        <v>1614</v>
      </c>
      <c r="B1614" s="77" t="s">
        <v>1797</v>
      </c>
    </row>
    <row r="1615" spans="1:2">
      <c r="A1615" s="77">
        <v>1615</v>
      </c>
      <c r="B1615" s="77" t="s">
        <v>1798</v>
      </c>
    </row>
    <row r="1616" spans="1:2">
      <c r="A1616" s="77">
        <v>1616</v>
      </c>
      <c r="B1616" s="77" t="s">
        <v>1799</v>
      </c>
    </row>
    <row r="1617" spans="1:2">
      <c r="A1617" s="77">
        <v>1617</v>
      </c>
      <c r="B1617" s="77" t="s">
        <v>1800</v>
      </c>
    </row>
    <row r="1618" spans="1:2">
      <c r="A1618" s="77">
        <v>1618</v>
      </c>
      <c r="B1618" s="77" t="s">
        <v>1801</v>
      </c>
    </row>
    <row r="1619" spans="1:2">
      <c r="A1619" s="77">
        <v>1619</v>
      </c>
      <c r="B1619" s="77" t="s">
        <v>1802</v>
      </c>
    </row>
    <row r="1620" spans="1:2">
      <c r="A1620" s="77">
        <v>1620</v>
      </c>
      <c r="B1620" s="77" t="s">
        <v>1803</v>
      </c>
    </row>
    <row r="1621" spans="1:2">
      <c r="A1621" s="77">
        <v>1621</v>
      </c>
      <c r="B1621" s="77" t="s">
        <v>1804</v>
      </c>
    </row>
    <row r="1622" spans="1:2">
      <c r="A1622" s="77">
        <v>1622</v>
      </c>
      <c r="B1622" s="77" t="s">
        <v>1805</v>
      </c>
    </row>
    <row r="1623" spans="1:2">
      <c r="A1623" s="77">
        <v>1623</v>
      </c>
      <c r="B1623" s="77" t="s">
        <v>1806</v>
      </c>
    </row>
    <row r="1624" spans="1:2">
      <c r="A1624" s="77">
        <v>1624</v>
      </c>
      <c r="B1624" s="77" t="s">
        <v>1807</v>
      </c>
    </row>
    <row r="1625" spans="1:2">
      <c r="A1625" s="77">
        <v>1625</v>
      </c>
      <c r="B1625" s="77" t="s">
        <v>1808</v>
      </c>
    </row>
    <row r="1626" spans="1:2">
      <c r="A1626" s="77">
        <v>1626</v>
      </c>
      <c r="B1626" s="77" t="s">
        <v>1809</v>
      </c>
    </row>
    <row r="1627" spans="1:2">
      <c r="A1627" s="77">
        <v>1627</v>
      </c>
      <c r="B1627" s="77" t="s">
        <v>1810</v>
      </c>
    </row>
    <row r="1628" spans="1:2">
      <c r="A1628" s="77">
        <v>1628</v>
      </c>
      <c r="B1628" s="77" t="s">
        <v>1811</v>
      </c>
    </row>
    <row r="1629" spans="1:2">
      <c r="A1629" s="77">
        <v>1629</v>
      </c>
      <c r="B1629" s="77" t="s">
        <v>1812</v>
      </c>
    </row>
    <row r="1630" spans="1:2">
      <c r="A1630" s="77">
        <v>1630</v>
      </c>
      <c r="B1630" s="77" t="s">
        <v>1813</v>
      </c>
    </row>
    <row r="1631" spans="1:2">
      <c r="A1631" s="77">
        <v>1631</v>
      </c>
      <c r="B1631" s="77" t="s">
        <v>1814</v>
      </c>
    </row>
    <row r="1632" spans="1:2">
      <c r="A1632" s="77">
        <v>1632</v>
      </c>
      <c r="B1632" s="77" t="s">
        <v>1815</v>
      </c>
    </row>
    <row r="1633" spans="1:2">
      <c r="A1633" s="77">
        <v>1633</v>
      </c>
      <c r="B1633" s="77" t="s">
        <v>1816</v>
      </c>
    </row>
    <row r="1634" spans="1:2">
      <c r="A1634" s="77">
        <v>1634</v>
      </c>
      <c r="B1634" s="77" t="s">
        <v>1817</v>
      </c>
    </row>
    <row r="1635" spans="1:2">
      <c r="A1635" s="77">
        <v>1635</v>
      </c>
      <c r="B1635" s="77" t="s">
        <v>1818</v>
      </c>
    </row>
    <row r="1636" spans="1:2">
      <c r="A1636" s="77">
        <v>1636</v>
      </c>
      <c r="B1636" s="77" t="s">
        <v>1819</v>
      </c>
    </row>
    <row r="1637" spans="1:2">
      <c r="A1637" s="77">
        <v>1637</v>
      </c>
      <c r="B1637" s="77" t="s">
        <v>1820</v>
      </c>
    </row>
    <row r="1638" spans="1:2">
      <c r="A1638" s="77">
        <v>1638</v>
      </c>
      <c r="B1638" s="77" t="s">
        <v>1821</v>
      </c>
    </row>
    <row r="1639" spans="1:2">
      <c r="A1639" s="77">
        <v>1639</v>
      </c>
      <c r="B1639" s="77" t="s">
        <v>1822</v>
      </c>
    </row>
    <row r="1640" spans="1:2">
      <c r="A1640" s="77">
        <v>1640</v>
      </c>
      <c r="B1640" s="77" t="s">
        <v>1823</v>
      </c>
    </row>
    <row r="1641" spans="1:2">
      <c r="A1641" s="77">
        <v>1641</v>
      </c>
      <c r="B1641" s="77" t="s">
        <v>1824</v>
      </c>
    </row>
    <row r="1642" spans="1:2">
      <c r="A1642" s="77">
        <v>1642</v>
      </c>
      <c r="B1642" s="77" t="s">
        <v>1825</v>
      </c>
    </row>
    <row r="1643" spans="1:2">
      <c r="A1643" s="77">
        <v>1643</v>
      </c>
      <c r="B1643" s="77" t="s">
        <v>1826</v>
      </c>
    </row>
    <row r="1644" spans="1:2">
      <c r="A1644" s="77">
        <v>1644</v>
      </c>
      <c r="B1644" s="77" t="s">
        <v>1827</v>
      </c>
    </row>
    <row r="1645" spans="1:2">
      <c r="A1645" s="77">
        <v>1645</v>
      </c>
      <c r="B1645" s="77" t="s">
        <v>1828</v>
      </c>
    </row>
    <row r="1646" spans="1:2">
      <c r="A1646" s="77">
        <v>1646</v>
      </c>
      <c r="B1646" s="77" t="s">
        <v>1829</v>
      </c>
    </row>
    <row r="1647" spans="1:2">
      <c r="A1647" s="77">
        <v>1647</v>
      </c>
      <c r="B1647" s="77" t="s">
        <v>1830</v>
      </c>
    </row>
    <row r="1648" spans="1:2">
      <c r="A1648" s="77">
        <v>1648</v>
      </c>
      <c r="B1648" s="77" t="s">
        <v>1831</v>
      </c>
    </row>
    <row r="1649" spans="1:2">
      <c r="A1649" s="77">
        <v>1649</v>
      </c>
      <c r="B1649" s="77" t="s">
        <v>1832</v>
      </c>
    </row>
    <row r="1650" spans="1:2">
      <c r="A1650" s="77">
        <v>1650</v>
      </c>
      <c r="B1650" s="77" t="s">
        <v>1833</v>
      </c>
    </row>
    <row r="1651" spans="1:2">
      <c r="A1651" s="77">
        <v>1651</v>
      </c>
      <c r="B1651" s="77" t="s">
        <v>1834</v>
      </c>
    </row>
    <row r="1652" spans="1:2">
      <c r="A1652" s="77">
        <v>1652</v>
      </c>
      <c r="B1652" s="77" t="s">
        <v>1835</v>
      </c>
    </row>
    <row r="1653" spans="1:2">
      <c r="A1653" s="77">
        <v>1653</v>
      </c>
      <c r="B1653" s="77" t="s">
        <v>1836</v>
      </c>
    </row>
    <row r="1654" spans="1:2">
      <c r="A1654" s="77">
        <v>1654</v>
      </c>
      <c r="B1654" s="77" t="s">
        <v>1837</v>
      </c>
    </row>
    <row r="1655" spans="1:2">
      <c r="A1655" s="77">
        <v>1655</v>
      </c>
      <c r="B1655" s="77" t="s">
        <v>1838</v>
      </c>
    </row>
    <row r="1656" spans="1:2">
      <c r="A1656" s="77">
        <v>1656</v>
      </c>
      <c r="B1656" s="77" t="s">
        <v>1839</v>
      </c>
    </row>
    <row r="1657" spans="1:2">
      <c r="A1657" s="77">
        <v>1657</v>
      </c>
      <c r="B1657" s="77" t="s">
        <v>1840</v>
      </c>
    </row>
    <row r="1658" spans="1:2">
      <c r="A1658" s="77">
        <v>1658</v>
      </c>
      <c r="B1658" s="77" t="s">
        <v>1841</v>
      </c>
    </row>
    <row r="1659" spans="1:2">
      <c r="A1659" s="77">
        <v>1659</v>
      </c>
      <c r="B1659" s="77" t="s">
        <v>1842</v>
      </c>
    </row>
    <row r="1660" spans="1:2">
      <c r="A1660" s="77">
        <v>1660</v>
      </c>
      <c r="B1660" s="77" t="s">
        <v>1843</v>
      </c>
    </row>
    <row r="1661" spans="1:2">
      <c r="A1661" s="77">
        <v>1661</v>
      </c>
      <c r="B1661" s="77" t="s">
        <v>1844</v>
      </c>
    </row>
    <row r="1662" spans="1:2">
      <c r="A1662" s="77">
        <v>1662</v>
      </c>
      <c r="B1662" s="77" t="s">
        <v>1845</v>
      </c>
    </row>
    <row r="1663" spans="1:2">
      <c r="A1663" s="77">
        <v>1663</v>
      </c>
      <c r="B1663" s="77" t="s">
        <v>1846</v>
      </c>
    </row>
    <row r="1664" spans="1:2">
      <c r="A1664" s="77">
        <v>1664</v>
      </c>
      <c r="B1664" s="77" t="s">
        <v>1847</v>
      </c>
    </row>
    <row r="1665" spans="1:2">
      <c r="A1665" s="77">
        <v>1665</v>
      </c>
      <c r="B1665" s="77" t="s">
        <v>1848</v>
      </c>
    </row>
    <row r="1666" spans="1:2">
      <c r="A1666" s="77">
        <v>1666</v>
      </c>
      <c r="B1666" s="77" t="s">
        <v>1849</v>
      </c>
    </row>
    <row r="1667" spans="1:2">
      <c r="A1667" s="77">
        <v>1667</v>
      </c>
      <c r="B1667" s="77" t="s">
        <v>1850</v>
      </c>
    </row>
    <row r="1668" spans="1:2">
      <c r="A1668" s="77">
        <v>1668</v>
      </c>
      <c r="B1668" s="77" t="s">
        <v>1851</v>
      </c>
    </row>
    <row r="1669" spans="1:2">
      <c r="A1669" s="77">
        <v>1669</v>
      </c>
      <c r="B1669" s="77" t="s">
        <v>1852</v>
      </c>
    </row>
    <row r="1670" spans="1:2">
      <c r="A1670" s="77">
        <v>1670</v>
      </c>
      <c r="B1670" s="77" t="s">
        <v>1853</v>
      </c>
    </row>
    <row r="1671" spans="1:2">
      <c r="A1671" s="77">
        <v>1671</v>
      </c>
      <c r="B1671" s="77" t="s">
        <v>1854</v>
      </c>
    </row>
    <row r="1672" spans="1:2">
      <c r="A1672" s="77">
        <v>1672</v>
      </c>
      <c r="B1672" s="77" t="s">
        <v>1855</v>
      </c>
    </row>
    <row r="1673" spans="1:2">
      <c r="A1673" s="77">
        <v>1673</v>
      </c>
      <c r="B1673" s="77" t="s">
        <v>1856</v>
      </c>
    </row>
    <row r="1674" spans="1:2">
      <c r="A1674" s="77">
        <v>1674</v>
      </c>
      <c r="B1674" s="77" t="s">
        <v>1857</v>
      </c>
    </row>
    <row r="1675" spans="1:2">
      <c r="A1675" s="77">
        <v>1675</v>
      </c>
      <c r="B1675" s="77" t="s">
        <v>1858</v>
      </c>
    </row>
    <row r="1676" spans="1:2">
      <c r="A1676" s="77">
        <v>1676</v>
      </c>
      <c r="B1676" s="77" t="s">
        <v>1859</v>
      </c>
    </row>
    <row r="1677" spans="1:2">
      <c r="A1677" s="77">
        <v>1677</v>
      </c>
      <c r="B1677" s="77" t="s">
        <v>1860</v>
      </c>
    </row>
    <row r="1678" spans="1:2">
      <c r="A1678" s="77">
        <v>1678</v>
      </c>
      <c r="B1678" s="77" t="s">
        <v>1861</v>
      </c>
    </row>
    <row r="1679" spans="1:2">
      <c r="A1679" s="77">
        <v>1679</v>
      </c>
      <c r="B1679" s="77" t="s">
        <v>1862</v>
      </c>
    </row>
    <row r="1680" spans="1:2">
      <c r="A1680" s="77">
        <v>1680</v>
      </c>
      <c r="B1680" s="77" t="s">
        <v>1863</v>
      </c>
    </row>
    <row r="1681" spans="1:2">
      <c r="A1681" s="77">
        <v>1681</v>
      </c>
      <c r="B1681" s="77" t="s">
        <v>1864</v>
      </c>
    </row>
    <row r="1682" spans="1:2">
      <c r="A1682" s="77">
        <v>1682</v>
      </c>
      <c r="B1682" s="77" t="s">
        <v>1865</v>
      </c>
    </row>
    <row r="1683" spans="1:2">
      <c r="A1683" s="77">
        <v>1683</v>
      </c>
      <c r="B1683" s="77" t="s">
        <v>1866</v>
      </c>
    </row>
    <row r="1684" spans="1:2">
      <c r="A1684" s="77">
        <v>1684</v>
      </c>
      <c r="B1684" s="77" t="s">
        <v>1867</v>
      </c>
    </row>
    <row r="1685" spans="1:2">
      <c r="A1685" s="77">
        <v>1685</v>
      </c>
      <c r="B1685" s="77" t="s">
        <v>1868</v>
      </c>
    </row>
    <row r="1686" spans="1:2">
      <c r="A1686" s="77">
        <v>1686</v>
      </c>
      <c r="B1686" s="77" t="s">
        <v>1869</v>
      </c>
    </row>
    <row r="1687" spans="1:2">
      <c r="A1687" s="77">
        <v>1687</v>
      </c>
      <c r="B1687" s="77" t="s">
        <v>1870</v>
      </c>
    </row>
    <row r="1688" spans="1:2">
      <c r="A1688" s="77">
        <v>1688</v>
      </c>
      <c r="B1688" s="77" t="s">
        <v>1871</v>
      </c>
    </row>
    <row r="1689" spans="1:2">
      <c r="A1689" s="77">
        <v>1689</v>
      </c>
      <c r="B1689" s="77" t="s">
        <v>1872</v>
      </c>
    </row>
    <row r="1690" spans="1:2">
      <c r="A1690" s="77">
        <v>1690</v>
      </c>
      <c r="B1690" s="77" t="s">
        <v>1873</v>
      </c>
    </row>
    <row r="1691" spans="1:2">
      <c r="A1691" s="77">
        <v>1691</v>
      </c>
      <c r="B1691" s="77" t="s">
        <v>1874</v>
      </c>
    </row>
    <row r="1692" spans="1:2">
      <c r="A1692" s="77">
        <v>1692</v>
      </c>
      <c r="B1692" s="77" t="s">
        <v>1875</v>
      </c>
    </row>
    <row r="1693" spans="1:2">
      <c r="A1693" s="77">
        <v>1693</v>
      </c>
      <c r="B1693" s="77" t="s">
        <v>1876</v>
      </c>
    </row>
    <row r="1694" spans="1:2">
      <c r="A1694" s="77">
        <v>1694</v>
      </c>
      <c r="B1694" s="77" t="s">
        <v>1877</v>
      </c>
    </row>
    <row r="1695" spans="1:2">
      <c r="A1695" s="77">
        <v>1695</v>
      </c>
      <c r="B1695" s="77" t="s">
        <v>1878</v>
      </c>
    </row>
    <row r="1696" spans="1:2">
      <c r="A1696" s="77">
        <v>1696</v>
      </c>
      <c r="B1696" s="77" t="s">
        <v>1879</v>
      </c>
    </row>
    <row r="1697" spans="1:2">
      <c r="A1697" s="77">
        <v>1697</v>
      </c>
      <c r="B1697" s="77" t="s">
        <v>1880</v>
      </c>
    </row>
    <row r="1698" spans="1:2">
      <c r="A1698" s="77">
        <v>1698</v>
      </c>
      <c r="B1698" s="77" t="s">
        <v>1881</v>
      </c>
    </row>
    <row r="1699" spans="1:2">
      <c r="A1699" s="77">
        <v>1699</v>
      </c>
      <c r="B1699" s="77" t="s">
        <v>1882</v>
      </c>
    </row>
    <row r="1700" spans="1:2">
      <c r="A1700" s="77">
        <v>1700</v>
      </c>
      <c r="B1700" s="77" t="s">
        <v>1883</v>
      </c>
    </row>
    <row r="1701" spans="1:2">
      <c r="A1701" s="77">
        <v>1701</v>
      </c>
      <c r="B1701" s="77" t="s">
        <v>1884</v>
      </c>
    </row>
    <row r="1702" spans="1:2">
      <c r="A1702" s="77">
        <v>1702</v>
      </c>
      <c r="B1702" s="77" t="s">
        <v>1885</v>
      </c>
    </row>
    <row r="1703" spans="1:2">
      <c r="A1703" s="77">
        <v>1703</v>
      </c>
      <c r="B1703" s="77" t="s">
        <v>1886</v>
      </c>
    </row>
    <row r="1704" spans="1:2">
      <c r="A1704" s="77">
        <v>1704</v>
      </c>
      <c r="B1704" s="77" t="s">
        <v>1887</v>
      </c>
    </row>
    <row r="1705" spans="1:2">
      <c r="A1705" s="77">
        <v>1705</v>
      </c>
      <c r="B1705" s="77" t="s">
        <v>1888</v>
      </c>
    </row>
    <row r="1706" spans="1:2">
      <c r="A1706" s="77">
        <v>1706</v>
      </c>
      <c r="B1706" s="77" t="s">
        <v>1889</v>
      </c>
    </row>
    <row r="1707" spans="1:2">
      <c r="A1707" s="77">
        <v>1707</v>
      </c>
      <c r="B1707" s="77" t="s">
        <v>1890</v>
      </c>
    </row>
    <row r="1708" spans="1:2">
      <c r="A1708" s="77">
        <v>1708</v>
      </c>
      <c r="B1708" s="77" t="s">
        <v>1891</v>
      </c>
    </row>
    <row r="1709" spans="1:2">
      <c r="A1709" s="77">
        <v>1709</v>
      </c>
      <c r="B1709" s="77" t="s">
        <v>1892</v>
      </c>
    </row>
    <row r="1710" spans="1:2">
      <c r="A1710" s="77">
        <v>1710</v>
      </c>
      <c r="B1710" s="77" t="s">
        <v>1893</v>
      </c>
    </row>
    <row r="1711" spans="1:2">
      <c r="A1711" s="77">
        <v>1711</v>
      </c>
      <c r="B1711" s="77" t="s">
        <v>1894</v>
      </c>
    </row>
    <row r="1712" spans="1:2">
      <c r="A1712" s="77">
        <v>1712</v>
      </c>
      <c r="B1712" s="77" t="s">
        <v>1895</v>
      </c>
    </row>
    <row r="1713" spans="1:2">
      <c r="A1713" s="77">
        <v>1713</v>
      </c>
      <c r="B1713" s="77" t="s">
        <v>1896</v>
      </c>
    </row>
    <row r="1714" spans="1:2">
      <c r="A1714" s="77">
        <v>1714</v>
      </c>
      <c r="B1714" s="77" t="s">
        <v>1897</v>
      </c>
    </row>
    <row r="1715" spans="1:2">
      <c r="A1715" s="77">
        <v>1715</v>
      </c>
      <c r="B1715" s="77" t="s">
        <v>1898</v>
      </c>
    </row>
    <row r="1716" spans="1:2">
      <c r="A1716" s="77">
        <v>1716</v>
      </c>
      <c r="B1716" s="77" t="s">
        <v>1899</v>
      </c>
    </row>
    <row r="1717" spans="1:2">
      <c r="A1717" s="77">
        <v>1717</v>
      </c>
      <c r="B1717" s="77" t="s">
        <v>1900</v>
      </c>
    </row>
    <row r="1718" spans="1:2">
      <c r="A1718" s="77">
        <v>1718</v>
      </c>
      <c r="B1718" s="77" t="s">
        <v>1901</v>
      </c>
    </row>
    <row r="1719" spans="1:2">
      <c r="A1719" s="77">
        <v>1719</v>
      </c>
      <c r="B1719" s="77" t="s">
        <v>1902</v>
      </c>
    </row>
    <row r="1720" spans="1:2">
      <c r="A1720" s="77">
        <v>1720</v>
      </c>
      <c r="B1720" s="77" t="s">
        <v>1903</v>
      </c>
    </row>
    <row r="1721" spans="1:2">
      <c r="A1721" s="77">
        <v>1721</v>
      </c>
      <c r="B1721" s="77" t="s">
        <v>1904</v>
      </c>
    </row>
    <row r="1722" spans="1:2">
      <c r="A1722" s="77">
        <v>1722</v>
      </c>
      <c r="B1722" s="77" t="s">
        <v>1905</v>
      </c>
    </row>
    <row r="1723" spans="1:2">
      <c r="A1723" s="77">
        <v>1723</v>
      </c>
      <c r="B1723" s="77" t="s">
        <v>1906</v>
      </c>
    </row>
    <row r="1724" spans="1:2">
      <c r="A1724" s="77">
        <v>1724</v>
      </c>
      <c r="B1724" s="77" t="s">
        <v>1907</v>
      </c>
    </row>
    <row r="1725" spans="1:2">
      <c r="A1725" s="77">
        <v>1725</v>
      </c>
      <c r="B1725" s="77" t="s">
        <v>1908</v>
      </c>
    </row>
    <row r="1726" spans="1:2">
      <c r="A1726" s="77">
        <v>1726</v>
      </c>
      <c r="B1726" s="77" t="s">
        <v>1909</v>
      </c>
    </row>
    <row r="1727" spans="1:2">
      <c r="A1727" s="77">
        <v>1727</v>
      </c>
      <c r="B1727" s="77" t="s">
        <v>1910</v>
      </c>
    </row>
    <row r="1728" spans="1:2">
      <c r="A1728" s="77">
        <v>1728</v>
      </c>
      <c r="B1728" s="77" t="s">
        <v>1911</v>
      </c>
    </row>
    <row r="1729" spans="1:2">
      <c r="A1729" s="77">
        <v>1729</v>
      </c>
      <c r="B1729" s="77" t="s">
        <v>1912</v>
      </c>
    </row>
    <row r="1730" spans="1:2">
      <c r="A1730" s="77">
        <v>1730</v>
      </c>
      <c r="B1730" s="77" t="s">
        <v>1913</v>
      </c>
    </row>
    <row r="1731" spans="1:2">
      <c r="A1731" s="77">
        <v>1731</v>
      </c>
      <c r="B1731" s="77" t="s">
        <v>1914</v>
      </c>
    </row>
    <row r="1732" spans="1:2">
      <c r="A1732" s="77">
        <v>1732</v>
      </c>
      <c r="B1732" s="77" t="s">
        <v>1915</v>
      </c>
    </row>
    <row r="1733" spans="1:2">
      <c r="A1733" s="77">
        <v>1733</v>
      </c>
      <c r="B1733" s="77" t="s">
        <v>1916</v>
      </c>
    </row>
    <row r="1734" spans="1:2">
      <c r="A1734" s="77">
        <v>1734</v>
      </c>
      <c r="B1734" s="77" t="s">
        <v>1917</v>
      </c>
    </row>
    <row r="1735" spans="1:2">
      <c r="A1735" s="77">
        <v>1735</v>
      </c>
      <c r="B1735" s="77" t="s">
        <v>1918</v>
      </c>
    </row>
    <row r="1736" spans="1:2">
      <c r="A1736" s="77">
        <v>1736</v>
      </c>
      <c r="B1736" s="77" t="s">
        <v>1919</v>
      </c>
    </row>
    <row r="1737" spans="1:2">
      <c r="A1737" s="77">
        <v>1737</v>
      </c>
      <c r="B1737" s="77" t="s">
        <v>1920</v>
      </c>
    </row>
    <row r="1738" spans="1:2">
      <c r="A1738" s="77">
        <v>1738</v>
      </c>
      <c r="B1738" s="77" t="s">
        <v>1921</v>
      </c>
    </row>
    <row r="1739" spans="1:2">
      <c r="A1739" s="77">
        <v>1739</v>
      </c>
      <c r="B1739" s="77" t="s">
        <v>1922</v>
      </c>
    </row>
    <row r="1740" spans="1:2">
      <c r="A1740" s="77">
        <v>1740</v>
      </c>
      <c r="B1740" s="77" t="s">
        <v>1923</v>
      </c>
    </row>
    <row r="1741" spans="1:2">
      <c r="A1741" s="77">
        <v>1741</v>
      </c>
      <c r="B1741" s="77" t="s">
        <v>1924</v>
      </c>
    </row>
    <row r="1742" spans="1:2">
      <c r="A1742" s="77">
        <v>1742</v>
      </c>
      <c r="B1742" s="77" t="s">
        <v>1925</v>
      </c>
    </row>
    <row r="1743" spans="1:2">
      <c r="A1743" s="77">
        <v>1743</v>
      </c>
      <c r="B1743" s="77" t="s">
        <v>1926</v>
      </c>
    </row>
    <row r="1744" spans="1:2">
      <c r="A1744" s="77">
        <v>1744</v>
      </c>
      <c r="B1744" s="77" t="s">
        <v>1927</v>
      </c>
    </row>
    <row r="1745" spans="1:2">
      <c r="A1745" s="77">
        <v>1745</v>
      </c>
      <c r="B1745" s="77" t="s">
        <v>1928</v>
      </c>
    </row>
    <row r="1746" spans="1:2">
      <c r="A1746" s="77">
        <v>1746</v>
      </c>
      <c r="B1746" s="77" t="s">
        <v>1929</v>
      </c>
    </row>
    <row r="1747" spans="1:2">
      <c r="A1747" s="77">
        <v>1747</v>
      </c>
      <c r="B1747" s="77" t="s">
        <v>1930</v>
      </c>
    </row>
    <row r="1748" spans="1:2">
      <c r="A1748" s="77">
        <v>1748</v>
      </c>
      <c r="B1748" s="77" t="s">
        <v>1931</v>
      </c>
    </row>
    <row r="1749" spans="1:2">
      <c r="A1749" s="77">
        <v>1749</v>
      </c>
      <c r="B1749" s="77" t="s">
        <v>1932</v>
      </c>
    </row>
    <row r="1750" spans="1:2">
      <c r="A1750" s="77">
        <v>1750</v>
      </c>
      <c r="B1750" s="77" t="s">
        <v>1933</v>
      </c>
    </row>
    <row r="1751" spans="1:2">
      <c r="A1751" s="77">
        <v>1751</v>
      </c>
      <c r="B1751" s="77" t="s">
        <v>1934</v>
      </c>
    </row>
    <row r="1752" spans="1:2">
      <c r="A1752" s="77">
        <v>1752</v>
      </c>
      <c r="B1752" s="77" t="s">
        <v>1935</v>
      </c>
    </row>
    <row r="1753" spans="1:2">
      <c r="A1753" s="77">
        <v>1753</v>
      </c>
      <c r="B1753" s="77" t="s">
        <v>1936</v>
      </c>
    </row>
    <row r="1754" spans="1:2">
      <c r="A1754" s="77">
        <v>1754</v>
      </c>
      <c r="B1754" s="77" t="s">
        <v>1937</v>
      </c>
    </row>
    <row r="1755" spans="1:2">
      <c r="A1755" s="77">
        <v>1755</v>
      </c>
      <c r="B1755" s="77" t="s">
        <v>1938</v>
      </c>
    </row>
    <row r="1756" spans="1:2">
      <c r="A1756" s="77">
        <v>1756</v>
      </c>
      <c r="B1756" s="77" t="s">
        <v>1939</v>
      </c>
    </row>
    <row r="1757" spans="1:2">
      <c r="A1757" s="77">
        <v>1757</v>
      </c>
      <c r="B1757" s="77" t="s">
        <v>1940</v>
      </c>
    </row>
    <row r="1758" spans="1:2">
      <c r="A1758" s="77">
        <v>1758</v>
      </c>
      <c r="B1758" s="77" t="s">
        <v>1941</v>
      </c>
    </row>
    <row r="1759" spans="1:2">
      <c r="A1759" s="77">
        <v>1759</v>
      </c>
      <c r="B1759" s="77" t="s">
        <v>1942</v>
      </c>
    </row>
    <row r="1760" spans="1:2">
      <c r="A1760" s="77">
        <v>1760</v>
      </c>
      <c r="B1760" s="77" t="s">
        <v>1943</v>
      </c>
    </row>
    <row r="1761" spans="1:2">
      <c r="A1761" s="77">
        <v>1761</v>
      </c>
      <c r="B1761" s="77" t="s">
        <v>1944</v>
      </c>
    </row>
    <row r="1762" spans="1:2">
      <c r="A1762" s="77">
        <v>1762</v>
      </c>
      <c r="B1762" s="77" t="s">
        <v>1945</v>
      </c>
    </row>
    <row r="1763" spans="1:2">
      <c r="A1763" s="77">
        <v>1763</v>
      </c>
      <c r="B1763" s="77" t="s">
        <v>1946</v>
      </c>
    </row>
    <row r="1764" spans="1:2">
      <c r="A1764" s="77">
        <v>1764</v>
      </c>
      <c r="B1764" s="77" t="s">
        <v>1947</v>
      </c>
    </row>
  </sheetData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0254-007D-4D14-8C33-D1FE4AE69400}">
  <sheetPr codeName="Sheet15"/>
  <dimension ref="A1:R6"/>
  <sheetViews>
    <sheetView workbookViewId="0">
      <selection activeCell="B2" sqref="B2"/>
    </sheetView>
  </sheetViews>
  <sheetFormatPr defaultColWidth="8.75" defaultRowHeight="15.75"/>
  <cols>
    <col min="1" max="1" width="8.75" style="1"/>
    <col min="2" max="2" width="57.5" style="1" customWidth="1"/>
    <col min="3" max="3" width="21.125" style="1" bestFit="1" customWidth="1"/>
    <col min="4" max="4" width="15.25" style="1" bestFit="1" customWidth="1"/>
    <col min="5" max="5" width="19.375" style="1" bestFit="1" customWidth="1"/>
    <col min="6" max="6" width="19.875" style="1" bestFit="1" customWidth="1"/>
    <col min="7" max="7" width="21.25" style="1" bestFit="1" customWidth="1"/>
    <col min="8" max="8" width="25.25" style="1" bestFit="1" customWidth="1"/>
    <col min="9" max="9" width="22" style="1" bestFit="1" customWidth="1"/>
    <col min="10" max="10" width="21.25" style="1" bestFit="1" customWidth="1"/>
    <col min="11" max="11" width="24.75" style="1" bestFit="1" customWidth="1"/>
    <col min="12" max="13" width="22.25" style="1" bestFit="1" customWidth="1"/>
    <col min="14" max="14" width="22" style="1" bestFit="1" customWidth="1"/>
    <col min="15" max="15" width="21.5" style="1" bestFit="1" customWidth="1"/>
    <col min="16" max="16" width="21.25" style="1" bestFit="1" customWidth="1"/>
    <col min="17" max="16384" width="8.75" style="1"/>
  </cols>
  <sheetData>
    <row r="1" spans="1:18">
      <c r="C1" s="88" t="s">
        <v>1948</v>
      </c>
      <c r="D1" s="88" t="s">
        <v>1949</v>
      </c>
      <c r="E1" s="88" t="s">
        <v>1950</v>
      </c>
      <c r="F1" s="88" t="s">
        <v>1951</v>
      </c>
      <c r="G1" s="88" t="s">
        <v>1952</v>
      </c>
      <c r="H1" s="88" t="s">
        <v>1953</v>
      </c>
      <c r="I1" s="88" t="s">
        <v>1954</v>
      </c>
      <c r="J1" s="88" t="s">
        <v>1955</v>
      </c>
      <c r="K1" s="88" t="s">
        <v>1956</v>
      </c>
      <c r="L1" s="88" t="s">
        <v>1957</v>
      </c>
      <c r="M1" s="88" t="s">
        <v>1958</v>
      </c>
      <c r="N1" s="88" t="s">
        <v>1959</v>
      </c>
      <c r="O1" s="88" t="s">
        <v>1960</v>
      </c>
      <c r="P1" s="88" t="s">
        <v>1961</v>
      </c>
    </row>
    <row r="2" spans="1:18">
      <c r="A2" s="1">
        <v>11</v>
      </c>
      <c r="B2" s="1" t="s">
        <v>1962</v>
      </c>
      <c r="C2" s="1" t="str">
        <f>C$1&amp;$R2</f>
        <v>japanese_zenkan_renzoku</v>
      </c>
      <c r="D2" s="1" t="str">
        <f t="shared" ref="D2:P3" si="0">D$1&amp;$R2</f>
        <v>ld_zenkan_renzoku</v>
      </c>
      <c r="E2" s="1" t="str">
        <f t="shared" si="0"/>
        <v>kitchen_zenkan_renzoku</v>
      </c>
      <c r="F2" s="1" t="str">
        <f t="shared" si="0"/>
        <v>bath_zenkan_renzoku</v>
      </c>
      <c r="G2" s="1" t="str">
        <f t="shared" si="0"/>
        <v>wc_1f_zenkan_renzoku</v>
      </c>
      <c r="H2" s="1" t="str">
        <f t="shared" si="0"/>
        <v>washroom_zenkan_renzoku</v>
      </c>
      <c r="I2" s="1" t="str">
        <f t="shared" si="0"/>
        <v>hall_1f_zenkan_renzoku</v>
      </c>
      <c r="J2" s="1" t="str">
        <f t="shared" si="0"/>
        <v>closet_zenkan_renzoku</v>
      </c>
      <c r="K2" s="1" t="str">
        <f t="shared" si="0"/>
        <v>main_bed_zenkan_renzoku</v>
      </c>
      <c r="L2" s="1" t="str">
        <f t="shared" si="0"/>
        <v>child_1_zenkan_renzoku</v>
      </c>
      <c r="M2" s="1" t="str">
        <f t="shared" si="0"/>
        <v>child_2_zenkan_renzoku</v>
      </c>
      <c r="N2" s="1" t="str">
        <f t="shared" si="0"/>
        <v>hall_2f_zenkan_renzoku</v>
      </c>
      <c r="O2" s="1" t="str">
        <f t="shared" si="0"/>
        <v>kaima_zenkan_renzoku</v>
      </c>
      <c r="P2" s="1" t="str">
        <f t="shared" si="0"/>
        <v>wc_2f_zenkan_renzoku</v>
      </c>
      <c r="R2" s="1" t="s">
        <v>1963</v>
      </c>
    </row>
    <row r="3" spans="1:18">
      <c r="A3" s="1">
        <v>12</v>
      </c>
      <c r="B3" s="1" t="s">
        <v>1964</v>
      </c>
      <c r="C3" s="1" t="str">
        <f>C$1&amp;$R3</f>
        <v>japanese_kyoshitsu_kanketsu</v>
      </c>
      <c r="D3" s="1" t="str">
        <f t="shared" si="0"/>
        <v>ld_kyoshitsu_kanketsu</v>
      </c>
      <c r="E3" s="1" t="str">
        <f t="shared" si="0"/>
        <v>kitchen_kyoshitsu_kanketsu</v>
      </c>
      <c r="F3" s="1" t="str">
        <f t="shared" si="0"/>
        <v>bath_kyoshitsu_kanketsu</v>
      </c>
      <c r="G3" s="1" t="str">
        <f t="shared" si="0"/>
        <v>wc_1f_kyoshitsu_kanketsu</v>
      </c>
      <c r="H3" s="1" t="str">
        <f t="shared" si="0"/>
        <v>washroom_kyoshitsu_kanketsu</v>
      </c>
      <c r="I3" s="1" t="str">
        <f t="shared" si="0"/>
        <v>hall_1f_kyoshitsu_kanketsu</v>
      </c>
      <c r="J3" s="1" t="str">
        <f t="shared" si="0"/>
        <v>closet_kyoshitsu_kanketsu</v>
      </c>
      <c r="K3" s="1" t="str">
        <f>K$1&amp;$R3</f>
        <v>main_bed_kyoshitsu_kanketsu</v>
      </c>
      <c r="L3" s="1" t="str">
        <f>L$1&amp;$R3</f>
        <v>child_1_kyoshitsu_kanketsu</v>
      </c>
      <c r="M3" s="1" t="str">
        <f>M$1&amp;$R3</f>
        <v>child_2_kyoshitsu_kanketsu</v>
      </c>
      <c r="N3" s="1" t="str">
        <f t="shared" si="0"/>
        <v>hall_2f_kyoshitsu_kanketsu</v>
      </c>
      <c r="O3" s="1" t="str">
        <f t="shared" si="0"/>
        <v>kaima_kyoshitsu_kanketsu</v>
      </c>
      <c r="P3" s="1" t="str">
        <f t="shared" si="0"/>
        <v>wc_2f_kyoshitsu_kanketsu</v>
      </c>
      <c r="R3" s="1" t="s">
        <v>1965</v>
      </c>
    </row>
    <row r="4" spans="1:18">
      <c r="A4" s="1">
        <v>13</v>
      </c>
      <c r="B4" s="1" t="s">
        <v>1966</v>
      </c>
      <c r="C4" s="1" t="str">
        <f>C$1&amp;$R4</f>
        <v>japanese_kyoshitsu_renzoku</v>
      </c>
      <c r="D4" s="1" t="str">
        <f t="shared" ref="D4:P4" si="1">D$1&amp;$R4</f>
        <v>ld_kyoshitsu_renzoku</v>
      </c>
      <c r="E4" s="1" t="str">
        <f t="shared" si="1"/>
        <v>kitchen_kyoshitsu_renzoku</v>
      </c>
      <c r="F4" s="1" t="str">
        <f t="shared" si="1"/>
        <v>bath_kyoshitsu_renzoku</v>
      </c>
      <c r="G4" s="1" t="str">
        <f t="shared" si="1"/>
        <v>wc_1f_kyoshitsu_renzoku</v>
      </c>
      <c r="H4" s="1" t="str">
        <f t="shared" si="1"/>
        <v>washroom_kyoshitsu_renzoku</v>
      </c>
      <c r="I4" s="1" t="str">
        <f t="shared" si="1"/>
        <v>hall_1f_kyoshitsu_renzoku</v>
      </c>
      <c r="J4" s="1" t="str">
        <f t="shared" si="1"/>
        <v>closet_kyoshitsu_renzoku</v>
      </c>
      <c r="K4" s="1" t="str">
        <f t="shared" si="1"/>
        <v>main_bed_kyoshitsu_renzoku</v>
      </c>
      <c r="L4" s="1" t="str">
        <f t="shared" si="1"/>
        <v>child_1_kyoshitsu_renzoku</v>
      </c>
      <c r="M4" s="1" t="str">
        <f t="shared" si="1"/>
        <v>child_2_kyoshitsu_renzoku</v>
      </c>
      <c r="N4" s="1" t="str">
        <f t="shared" si="1"/>
        <v>hall_2f_kyoshitsu_renzoku</v>
      </c>
      <c r="O4" s="1" t="str">
        <f t="shared" si="1"/>
        <v>kaima_kyoshitsu_renzoku</v>
      </c>
      <c r="P4" s="1" t="str">
        <f t="shared" si="1"/>
        <v>wc_2f_kyoshitsu_renzoku</v>
      </c>
      <c r="R4" s="1" t="s">
        <v>1967</v>
      </c>
    </row>
    <row r="5" spans="1:18">
      <c r="A5" s="1">
        <v>15</v>
      </c>
      <c r="B5" s="1" t="s">
        <v>1968</v>
      </c>
      <c r="C5" s="1" t="str">
        <f>C$1&amp;$R5</f>
        <v>japanese_LDK_rendoku</v>
      </c>
      <c r="D5" s="1" t="str">
        <f t="shared" ref="D5:P6" si="2">D$1&amp;$R5</f>
        <v>ld_LDK_rendoku</v>
      </c>
      <c r="E5" s="1" t="str">
        <f t="shared" si="2"/>
        <v>kitchen_LDK_rendoku</v>
      </c>
      <c r="F5" s="1" t="str">
        <f t="shared" si="2"/>
        <v>bath_LDK_rendoku</v>
      </c>
      <c r="G5" s="1" t="str">
        <f t="shared" si="2"/>
        <v>wc_1f_LDK_rendoku</v>
      </c>
      <c r="H5" s="1" t="str">
        <f t="shared" si="2"/>
        <v>washroom_LDK_rendoku</v>
      </c>
      <c r="I5" s="1" t="str">
        <f t="shared" si="2"/>
        <v>hall_1f_LDK_rendoku</v>
      </c>
      <c r="J5" s="1" t="str">
        <f t="shared" si="2"/>
        <v>closet_LDK_rendoku</v>
      </c>
      <c r="K5" s="1" t="str">
        <f t="shared" si="2"/>
        <v>main_bed_LDK_rendoku</v>
      </c>
      <c r="L5" s="1" t="str">
        <f t="shared" si="2"/>
        <v>child_1_LDK_rendoku</v>
      </c>
      <c r="M5" s="1" t="str">
        <f t="shared" si="2"/>
        <v>child_2_LDK_rendoku</v>
      </c>
      <c r="N5" s="1" t="str">
        <f t="shared" si="2"/>
        <v>hall_2f_LDK_rendoku</v>
      </c>
      <c r="O5" s="1" t="str">
        <f t="shared" si="2"/>
        <v>kaima_LDK_rendoku</v>
      </c>
      <c r="P5" s="1" t="str">
        <f t="shared" si="2"/>
        <v>wc_2f_LDK_rendoku</v>
      </c>
      <c r="R5" s="1" t="s">
        <v>1969</v>
      </c>
    </row>
    <row r="6" spans="1:18">
      <c r="A6" s="1">
        <v>16</v>
      </c>
      <c r="B6" s="1" t="s">
        <v>1970</v>
      </c>
      <c r="C6" s="1" t="str">
        <f>C$1&amp;$R6</f>
        <v>japanese_LDK_kanketsu</v>
      </c>
      <c r="D6" s="1" t="str">
        <f t="shared" si="2"/>
        <v>ld_LDK_kanketsu</v>
      </c>
      <c r="E6" s="1" t="str">
        <f t="shared" si="2"/>
        <v>kitchen_LDK_kanketsu</v>
      </c>
      <c r="F6" s="1" t="str">
        <f t="shared" si="2"/>
        <v>bath_LDK_kanketsu</v>
      </c>
      <c r="G6" s="1" t="str">
        <f t="shared" si="2"/>
        <v>wc_1f_LDK_kanketsu</v>
      </c>
      <c r="H6" s="1" t="str">
        <f t="shared" si="2"/>
        <v>washroom_LDK_kanketsu</v>
      </c>
      <c r="I6" s="1" t="str">
        <f t="shared" si="2"/>
        <v>hall_1f_LDK_kanketsu</v>
      </c>
      <c r="J6" s="1" t="str">
        <f t="shared" si="2"/>
        <v>closet_LDK_kanketsu</v>
      </c>
      <c r="K6" s="1" t="str">
        <f t="shared" si="2"/>
        <v>main_bed_LDK_kanketsu</v>
      </c>
      <c r="L6" s="1" t="str">
        <f t="shared" si="2"/>
        <v>child_1_LDK_kanketsu</v>
      </c>
      <c r="M6" s="1" t="str">
        <f t="shared" si="2"/>
        <v>child_2_LDK_kanketsu</v>
      </c>
      <c r="N6" s="1" t="str">
        <f t="shared" si="2"/>
        <v>hall_2f_LDK_kanketsu</v>
      </c>
      <c r="O6" s="1" t="str">
        <f t="shared" si="2"/>
        <v>kaima_LDK_kanketsu</v>
      </c>
      <c r="P6" s="1" t="str">
        <f t="shared" si="2"/>
        <v>wc_2f_LDK_kanketsu</v>
      </c>
      <c r="R6" s="1" t="s">
        <v>1971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546A-53AC-4B7E-AB38-F48C8647CB0B}">
  <sheetPr codeName="Sheet16"/>
  <dimension ref="A1:P72"/>
  <sheetViews>
    <sheetView workbookViewId="0">
      <pane xSplit="4" ySplit="2" topLeftCell="E54" activePane="bottomRight" state="frozen"/>
      <selection pane="topRight" activeCell="E1" sqref="E1"/>
      <selection pane="bottomLeft" activeCell="A3" sqref="A3"/>
      <selection pane="bottomRight" activeCell="I59" sqref="I59:I72"/>
    </sheetView>
  </sheetViews>
  <sheetFormatPr defaultRowHeight="18.75"/>
  <cols>
    <col min="1" max="1" width="7.5" style="74" bestFit="1" customWidth="1"/>
    <col min="2" max="2" width="3" style="74" bestFit="1" customWidth="1"/>
    <col min="3" max="3" width="7.125" style="74" bestFit="1" customWidth="1"/>
    <col min="4" max="4" width="13" style="74" bestFit="1" customWidth="1"/>
    <col min="5" max="5" width="7.75" style="74" bestFit="1" customWidth="1"/>
    <col min="6" max="6" width="8" style="74" bestFit="1" customWidth="1"/>
    <col min="8" max="8" width="11.75" style="74" bestFit="1" customWidth="1"/>
    <col min="9" max="9" width="18.75" style="74" bestFit="1" customWidth="1"/>
    <col min="13" max="13" width="15.25" customWidth="1"/>
  </cols>
  <sheetData>
    <row r="1" spans="1:16" ht="7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71</v>
      </c>
      <c r="F1" s="73" t="s">
        <v>1972</v>
      </c>
      <c r="G1" s="73" t="s">
        <v>1973</v>
      </c>
      <c r="H1" s="72" t="s">
        <v>137</v>
      </c>
      <c r="I1" s="72" t="s">
        <v>75</v>
      </c>
      <c r="K1" s="80" t="s">
        <v>1974</v>
      </c>
      <c r="L1" s="80" t="s">
        <v>1975</v>
      </c>
      <c r="M1" s="80" t="s">
        <v>1976</v>
      </c>
      <c r="N1" s="80" t="s">
        <v>1977</v>
      </c>
    </row>
    <row r="2" spans="1:16">
      <c r="A2" s="72" t="s">
        <v>48</v>
      </c>
      <c r="B2" s="75">
        <v>0</v>
      </c>
      <c r="C2" s="75" t="s">
        <v>79</v>
      </c>
      <c r="D2" s="75" t="s">
        <v>2222</v>
      </c>
      <c r="E2" s="75">
        <f ca="1">OFFSET(rooms!$B$2,MATCH(D2,rooms!$D$2:$D$19,0)-1,0)</f>
        <v>2</v>
      </c>
      <c r="F2" s="75">
        <v>2.1800000000000002</v>
      </c>
      <c r="G2" s="81">
        <f>F2+M2</f>
        <v>2.1800000000000002</v>
      </c>
      <c r="H2" s="75" t="s">
        <v>77</v>
      </c>
      <c r="I2" s="75" t="s">
        <v>78</v>
      </c>
      <c r="K2">
        <v>0</v>
      </c>
      <c r="L2">
        <v>0</v>
      </c>
      <c r="M2">
        <f>K2-L2</f>
        <v>0</v>
      </c>
      <c r="P2" t="str">
        <f>計算条件!F3</f>
        <v>温暖地</v>
      </c>
    </row>
    <row r="3" spans="1:16">
      <c r="A3" s="72" t="s">
        <v>49</v>
      </c>
      <c r="B3" s="75">
        <v>1</v>
      </c>
      <c r="C3" s="75" t="s">
        <v>79</v>
      </c>
      <c r="D3" s="75" t="s">
        <v>2222</v>
      </c>
      <c r="E3" s="75">
        <f ca="1">OFFSET(rooms!$B$2,MATCH(D3,rooms!$D$2:$D$19,0)-1,0)</f>
        <v>2</v>
      </c>
      <c r="F3" s="75">
        <v>2.1800000000000002</v>
      </c>
      <c r="G3" s="81">
        <f t="shared" ref="G3:G57" si="0">F3+M3</f>
        <v>2.1800000000000002</v>
      </c>
      <c r="H3" s="75" t="s">
        <v>77</v>
      </c>
      <c r="I3" s="75" t="s">
        <v>78</v>
      </c>
      <c r="K3">
        <v>0</v>
      </c>
      <c r="L3">
        <v>0</v>
      </c>
      <c r="M3">
        <f>K3-L3</f>
        <v>0</v>
      </c>
    </row>
    <row r="4" spans="1:16">
      <c r="A4" s="72" t="s">
        <v>50</v>
      </c>
      <c r="B4" s="75">
        <v>2</v>
      </c>
      <c r="C4" s="75" t="s">
        <v>79</v>
      </c>
      <c r="D4" s="75" t="s">
        <v>2220</v>
      </c>
      <c r="E4" s="75">
        <f ca="1">OFFSET(rooms!$B$2,MATCH(D4,rooms!$D$2:$D$19,0)-1,0)</f>
        <v>0</v>
      </c>
      <c r="F4" s="75">
        <v>6.59</v>
      </c>
      <c r="G4" s="81">
        <f t="shared" si="0"/>
        <v>6.59</v>
      </c>
      <c r="H4" s="75" t="s">
        <v>77</v>
      </c>
      <c r="I4" s="75" t="s">
        <v>78</v>
      </c>
      <c r="K4">
        <v>2.15</v>
      </c>
      <c r="L4">
        <v>2.15</v>
      </c>
      <c r="M4">
        <f>K4-L4</f>
        <v>0</v>
      </c>
    </row>
    <row r="5" spans="1:16">
      <c r="A5" s="72" t="s">
        <v>51</v>
      </c>
      <c r="B5" s="75">
        <v>3</v>
      </c>
      <c r="C5" s="75" t="s">
        <v>79</v>
      </c>
      <c r="D5" s="75" t="s">
        <v>20</v>
      </c>
      <c r="E5" s="75">
        <f ca="1">OFFSET(rooms!$B$2,MATCH(D5,rooms!$D$2:$D$19,0)-1,0)</f>
        <v>3</v>
      </c>
      <c r="F5" s="75">
        <v>2.73</v>
      </c>
      <c r="G5" s="81">
        <f t="shared" si="0"/>
        <v>2.73</v>
      </c>
      <c r="H5" s="75" t="s">
        <v>77</v>
      </c>
      <c r="I5" s="75" t="s">
        <v>78</v>
      </c>
      <c r="K5">
        <v>0</v>
      </c>
      <c r="L5">
        <v>0</v>
      </c>
      <c r="M5">
        <f>K5-L5</f>
        <v>0</v>
      </c>
    </row>
    <row r="6" spans="1:16">
      <c r="A6" s="72" t="s">
        <v>52</v>
      </c>
      <c r="B6" s="75">
        <v>4</v>
      </c>
      <c r="C6" s="75" t="s">
        <v>79</v>
      </c>
      <c r="D6" s="75" t="s">
        <v>2221</v>
      </c>
      <c r="E6" s="75">
        <f ca="1">OFFSET(rooms!$B$2,MATCH(D6,rooms!$D$2:$D$19,0)-1,0)</f>
        <v>1</v>
      </c>
      <c r="F6" s="76">
        <v>8.08</v>
      </c>
      <c r="G6" s="82">
        <f t="shared" si="0"/>
        <v>8.39</v>
      </c>
      <c r="H6" s="75" t="s">
        <v>77</v>
      </c>
      <c r="I6" s="75" t="s">
        <v>78</v>
      </c>
      <c r="K6">
        <v>0.66</v>
      </c>
      <c r="L6">
        <v>0.35</v>
      </c>
      <c r="M6">
        <f>K6-L6</f>
        <v>0.31000000000000005</v>
      </c>
    </row>
    <row r="7" spans="1:16">
      <c r="A7" s="72" t="s">
        <v>53</v>
      </c>
      <c r="B7" s="75">
        <v>5</v>
      </c>
      <c r="C7" s="75" t="s">
        <v>79</v>
      </c>
      <c r="D7" s="75" t="s">
        <v>2220</v>
      </c>
      <c r="E7" s="75">
        <f ca="1">OFFSET(rooms!$B$2,MATCH(D7,rooms!$D$2:$D$19,0)-1,0)</f>
        <v>0</v>
      </c>
      <c r="F7" s="76">
        <v>7.48</v>
      </c>
      <c r="G7" s="82">
        <f t="shared" si="0"/>
        <v>7.86</v>
      </c>
      <c r="H7" s="75" t="s">
        <v>77</v>
      </c>
      <c r="I7" s="75" t="s">
        <v>78</v>
      </c>
      <c r="K7">
        <v>0.98</v>
      </c>
      <c r="L7">
        <v>0.6</v>
      </c>
      <c r="M7">
        <f t="shared" ref="M7:M57" si="1">K7-L7</f>
        <v>0.38</v>
      </c>
    </row>
    <row r="8" spans="1:16">
      <c r="A8" s="72" t="s">
        <v>54</v>
      </c>
      <c r="B8" s="75">
        <v>6</v>
      </c>
      <c r="C8" s="75" t="s">
        <v>79</v>
      </c>
      <c r="D8" s="75" t="s">
        <v>2222</v>
      </c>
      <c r="E8" s="75">
        <f ca="1">OFFSET(rooms!$B$2,MATCH(D8,rooms!$D$2:$D$19,0)-1,0)</f>
        <v>2</v>
      </c>
      <c r="F8" s="76">
        <v>1.51</v>
      </c>
      <c r="G8" s="82">
        <f t="shared" si="0"/>
        <v>1.7000000000000002</v>
      </c>
      <c r="H8" s="75" t="s">
        <v>77</v>
      </c>
      <c r="I8" s="75" t="s">
        <v>80</v>
      </c>
      <c r="K8">
        <v>0.54</v>
      </c>
      <c r="L8">
        <v>0.35</v>
      </c>
      <c r="M8">
        <f t="shared" si="1"/>
        <v>0.19000000000000006</v>
      </c>
    </row>
    <row r="9" spans="1:16">
      <c r="A9" s="72" t="s">
        <v>55</v>
      </c>
      <c r="B9" s="75">
        <v>7</v>
      </c>
      <c r="C9" s="75" t="s">
        <v>79</v>
      </c>
      <c r="D9" s="75" t="s">
        <v>2222</v>
      </c>
      <c r="E9" s="75">
        <f ca="1">OFFSET(rooms!$B$2,MATCH(D9,rooms!$D$2:$D$19,0)-1,0)</f>
        <v>2</v>
      </c>
      <c r="F9" s="76">
        <v>10.34</v>
      </c>
      <c r="G9" s="82">
        <f t="shared" si="0"/>
        <v>10.49</v>
      </c>
      <c r="H9" s="75" t="s">
        <v>77</v>
      </c>
      <c r="I9" s="75" t="s">
        <v>80</v>
      </c>
      <c r="K9">
        <v>0.99</v>
      </c>
      <c r="L9">
        <v>0.84</v>
      </c>
      <c r="M9">
        <f t="shared" si="1"/>
        <v>0.15000000000000002</v>
      </c>
    </row>
    <row r="10" spans="1:16">
      <c r="A10" s="72" t="s">
        <v>56</v>
      </c>
      <c r="B10" s="75">
        <v>8</v>
      </c>
      <c r="C10" s="75" t="s">
        <v>79</v>
      </c>
      <c r="D10" s="75" t="s">
        <v>2222</v>
      </c>
      <c r="E10" s="75">
        <f ca="1">OFFSET(rooms!$B$2,MATCH(D10,rooms!$D$2:$D$19,0)-1,0)</f>
        <v>2</v>
      </c>
      <c r="F10" s="76">
        <v>3.58</v>
      </c>
      <c r="G10" s="82">
        <f t="shared" si="0"/>
        <v>3.77</v>
      </c>
      <c r="H10" s="75" t="s">
        <v>77</v>
      </c>
      <c r="I10" s="75" t="s">
        <v>80</v>
      </c>
      <c r="K10">
        <v>0.54</v>
      </c>
      <c r="L10">
        <v>0.35</v>
      </c>
      <c r="M10">
        <f t="shared" si="1"/>
        <v>0.19000000000000006</v>
      </c>
    </row>
    <row r="11" spans="1:16">
      <c r="A11" s="72" t="s">
        <v>57</v>
      </c>
      <c r="B11" s="75">
        <v>9</v>
      </c>
      <c r="C11" s="75" t="s">
        <v>79</v>
      </c>
      <c r="D11" s="75" t="s">
        <v>2222</v>
      </c>
      <c r="E11" s="75">
        <f ca="1">OFFSET(rooms!$B$2,MATCH(D11,rooms!$D$2:$D$19,0)-1,0)</f>
        <v>2</v>
      </c>
      <c r="F11" s="75">
        <v>6.55</v>
      </c>
      <c r="G11" s="81">
        <f t="shared" si="0"/>
        <v>6.55</v>
      </c>
      <c r="H11" s="75" t="s">
        <v>77</v>
      </c>
      <c r="I11" s="75" t="s">
        <v>80</v>
      </c>
      <c r="K11">
        <v>0</v>
      </c>
      <c r="L11">
        <v>0</v>
      </c>
      <c r="M11">
        <f t="shared" si="1"/>
        <v>0</v>
      </c>
    </row>
    <row r="12" spans="1:16">
      <c r="A12" s="72" t="s">
        <v>58</v>
      </c>
      <c r="B12" s="75">
        <v>10</v>
      </c>
      <c r="C12" s="75" t="s">
        <v>79</v>
      </c>
      <c r="D12" s="75" t="s">
        <v>2222</v>
      </c>
      <c r="E12" s="75">
        <f ca="1">OFFSET(rooms!$B$2,MATCH(D12,rooms!$D$2:$D$19,0)-1,0)</f>
        <v>2</v>
      </c>
      <c r="F12" s="76">
        <v>3.55</v>
      </c>
      <c r="G12" s="82">
        <f t="shared" si="0"/>
        <v>3.7399999999999998</v>
      </c>
      <c r="H12" s="75" t="s">
        <v>77</v>
      </c>
      <c r="I12" s="75" t="s">
        <v>80</v>
      </c>
      <c r="K12">
        <v>0.54</v>
      </c>
      <c r="L12">
        <v>0.35</v>
      </c>
      <c r="M12">
        <f t="shared" si="1"/>
        <v>0.19000000000000006</v>
      </c>
    </row>
    <row r="13" spans="1:16">
      <c r="A13" s="72" t="s">
        <v>59</v>
      </c>
      <c r="B13" s="75">
        <v>11</v>
      </c>
      <c r="C13" s="75" t="s">
        <v>79</v>
      </c>
      <c r="D13" s="75" t="s">
        <v>2222</v>
      </c>
      <c r="E13" s="75">
        <f ca="1">OFFSET(rooms!$B$2,MATCH(D13,rooms!$D$2:$D$19,0)-1,0)</f>
        <v>2</v>
      </c>
      <c r="F13" s="79">
        <v>2.74</v>
      </c>
      <c r="G13" s="81">
        <f t="shared" si="0"/>
        <v>2.74</v>
      </c>
      <c r="H13" s="75" t="s">
        <v>77</v>
      </c>
      <c r="I13" s="75" t="s">
        <v>80</v>
      </c>
      <c r="K13">
        <v>0</v>
      </c>
      <c r="L13">
        <v>0</v>
      </c>
      <c r="M13">
        <f t="shared" si="1"/>
        <v>0</v>
      </c>
    </row>
    <row r="14" spans="1:16">
      <c r="A14" s="72" t="s">
        <v>60</v>
      </c>
      <c r="B14" s="75">
        <v>12</v>
      </c>
      <c r="C14" s="75" t="s">
        <v>79</v>
      </c>
      <c r="D14" s="75" t="s">
        <v>20</v>
      </c>
      <c r="E14" s="75">
        <f ca="1">OFFSET(rooms!$B$2,MATCH(D14,rooms!$D$2:$D$19,0)-1,0)</f>
        <v>3</v>
      </c>
      <c r="F14" s="75">
        <v>1.37</v>
      </c>
      <c r="G14" s="81">
        <f t="shared" si="0"/>
        <v>1.37</v>
      </c>
      <c r="H14" s="75" t="s">
        <v>77</v>
      </c>
      <c r="I14" s="75" t="s">
        <v>80</v>
      </c>
      <c r="K14">
        <v>0</v>
      </c>
      <c r="L14">
        <v>0</v>
      </c>
      <c r="M14">
        <f t="shared" si="1"/>
        <v>0</v>
      </c>
    </row>
    <row r="15" spans="1:16">
      <c r="A15" s="72" t="s">
        <v>63</v>
      </c>
      <c r="B15" s="75">
        <v>13</v>
      </c>
      <c r="C15" s="75" t="s">
        <v>79</v>
      </c>
      <c r="D15" s="75" t="s">
        <v>2222</v>
      </c>
      <c r="E15" s="75">
        <f ca="1">OFFSET(rooms!$B$2,MATCH(D15,rooms!$D$2:$D$19,0)-1,0)</f>
        <v>2</v>
      </c>
      <c r="F15" s="76">
        <v>3.56</v>
      </c>
      <c r="G15" s="82">
        <f t="shared" si="0"/>
        <v>3.75</v>
      </c>
      <c r="H15" s="75" t="s">
        <v>77</v>
      </c>
      <c r="I15" s="75" t="s">
        <v>80</v>
      </c>
      <c r="K15">
        <v>0.54</v>
      </c>
      <c r="L15">
        <v>0.35</v>
      </c>
      <c r="M15">
        <f t="shared" si="1"/>
        <v>0.19000000000000006</v>
      </c>
    </row>
    <row r="16" spans="1:16">
      <c r="A16" s="72" t="s">
        <v>64</v>
      </c>
      <c r="B16" s="75">
        <v>14</v>
      </c>
      <c r="C16" s="75" t="s">
        <v>79</v>
      </c>
      <c r="D16" s="75" t="s">
        <v>2220</v>
      </c>
      <c r="E16" s="75">
        <f ca="1">OFFSET(rooms!$B$2,MATCH(D16,rooms!$D$2:$D$19,0)-1,0)</f>
        <v>0</v>
      </c>
      <c r="F16" s="76">
        <v>3.5</v>
      </c>
      <c r="G16" s="82">
        <f t="shared" si="0"/>
        <v>3.77</v>
      </c>
      <c r="H16" s="75" t="s">
        <v>77</v>
      </c>
      <c r="I16" s="75" t="s">
        <v>80</v>
      </c>
      <c r="K16">
        <v>1.62</v>
      </c>
      <c r="L16">
        <v>1.35</v>
      </c>
      <c r="M16">
        <f t="shared" si="1"/>
        <v>0.27</v>
      </c>
      <c r="N16" t="s">
        <v>1978</v>
      </c>
    </row>
    <row r="17" spans="1:14">
      <c r="A17" s="72" t="s">
        <v>67</v>
      </c>
      <c r="B17" s="75">
        <v>15</v>
      </c>
      <c r="C17" s="75" t="s">
        <v>79</v>
      </c>
      <c r="D17" s="75" t="s">
        <v>2222</v>
      </c>
      <c r="E17" s="75">
        <f ca="1">OFFSET(rooms!$B$2,MATCH(D17,rooms!$D$2:$D$19,0)-1,0)</f>
        <v>2</v>
      </c>
      <c r="F17" s="75">
        <v>4.0999999999999996</v>
      </c>
      <c r="G17" s="81">
        <f t="shared" si="0"/>
        <v>4.0999999999999996</v>
      </c>
      <c r="H17" s="75" t="s">
        <v>77</v>
      </c>
      <c r="I17" s="75" t="s">
        <v>80</v>
      </c>
      <c r="K17">
        <v>0</v>
      </c>
      <c r="L17">
        <v>0</v>
      </c>
      <c r="M17">
        <f t="shared" si="1"/>
        <v>0</v>
      </c>
    </row>
    <row r="18" spans="1:14">
      <c r="A18" s="72" t="s">
        <v>69</v>
      </c>
      <c r="B18" s="75">
        <v>16</v>
      </c>
      <c r="C18" s="75" t="s">
        <v>79</v>
      </c>
      <c r="D18" s="75" t="s">
        <v>2222</v>
      </c>
      <c r="E18" s="75">
        <f ca="1">OFFSET(rooms!$B$2,MATCH(D18,rooms!$D$2:$D$19,0)-1,0)</f>
        <v>2</v>
      </c>
      <c r="F18" s="75">
        <v>2.1800000000000002</v>
      </c>
      <c r="G18" s="81">
        <f t="shared" si="0"/>
        <v>2.1800000000000002</v>
      </c>
      <c r="H18" s="75" t="s">
        <v>77</v>
      </c>
      <c r="I18" s="75" t="s">
        <v>80</v>
      </c>
      <c r="K18">
        <v>0</v>
      </c>
      <c r="L18">
        <v>0</v>
      </c>
      <c r="M18">
        <f t="shared" si="1"/>
        <v>0</v>
      </c>
    </row>
    <row r="19" spans="1:14">
      <c r="A19" s="72" t="s">
        <v>81</v>
      </c>
      <c r="B19" s="75">
        <v>17</v>
      </c>
      <c r="C19" s="75" t="s">
        <v>79</v>
      </c>
      <c r="D19" s="75" t="s">
        <v>2220</v>
      </c>
      <c r="E19" s="75">
        <f ca="1">OFFSET(rooms!$B$2,MATCH(D19,rooms!$D$2:$D$19,0)-1,0)</f>
        <v>0</v>
      </c>
      <c r="F19" s="76">
        <v>7.27</v>
      </c>
      <c r="G19" s="82">
        <f t="shared" si="0"/>
        <v>9.09</v>
      </c>
      <c r="H19" s="75" t="s">
        <v>77</v>
      </c>
      <c r="I19" s="75" t="s">
        <v>82</v>
      </c>
      <c r="K19">
        <f>3.47+3.47</f>
        <v>6.94</v>
      </c>
      <c r="L19">
        <f>2.97+2.15</f>
        <v>5.12</v>
      </c>
      <c r="M19">
        <f t="shared" si="1"/>
        <v>1.8200000000000003</v>
      </c>
    </row>
    <row r="20" spans="1:14">
      <c r="A20" s="72" t="s">
        <v>83</v>
      </c>
      <c r="B20" s="75">
        <v>18</v>
      </c>
      <c r="C20" s="75" t="s">
        <v>79</v>
      </c>
      <c r="D20" s="75" t="s">
        <v>20</v>
      </c>
      <c r="E20" s="75">
        <f ca="1">OFFSET(rooms!$B$2,MATCH(D20,rooms!$D$2:$D$19,0)-1,0)</f>
        <v>3</v>
      </c>
      <c r="F20" s="75">
        <v>4.78</v>
      </c>
      <c r="G20" s="81">
        <f t="shared" si="0"/>
        <v>4.78</v>
      </c>
      <c r="H20" s="75" t="s">
        <v>77</v>
      </c>
      <c r="I20" s="75" t="s">
        <v>82</v>
      </c>
      <c r="K20">
        <v>0</v>
      </c>
      <c r="L20">
        <v>0</v>
      </c>
      <c r="M20">
        <f t="shared" si="1"/>
        <v>0</v>
      </c>
    </row>
    <row r="21" spans="1:14">
      <c r="A21" s="72" t="s">
        <v>84</v>
      </c>
      <c r="B21" s="75">
        <v>19</v>
      </c>
      <c r="C21" s="75" t="s">
        <v>79</v>
      </c>
      <c r="D21" s="75" t="s">
        <v>2221</v>
      </c>
      <c r="E21" s="75">
        <f ca="1">OFFSET(rooms!$B$2,MATCH(D21,rooms!$D$2:$D$19,0)-1,0)</f>
        <v>1</v>
      </c>
      <c r="F21" s="76">
        <v>3.88</v>
      </c>
      <c r="G21" s="82">
        <f t="shared" si="0"/>
        <v>4.13</v>
      </c>
      <c r="H21" s="75" t="s">
        <v>77</v>
      </c>
      <c r="I21" s="75" t="s">
        <v>82</v>
      </c>
      <c r="K21">
        <v>3.22</v>
      </c>
      <c r="L21">
        <v>2.97</v>
      </c>
      <c r="M21">
        <f t="shared" si="1"/>
        <v>0.25</v>
      </c>
    </row>
    <row r="22" spans="1:14">
      <c r="A22" s="72" t="s">
        <v>85</v>
      </c>
      <c r="B22" s="75">
        <v>20</v>
      </c>
      <c r="C22" s="75" t="s">
        <v>79</v>
      </c>
      <c r="D22" s="75" t="s">
        <v>2221</v>
      </c>
      <c r="E22" s="75">
        <f ca="1">OFFSET(rooms!$B$2,MATCH(D22,rooms!$D$2:$D$19,0)-1,0)</f>
        <v>1</v>
      </c>
      <c r="F22" s="76">
        <v>3.88</v>
      </c>
      <c r="G22" s="82">
        <f t="shared" si="0"/>
        <v>4.13</v>
      </c>
      <c r="H22" s="75" t="s">
        <v>77</v>
      </c>
      <c r="I22" s="75" t="s">
        <v>82</v>
      </c>
      <c r="K22">
        <v>3.22</v>
      </c>
      <c r="L22">
        <v>2.97</v>
      </c>
      <c r="M22">
        <f t="shared" si="1"/>
        <v>0.25</v>
      </c>
    </row>
    <row r="23" spans="1:14">
      <c r="A23" s="72" t="s">
        <v>86</v>
      </c>
      <c r="B23" s="75">
        <v>21</v>
      </c>
      <c r="C23" s="75" t="s">
        <v>79</v>
      </c>
      <c r="D23" s="75" t="s">
        <v>2221</v>
      </c>
      <c r="E23" s="75">
        <f ca="1">OFFSET(rooms!$B$2,MATCH(D23,rooms!$D$2:$D$19,0)-1,0)</f>
        <v>1</v>
      </c>
      <c r="F23" s="76">
        <v>7</v>
      </c>
      <c r="G23" s="82">
        <f t="shared" si="0"/>
        <v>6.91</v>
      </c>
      <c r="H23" s="75" t="s">
        <v>77</v>
      </c>
      <c r="I23" s="75" t="s">
        <v>82</v>
      </c>
      <c r="K23">
        <v>1.73</v>
      </c>
      <c r="L23">
        <v>1.82</v>
      </c>
      <c r="M23">
        <f t="shared" si="1"/>
        <v>-9.000000000000008E-2</v>
      </c>
    </row>
    <row r="24" spans="1:14">
      <c r="A24" s="72" t="s">
        <v>87</v>
      </c>
      <c r="B24" s="75">
        <v>22</v>
      </c>
      <c r="C24" s="75" t="s">
        <v>79</v>
      </c>
      <c r="D24" s="75" t="s">
        <v>2222</v>
      </c>
      <c r="E24" s="75">
        <f ca="1">OFFSET(rooms!$B$2,MATCH(D24,rooms!$D$2:$D$19,0)-1,0)</f>
        <v>2</v>
      </c>
      <c r="F24" s="76">
        <v>6.33</v>
      </c>
      <c r="G24" s="82">
        <f t="shared" si="0"/>
        <v>8.77</v>
      </c>
      <c r="H24" s="75" t="s">
        <v>77</v>
      </c>
      <c r="I24" s="75" t="s">
        <v>82</v>
      </c>
      <c r="K24">
        <v>4.59</v>
      </c>
      <c r="L24">
        <v>2.15</v>
      </c>
      <c r="M24">
        <f t="shared" si="1"/>
        <v>2.44</v>
      </c>
    </row>
    <row r="25" spans="1:14">
      <c r="A25" s="72" t="s">
        <v>88</v>
      </c>
      <c r="B25" s="75">
        <v>23</v>
      </c>
      <c r="C25" s="75" t="s">
        <v>79</v>
      </c>
      <c r="D25" s="75" t="s">
        <v>2222</v>
      </c>
      <c r="E25" s="75">
        <f ca="1">OFFSET(rooms!$B$2,MATCH(D25,rooms!$D$2:$D$19,0)-1,0)</f>
        <v>2</v>
      </c>
      <c r="F25" s="76">
        <v>3.83</v>
      </c>
      <c r="G25" s="82">
        <f t="shared" si="0"/>
        <v>4.37</v>
      </c>
      <c r="H25" s="75" t="s">
        <v>77</v>
      </c>
      <c r="I25" s="75" t="s">
        <v>89</v>
      </c>
      <c r="K25">
        <v>0.54</v>
      </c>
      <c r="L25">
        <v>0</v>
      </c>
      <c r="M25">
        <f t="shared" si="1"/>
        <v>0.54</v>
      </c>
    </row>
    <row r="26" spans="1:14">
      <c r="A26" s="72" t="s">
        <v>90</v>
      </c>
      <c r="B26" s="75">
        <v>24</v>
      </c>
      <c r="C26" s="75" t="s">
        <v>79</v>
      </c>
      <c r="D26" s="75" t="s">
        <v>2222</v>
      </c>
      <c r="E26" s="75">
        <f ca="1">OFFSET(rooms!$B$2,MATCH(D26,rooms!$D$2:$D$19,0)-1,0)</f>
        <v>2</v>
      </c>
      <c r="F26" s="75">
        <v>2.84</v>
      </c>
      <c r="G26" s="81">
        <f t="shared" si="0"/>
        <v>2.84</v>
      </c>
      <c r="H26" s="75" t="s">
        <v>77</v>
      </c>
      <c r="I26" s="75" t="s">
        <v>89</v>
      </c>
      <c r="K26">
        <v>1.89</v>
      </c>
      <c r="L26">
        <v>1.89</v>
      </c>
      <c r="M26">
        <f t="shared" si="1"/>
        <v>0</v>
      </c>
      <c r="N26" t="s">
        <v>1979</v>
      </c>
    </row>
    <row r="27" spans="1:14">
      <c r="A27" s="72" t="s">
        <v>91</v>
      </c>
      <c r="B27" s="75">
        <v>25</v>
      </c>
      <c r="C27" s="75" t="s">
        <v>79</v>
      </c>
      <c r="D27" s="75" t="s">
        <v>20</v>
      </c>
      <c r="E27" s="75">
        <f ca="1">OFFSET(rooms!$B$2,MATCH(D27,rooms!$D$2:$D$19,0)-1,0)</f>
        <v>3</v>
      </c>
      <c r="F27" s="75">
        <v>0.25</v>
      </c>
      <c r="G27" s="81">
        <f t="shared" si="0"/>
        <v>0.25</v>
      </c>
      <c r="H27" s="75" t="s">
        <v>77</v>
      </c>
      <c r="I27" s="75" t="s">
        <v>89</v>
      </c>
      <c r="K27">
        <v>0</v>
      </c>
      <c r="L27">
        <v>0</v>
      </c>
      <c r="M27">
        <f t="shared" si="1"/>
        <v>0</v>
      </c>
    </row>
    <row r="28" spans="1:14">
      <c r="A28" s="72" t="s">
        <v>92</v>
      </c>
      <c r="B28" s="75">
        <v>26</v>
      </c>
      <c r="C28" s="75" t="s">
        <v>79</v>
      </c>
      <c r="D28" s="75" t="s">
        <v>2221</v>
      </c>
      <c r="E28" s="75">
        <f ca="1">OFFSET(rooms!$B$2,MATCH(D28,rooms!$D$2:$D$19,0)-1,0)</f>
        <v>1</v>
      </c>
      <c r="F28" s="76">
        <v>7.75</v>
      </c>
      <c r="G28" s="82">
        <f t="shared" si="0"/>
        <v>7.43</v>
      </c>
      <c r="H28" s="75" t="s">
        <v>77</v>
      </c>
      <c r="I28" s="75" t="s">
        <v>89</v>
      </c>
      <c r="K28">
        <v>0.99</v>
      </c>
      <c r="L28">
        <v>1.31</v>
      </c>
      <c r="M28">
        <f t="shared" si="1"/>
        <v>-0.32000000000000006</v>
      </c>
    </row>
    <row r="29" spans="1:14">
      <c r="A29" s="72" t="s">
        <v>93</v>
      </c>
      <c r="B29" s="75">
        <v>27</v>
      </c>
      <c r="C29" s="75" t="s">
        <v>79</v>
      </c>
      <c r="D29" s="75" t="s">
        <v>2222</v>
      </c>
      <c r="E29" s="75">
        <f ca="1">OFFSET(rooms!$B$2,MATCH(D29,rooms!$D$2:$D$19,0)-1,0)</f>
        <v>2</v>
      </c>
      <c r="F29" s="76">
        <v>3.56</v>
      </c>
      <c r="G29" s="82">
        <f t="shared" si="0"/>
        <v>3.75</v>
      </c>
      <c r="H29" s="75" t="s">
        <v>77</v>
      </c>
      <c r="I29" s="75" t="s">
        <v>89</v>
      </c>
      <c r="K29">
        <v>0.54</v>
      </c>
      <c r="L29">
        <v>0.35</v>
      </c>
      <c r="M29">
        <f t="shared" si="1"/>
        <v>0.19000000000000006</v>
      </c>
    </row>
    <row r="30" spans="1:14">
      <c r="A30" s="72" t="s">
        <v>94</v>
      </c>
      <c r="B30" s="75">
        <v>28</v>
      </c>
      <c r="C30" s="75" t="s">
        <v>79</v>
      </c>
      <c r="D30" s="75" t="s">
        <v>2222</v>
      </c>
      <c r="E30" s="75">
        <f ca="1">OFFSET(rooms!$B$2,MATCH(D30,rooms!$D$2:$D$19,0)-1,0)</f>
        <v>2</v>
      </c>
      <c r="F30" s="75">
        <v>8.74</v>
      </c>
      <c r="G30" s="81">
        <f t="shared" si="0"/>
        <v>8.74</v>
      </c>
      <c r="H30" s="75" t="s">
        <v>77</v>
      </c>
      <c r="I30" s="75" t="s">
        <v>89</v>
      </c>
      <c r="K30">
        <v>0</v>
      </c>
      <c r="L30">
        <v>0</v>
      </c>
      <c r="M30">
        <f t="shared" si="1"/>
        <v>0</v>
      </c>
    </row>
    <row r="31" spans="1:14">
      <c r="A31" s="72" t="s">
        <v>95</v>
      </c>
      <c r="B31" s="75">
        <v>29</v>
      </c>
      <c r="C31" s="75" t="s">
        <v>1980</v>
      </c>
      <c r="D31" s="75" t="s">
        <v>2222</v>
      </c>
      <c r="E31" s="75">
        <f ca="1">OFFSET(rooms!$B$2,MATCH(D31,rooms!$D$2:$D$19,0)-1,0)</f>
        <v>2</v>
      </c>
      <c r="F31" s="75">
        <v>10.77</v>
      </c>
      <c r="G31" s="81">
        <f t="shared" si="0"/>
        <v>10.77</v>
      </c>
      <c r="H31" s="75" t="s">
        <v>98</v>
      </c>
      <c r="I31" s="75" t="s">
        <v>99</v>
      </c>
      <c r="K31">
        <v>0</v>
      </c>
      <c r="L31">
        <v>0</v>
      </c>
      <c r="M31">
        <f t="shared" si="1"/>
        <v>0</v>
      </c>
    </row>
    <row r="32" spans="1:14">
      <c r="A32" s="72" t="s">
        <v>96</v>
      </c>
      <c r="B32" s="75">
        <v>30</v>
      </c>
      <c r="C32" s="75" t="s">
        <v>1980</v>
      </c>
      <c r="D32" s="75" t="s">
        <v>2222</v>
      </c>
      <c r="E32" s="75">
        <f ca="1">OFFSET(rooms!$B$2,MATCH(D32,rooms!$D$2:$D$19,0)-1,0)</f>
        <v>2</v>
      </c>
      <c r="F32" s="75">
        <v>1.66</v>
      </c>
      <c r="G32" s="81">
        <f t="shared" si="0"/>
        <v>1.66</v>
      </c>
      <c r="H32" s="75" t="s">
        <v>98</v>
      </c>
      <c r="I32" s="75" t="s">
        <v>99</v>
      </c>
      <c r="K32">
        <v>0</v>
      </c>
      <c r="L32">
        <v>0</v>
      </c>
      <c r="M32">
        <f t="shared" si="1"/>
        <v>0</v>
      </c>
    </row>
    <row r="33" spans="1:13">
      <c r="A33" s="72" t="s">
        <v>97</v>
      </c>
      <c r="B33" s="75">
        <v>31</v>
      </c>
      <c r="C33" s="75" t="s">
        <v>1980</v>
      </c>
      <c r="D33" s="75" t="s">
        <v>2222</v>
      </c>
      <c r="E33" s="75">
        <f ca="1">OFFSET(rooms!$B$2,MATCH(D33,rooms!$D$2:$D$19,0)-1,0)</f>
        <v>2</v>
      </c>
      <c r="F33" s="75">
        <v>4.97</v>
      </c>
      <c r="G33" s="81">
        <f t="shared" si="0"/>
        <v>4.97</v>
      </c>
      <c r="H33" s="75" t="s">
        <v>98</v>
      </c>
      <c r="I33" s="75" t="s">
        <v>99</v>
      </c>
      <c r="K33">
        <v>0</v>
      </c>
      <c r="L33">
        <v>0</v>
      </c>
      <c r="M33">
        <f t="shared" si="1"/>
        <v>0</v>
      </c>
    </row>
    <row r="34" spans="1:13">
      <c r="A34" s="72" t="s">
        <v>100</v>
      </c>
      <c r="B34" s="75">
        <v>32</v>
      </c>
      <c r="C34" s="75" t="s">
        <v>1980</v>
      </c>
      <c r="D34" s="75" t="s">
        <v>2221</v>
      </c>
      <c r="E34" s="75">
        <f ca="1">OFFSET(rooms!$B$2,MATCH(D34,rooms!$D$2:$D$19,0)-1,0)</f>
        <v>1</v>
      </c>
      <c r="F34" s="75">
        <v>10.76</v>
      </c>
      <c r="G34" s="81">
        <f t="shared" si="0"/>
        <v>10.76</v>
      </c>
      <c r="H34" s="75" t="s">
        <v>98</v>
      </c>
      <c r="I34" s="75" t="s">
        <v>99</v>
      </c>
      <c r="K34">
        <v>0</v>
      </c>
      <c r="L34">
        <v>0</v>
      </c>
      <c r="M34">
        <f t="shared" si="1"/>
        <v>0</v>
      </c>
    </row>
    <row r="35" spans="1:13">
      <c r="A35" s="72" t="s">
        <v>104</v>
      </c>
      <c r="B35" s="75">
        <v>33</v>
      </c>
      <c r="C35" s="75" t="s">
        <v>1980</v>
      </c>
      <c r="D35" s="75" t="s">
        <v>2221</v>
      </c>
      <c r="E35" s="75">
        <f ca="1">OFFSET(rooms!$B$2,MATCH(D35,rooms!$D$2:$D$19,0)-1,0)</f>
        <v>1</v>
      </c>
      <c r="F35" s="75">
        <v>10.77</v>
      </c>
      <c r="G35" s="81">
        <f t="shared" si="0"/>
        <v>10.77</v>
      </c>
      <c r="H35" s="75" t="s">
        <v>98</v>
      </c>
      <c r="I35" s="75" t="s">
        <v>99</v>
      </c>
      <c r="K35">
        <v>0</v>
      </c>
      <c r="L35">
        <v>0</v>
      </c>
      <c r="M35">
        <f t="shared" si="1"/>
        <v>0</v>
      </c>
    </row>
    <row r="36" spans="1:13">
      <c r="A36" s="72" t="s">
        <v>105</v>
      </c>
      <c r="B36" s="75">
        <v>34</v>
      </c>
      <c r="C36" s="75" t="s">
        <v>1980</v>
      </c>
      <c r="D36" s="75" t="s">
        <v>2221</v>
      </c>
      <c r="E36" s="75">
        <f ca="1">OFFSET(rooms!$B$2,MATCH(D36,rooms!$D$2:$D$19,0)-1,0)</f>
        <v>1</v>
      </c>
      <c r="F36" s="75">
        <v>13.25</v>
      </c>
      <c r="G36" s="81">
        <f t="shared" si="0"/>
        <v>13.25</v>
      </c>
      <c r="H36" s="75" t="s">
        <v>98</v>
      </c>
      <c r="I36" s="75" t="s">
        <v>99</v>
      </c>
      <c r="K36">
        <v>0</v>
      </c>
      <c r="L36">
        <v>0</v>
      </c>
      <c r="M36">
        <f t="shared" si="1"/>
        <v>0</v>
      </c>
    </row>
    <row r="37" spans="1:13">
      <c r="A37" s="72" t="s">
        <v>106</v>
      </c>
      <c r="B37" s="75">
        <v>35</v>
      </c>
      <c r="C37" s="75" t="s">
        <v>1980</v>
      </c>
      <c r="D37" s="75" t="s">
        <v>2222</v>
      </c>
      <c r="E37" s="75">
        <f ca="1">OFFSET(rooms!$B$2,MATCH(D37,rooms!$D$2:$D$19,0)-1,0)</f>
        <v>2</v>
      </c>
      <c r="F37" s="75">
        <v>1.66</v>
      </c>
      <c r="G37" s="81">
        <f t="shared" si="0"/>
        <v>1.66</v>
      </c>
      <c r="H37" s="75" t="s">
        <v>98</v>
      </c>
      <c r="I37" s="75" t="s">
        <v>99</v>
      </c>
      <c r="K37">
        <v>0</v>
      </c>
      <c r="L37">
        <v>0</v>
      </c>
      <c r="M37">
        <f t="shared" si="1"/>
        <v>0</v>
      </c>
    </row>
    <row r="38" spans="1:13">
      <c r="A38" s="72" t="s">
        <v>107</v>
      </c>
      <c r="B38" s="75">
        <v>36</v>
      </c>
      <c r="C38" s="75" t="s">
        <v>149</v>
      </c>
      <c r="D38" s="75" t="s">
        <v>2222</v>
      </c>
      <c r="E38" s="75">
        <f ca="1">OFFSET(rooms!$B$2,MATCH(D38,rooms!$D$2:$D$19,0)-1,0)</f>
        <v>2</v>
      </c>
      <c r="F38" s="75">
        <v>1.59</v>
      </c>
      <c r="G38" s="81">
        <f t="shared" si="0"/>
        <v>1.59</v>
      </c>
      <c r="H38" s="75" t="s">
        <v>77</v>
      </c>
      <c r="I38" s="75" t="s">
        <v>80</v>
      </c>
      <c r="K38">
        <v>0</v>
      </c>
      <c r="L38">
        <v>0</v>
      </c>
      <c r="M38">
        <f t="shared" si="1"/>
        <v>0</v>
      </c>
    </row>
    <row r="39" spans="1:13">
      <c r="A39" s="72" t="s">
        <v>108</v>
      </c>
      <c r="B39" s="75">
        <v>37</v>
      </c>
      <c r="C39" s="75" t="s">
        <v>149</v>
      </c>
      <c r="D39" s="75" t="s">
        <v>2222</v>
      </c>
      <c r="E39" s="75">
        <f ca="1">OFFSET(rooms!$B$2,MATCH(D39,rooms!$D$2:$D$19,0)-1,0)</f>
        <v>2</v>
      </c>
      <c r="F39" s="75">
        <v>0.68</v>
      </c>
      <c r="G39" s="81">
        <f t="shared" si="0"/>
        <v>0.68</v>
      </c>
      <c r="H39" s="75" t="s">
        <v>77</v>
      </c>
      <c r="I39" s="75" t="s">
        <v>80</v>
      </c>
      <c r="K39">
        <v>0</v>
      </c>
      <c r="L39">
        <v>0</v>
      </c>
      <c r="M39">
        <f t="shared" si="1"/>
        <v>0</v>
      </c>
    </row>
    <row r="40" spans="1:13">
      <c r="A40" s="72" t="s">
        <v>109</v>
      </c>
      <c r="B40" s="75">
        <v>38</v>
      </c>
      <c r="C40" s="75" t="s">
        <v>1980</v>
      </c>
      <c r="D40" s="75" t="s">
        <v>2222</v>
      </c>
      <c r="E40" s="75">
        <f ca="1">OFFSET(rooms!$B$2,MATCH(D40,rooms!$D$2:$D$19,0)-1,0)</f>
        <v>2</v>
      </c>
      <c r="F40" s="75">
        <v>3.31</v>
      </c>
      <c r="G40" s="81">
        <f t="shared" si="0"/>
        <v>3.31</v>
      </c>
      <c r="H40" s="75" t="s">
        <v>98</v>
      </c>
      <c r="I40" s="75" t="s">
        <v>99</v>
      </c>
      <c r="K40">
        <v>0</v>
      </c>
      <c r="L40">
        <v>0</v>
      </c>
      <c r="M40">
        <f t="shared" si="1"/>
        <v>0</v>
      </c>
    </row>
    <row r="41" spans="1:13">
      <c r="A41" s="72" t="s">
        <v>110</v>
      </c>
      <c r="B41" s="75">
        <v>39</v>
      </c>
      <c r="C41" s="75" t="s">
        <v>1980</v>
      </c>
      <c r="D41" s="75" t="s">
        <v>2220</v>
      </c>
      <c r="E41" s="75">
        <f ca="1">OFFSET(rooms!$B$2,MATCH(D41,rooms!$D$2:$D$19,0)-1,0)</f>
        <v>0</v>
      </c>
      <c r="F41" s="79">
        <v>4.1399999999999997</v>
      </c>
      <c r="G41" s="81">
        <f t="shared" si="0"/>
        <v>4.1399999999999997</v>
      </c>
      <c r="H41" s="75" t="s">
        <v>98</v>
      </c>
      <c r="I41" s="75" t="s">
        <v>99</v>
      </c>
      <c r="K41">
        <v>0</v>
      </c>
      <c r="L41">
        <v>0</v>
      </c>
      <c r="M41">
        <f t="shared" si="1"/>
        <v>0</v>
      </c>
    </row>
    <row r="42" spans="1:13">
      <c r="A42" s="72" t="s">
        <v>111</v>
      </c>
      <c r="B42" s="75">
        <v>40</v>
      </c>
      <c r="C42" s="75" t="s">
        <v>149</v>
      </c>
      <c r="D42" s="75" t="s">
        <v>2220</v>
      </c>
      <c r="E42" s="75">
        <f ca="1">OFFSET(rooms!$B$2,MATCH(D42,rooms!$D$2:$D$19,0)-1,0)</f>
        <v>0</v>
      </c>
      <c r="F42" s="79">
        <v>0.34</v>
      </c>
      <c r="G42" s="81">
        <f t="shared" si="0"/>
        <v>0.34</v>
      </c>
      <c r="H42" s="75" t="s">
        <v>98</v>
      </c>
      <c r="I42" s="75" t="s">
        <v>99</v>
      </c>
      <c r="K42">
        <v>0</v>
      </c>
      <c r="L42">
        <v>0</v>
      </c>
      <c r="M42">
        <f t="shared" si="1"/>
        <v>0</v>
      </c>
    </row>
    <row r="43" spans="1:13">
      <c r="A43" s="72" t="s">
        <v>112</v>
      </c>
      <c r="B43" s="75">
        <v>41</v>
      </c>
      <c r="C43" s="75" t="s">
        <v>1980</v>
      </c>
      <c r="D43" s="75" t="s">
        <v>2222</v>
      </c>
      <c r="E43" s="75">
        <f ca="1">OFFSET(rooms!$B$2,MATCH(D43,rooms!$D$2:$D$19,0)-1,0)</f>
        <v>2</v>
      </c>
      <c r="F43" s="75">
        <v>3.31</v>
      </c>
      <c r="G43" s="81">
        <f t="shared" si="0"/>
        <v>3.31</v>
      </c>
      <c r="H43" s="75" t="s">
        <v>98</v>
      </c>
      <c r="I43" s="75" t="s">
        <v>99</v>
      </c>
      <c r="K43">
        <v>0</v>
      </c>
      <c r="L43">
        <v>0</v>
      </c>
      <c r="M43">
        <f t="shared" si="1"/>
        <v>0</v>
      </c>
    </row>
    <row r="44" spans="1:13">
      <c r="A44" s="72" t="s">
        <v>113</v>
      </c>
      <c r="B44" s="75">
        <v>42</v>
      </c>
      <c r="C44" s="75" t="s">
        <v>1980</v>
      </c>
      <c r="D44" s="75" t="s">
        <v>2222</v>
      </c>
      <c r="E44" s="75">
        <f ca="1">OFFSET(rooms!$B$2,MATCH(D44,rooms!$D$2:$D$19,0)-1,0)</f>
        <v>2</v>
      </c>
      <c r="F44" s="79">
        <v>3.31</v>
      </c>
      <c r="G44" s="81">
        <f t="shared" si="0"/>
        <v>3.31</v>
      </c>
      <c r="H44" s="75" t="s">
        <v>98</v>
      </c>
      <c r="I44" s="75" t="s">
        <v>99</v>
      </c>
      <c r="K44">
        <v>0</v>
      </c>
      <c r="L44">
        <v>0</v>
      </c>
      <c r="M44">
        <f t="shared" si="1"/>
        <v>0</v>
      </c>
    </row>
    <row r="45" spans="1:13">
      <c r="A45" s="72" t="s">
        <v>114</v>
      </c>
      <c r="B45" s="75">
        <v>43</v>
      </c>
      <c r="C45" s="75" t="s">
        <v>101</v>
      </c>
      <c r="D45" s="75" t="s">
        <v>2222</v>
      </c>
      <c r="E45" s="75">
        <f ca="1">OFFSET(rooms!$B$2,MATCH(D45,rooms!$D$2:$D$19,0)-1,0)</f>
        <v>2</v>
      </c>
      <c r="F45" s="75">
        <v>1.66</v>
      </c>
      <c r="G45" s="81">
        <f t="shared" si="0"/>
        <v>1.66</v>
      </c>
      <c r="H45" s="75" t="s">
        <v>102</v>
      </c>
      <c r="I45" s="75" t="s">
        <v>103</v>
      </c>
      <c r="K45">
        <v>0</v>
      </c>
      <c r="L45">
        <v>0</v>
      </c>
      <c r="M45">
        <f t="shared" si="1"/>
        <v>0</v>
      </c>
    </row>
    <row r="46" spans="1:13">
      <c r="A46" s="72" t="s">
        <v>115</v>
      </c>
      <c r="B46" s="75">
        <v>44</v>
      </c>
      <c r="C46" s="75" t="s">
        <v>101</v>
      </c>
      <c r="D46" s="75" t="s">
        <v>2220</v>
      </c>
      <c r="E46" s="75">
        <f ca="1">OFFSET(rooms!$B$2,MATCH(D46,rooms!$D$2:$D$19,0)-1,0)</f>
        <v>0</v>
      </c>
      <c r="F46" s="79">
        <v>21.53</v>
      </c>
      <c r="G46" s="81">
        <f t="shared" si="0"/>
        <v>21.53</v>
      </c>
      <c r="H46" s="75" t="s">
        <v>102</v>
      </c>
      <c r="I46" s="75" t="s">
        <v>103</v>
      </c>
      <c r="K46">
        <v>0</v>
      </c>
      <c r="L46">
        <v>0</v>
      </c>
      <c r="M46">
        <f t="shared" si="1"/>
        <v>0</v>
      </c>
    </row>
    <row r="47" spans="1:13">
      <c r="A47" s="72" t="s">
        <v>116</v>
      </c>
      <c r="B47" s="75">
        <v>45</v>
      </c>
      <c r="C47" s="75" t="s">
        <v>101</v>
      </c>
      <c r="D47" s="75" t="s">
        <v>2222</v>
      </c>
      <c r="E47" s="75">
        <f ca="1">OFFSET(rooms!$B$2,MATCH(D47,rooms!$D$2:$D$19,0)-1,0)</f>
        <v>2</v>
      </c>
      <c r="F47" s="75">
        <v>10.77</v>
      </c>
      <c r="G47" s="81">
        <f t="shared" si="0"/>
        <v>10.77</v>
      </c>
      <c r="H47" s="75" t="s">
        <v>102</v>
      </c>
      <c r="I47" s="75" t="s">
        <v>103</v>
      </c>
      <c r="K47">
        <v>0</v>
      </c>
      <c r="L47">
        <v>0</v>
      </c>
      <c r="M47">
        <f t="shared" si="1"/>
        <v>0</v>
      </c>
    </row>
    <row r="48" spans="1:13">
      <c r="A48" s="72" t="s">
        <v>117</v>
      </c>
      <c r="B48" s="75">
        <v>46</v>
      </c>
      <c r="C48" s="75" t="s">
        <v>149</v>
      </c>
      <c r="D48" s="75" t="s">
        <v>2222</v>
      </c>
      <c r="E48" s="75">
        <f ca="1">OFFSET(rooms!$B$2,MATCH(D48,rooms!$D$2:$D$19,0)-1,0)</f>
        <v>2</v>
      </c>
      <c r="F48" s="75">
        <v>0.27</v>
      </c>
      <c r="G48" s="81">
        <f t="shared" si="0"/>
        <v>0.27</v>
      </c>
      <c r="H48" s="75" t="s">
        <v>98</v>
      </c>
      <c r="I48" s="75" t="s">
        <v>99</v>
      </c>
      <c r="K48">
        <v>0</v>
      </c>
      <c r="L48">
        <v>0</v>
      </c>
      <c r="M48">
        <f t="shared" si="1"/>
        <v>0</v>
      </c>
    </row>
    <row r="49" spans="1:13">
      <c r="A49" s="72" t="s">
        <v>118</v>
      </c>
      <c r="B49" s="75">
        <v>47</v>
      </c>
      <c r="C49" s="75" t="s">
        <v>149</v>
      </c>
      <c r="D49" s="75" t="s">
        <v>2222</v>
      </c>
      <c r="E49" s="75">
        <f ca="1">OFFSET(rooms!$B$2,MATCH(D49,rooms!$D$2:$D$19,0)-1,0)</f>
        <v>2</v>
      </c>
      <c r="F49" s="75">
        <v>0.36</v>
      </c>
      <c r="G49" s="81">
        <f t="shared" si="0"/>
        <v>0.36</v>
      </c>
      <c r="H49" s="75" t="s">
        <v>98</v>
      </c>
      <c r="I49" s="75" t="s">
        <v>99</v>
      </c>
      <c r="K49">
        <v>0</v>
      </c>
      <c r="L49">
        <v>0</v>
      </c>
      <c r="M49">
        <f t="shared" si="1"/>
        <v>0</v>
      </c>
    </row>
    <row r="50" spans="1:13">
      <c r="A50" s="72" t="s">
        <v>119</v>
      </c>
      <c r="B50" s="75">
        <v>48</v>
      </c>
      <c r="C50" s="75" t="s">
        <v>101</v>
      </c>
      <c r="D50" s="75" t="s">
        <v>2222</v>
      </c>
      <c r="E50" s="75">
        <f ca="1">OFFSET(rooms!$B$2,MATCH(D50,rooms!$D$2:$D$19,0)-1,0)</f>
        <v>2</v>
      </c>
      <c r="F50" s="75">
        <v>3.31</v>
      </c>
      <c r="G50" s="81">
        <f t="shared" si="0"/>
        <v>3.31</v>
      </c>
      <c r="H50" s="75" t="s">
        <v>102</v>
      </c>
      <c r="I50" s="75" t="s">
        <v>103</v>
      </c>
      <c r="K50">
        <v>0</v>
      </c>
      <c r="L50">
        <v>0</v>
      </c>
      <c r="M50">
        <f t="shared" si="1"/>
        <v>0</v>
      </c>
    </row>
    <row r="51" spans="1:13">
      <c r="A51" s="72" t="s">
        <v>120</v>
      </c>
      <c r="B51" s="75">
        <v>49</v>
      </c>
      <c r="C51" s="75" t="s">
        <v>101</v>
      </c>
      <c r="D51" s="75" t="s">
        <v>2220</v>
      </c>
      <c r="E51" s="75">
        <f ca="1">OFFSET(rooms!$B$2,MATCH(D51,rooms!$D$2:$D$19,0)-1,0)</f>
        <v>0</v>
      </c>
      <c r="F51" s="79">
        <v>8.2799999999999994</v>
      </c>
      <c r="G51" s="81">
        <f t="shared" si="0"/>
        <v>8.2799999999999994</v>
      </c>
      <c r="H51" s="75" t="s">
        <v>102</v>
      </c>
      <c r="I51" s="75" t="s">
        <v>103</v>
      </c>
      <c r="K51">
        <v>0</v>
      </c>
      <c r="L51">
        <v>0</v>
      </c>
      <c r="M51">
        <f t="shared" si="1"/>
        <v>0</v>
      </c>
    </row>
    <row r="52" spans="1:13">
      <c r="A52" s="72" t="s">
        <v>121</v>
      </c>
      <c r="B52" s="75">
        <v>50</v>
      </c>
      <c r="C52" s="75" t="s">
        <v>101</v>
      </c>
      <c r="D52" s="75" t="s">
        <v>2222</v>
      </c>
      <c r="E52" s="75">
        <f ca="1">OFFSET(rooms!$B$2,MATCH(D52,rooms!$D$2:$D$19,0)-1,0)</f>
        <v>2</v>
      </c>
      <c r="F52" s="75">
        <v>3.31</v>
      </c>
      <c r="G52" s="81">
        <f t="shared" si="0"/>
        <v>3.31</v>
      </c>
      <c r="H52" s="75" t="s">
        <v>102</v>
      </c>
      <c r="I52" s="75" t="s">
        <v>103</v>
      </c>
      <c r="K52">
        <v>0</v>
      </c>
      <c r="L52">
        <v>0</v>
      </c>
      <c r="M52">
        <f t="shared" si="1"/>
        <v>0</v>
      </c>
    </row>
    <row r="53" spans="1:13">
      <c r="A53" s="72" t="s">
        <v>122</v>
      </c>
      <c r="B53" s="75">
        <v>51</v>
      </c>
      <c r="C53" s="75" t="s">
        <v>101</v>
      </c>
      <c r="D53" s="75" t="s">
        <v>2222</v>
      </c>
      <c r="E53" s="75">
        <f ca="1">OFFSET(rooms!$B$2,MATCH(D53,rooms!$D$2:$D$19,0)-1,0)</f>
        <v>2</v>
      </c>
      <c r="F53" s="79">
        <v>16.559999999999999</v>
      </c>
      <c r="G53" s="81">
        <f t="shared" si="0"/>
        <v>16.559999999999999</v>
      </c>
      <c r="H53" s="75" t="s">
        <v>102</v>
      </c>
      <c r="I53" s="75" t="s">
        <v>103</v>
      </c>
      <c r="K53">
        <v>0</v>
      </c>
      <c r="L53">
        <v>0</v>
      </c>
      <c r="M53">
        <f t="shared" si="1"/>
        <v>0</v>
      </c>
    </row>
    <row r="54" spans="1:13">
      <c r="A54" s="72" t="s">
        <v>123</v>
      </c>
      <c r="B54" s="75">
        <v>52</v>
      </c>
      <c r="C54" s="75" t="s">
        <v>149</v>
      </c>
      <c r="D54" s="75" t="s">
        <v>2222</v>
      </c>
      <c r="E54" s="75">
        <f ca="1">OFFSET(rooms!$B$2,MATCH(D54,rooms!$D$2:$D$19,0)-1,0)</f>
        <v>2</v>
      </c>
      <c r="F54" s="75">
        <v>0.69</v>
      </c>
      <c r="G54" s="81">
        <f t="shared" si="0"/>
        <v>0.69</v>
      </c>
      <c r="H54" s="75" t="s">
        <v>77</v>
      </c>
      <c r="I54" s="75" t="s">
        <v>80</v>
      </c>
      <c r="K54">
        <v>0</v>
      </c>
      <c r="L54">
        <v>0</v>
      </c>
      <c r="M54">
        <f t="shared" si="1"/>
        <v>0</v>
      </c>
    </row>
    <row r="55" spans="1:13">
      <c r="A55" s="72" t="s">
        <v>124</v>
      </c>
      <c r="B55" s="75">
        <v>53</v>
      </c>
      <c r="C55" s="75" t="s">
        <v>149</v>
      </c>
      <c r="D55" s="75" t="s">
        <v>2222</v>
      </c>
      <c r="E55" s="75">
        <f ca="1">OFFSET(rooms!$B$2,MATCH(D55,rooms!$D$2:$D$19,0)-1,0)</f>
        <v>2</v>
      </c>
      <c r="F55" s="75">
        <v>0.25</v>
      </c>
      <c r="G55" s="81">
        <f t="shared" si="0"/>
        <v>0.25</v>
      </c>
      <c r="H55" s="75" t="s">
        <v>77</v>
      </c>
      <c r="I55" s="75" t="s">
        <v>80</v>
      </c>
      <c r="K55">
        <v>0</v>
      </c>
      <c r="L55">
        <v>0</v>
      </c>
      <c r="M55">
        <f t="shared" si="1"/>
        <v>0</v>
      </c>
    </row>
    <row r="56" spans="1:13">
      <c r="A56" s="72" t="s">
        <v>125</v>
      </c>
      <c r="B56" s="75">
        <v>54</v>
      </c>
      <c r="C56" s="75" t="s">
        <v>149</v>
      </c>
      <c r="D56" s="75" t="s">
        <v>20</v>
      </c>
      <c r="E56" s="75">
        <f ca="1">OFFSET(rooms!$B$2,MATCH(D56,rooms!$D$2:$D$19,0)-1,0)</f>
        <v>3</v>
      </c>
      <c r="F56" s="75">
        <v>1.82</v>
      </c>
      <c r="G56" s="81">
        <f t="shared" si="0"/>
        <v>1.82</v>
      </c>
      <c r="H56" s="75" t="s">
        <v>77</v>
      </c>
      <c r="I56" s="75" t="s">
        <v>89</v>
      </c>
      <c r="K56">
        <v>0</v>
      </c>
      <c r="L56">
        <v>0</v>
      </c>
      <c r="M56">
        <f t="shared" si="1"/>
        <v>0</v>
      </c>
    </row>
    <row r="57" spans="1:13">
      <c r="A57" s="72" t="s">
        <v>126</v>
      </c>
      <c r="B57" s="75">
        <v>55</v>
      </c>
      <c r="C57" s="75" t="s">
        <v>149</v>
      </c>
      <c r="D57" s="75" t="s">
        <v>20</v>
      </c>
      <c r="E57" s="75">
        <f ca="1">OFFSET(rooms!$B$2,MATCH(D57,rooms!$D$2:$D$19,0)-1,0)</f>
        <v>3</v>
      </c>
      <c r="F57" s="75">
        <v>2.48</v>
      </c>
      <c r="G57" s="81">
        <f t="shared" si="0"/>
        <v>2.48</v>
      </c>
      <c r="H57" s="75" t="s">
        <v>77</v>
      </c>
      <c r="I57" s="75" t="s">
        <v>89</v>
      </c>
      <c r="K57">
        <v>0</v>
      </c>
      <c r="L57">
        <v>0</v>
      </c>
      <c r="M57">
        <f t="shared" si="1"/>
        <v>0</v>
      </c>
    </row>
    <row r="58" spans="1:13">
      <c r="F58" s="74" t="s">
        <v>2227</v>
      </c>
      <c r="G58" t="s">
        <v>2181</v>
      </c>
      <c r="H58" s="74" t="s">
        <v>2228</v>
      </c>
    </row>
    <row r="59" spans="1:13">
      <c r="C59" s="74" t="s">
        <v>2041</v>
      </c>
      <c r="D59" s="74" t="s">
        <v>2220</v>
      </c>
      <c r="F59" s="74">
        <f>SUMIFS(F$2:F$57,$C$2:$C$57,$C59,$I$2:$I$57,$I59,$D$2:$D$57,$D59)</f>
        <v>14.07</v>
      </c>
      <c r="G59" s="74">
        <f>SUMIFS(G$2:G$57,$C$2:$C$57,$C59,$I$2:$I$57,$I59,$D$2:$D$57,$D59)</f>
        <v>14.45</v>
      </c>
      <c r="H59" s="74">
        <f>IF($P$2="温暖地",F59,G59)</f>
        <v>14.07</v>
      </c>
      <c r="I59" s="74" t="s">
        <v>2224</v>
      </c>
    </row>
    <row r="60" spans="1:13">
      <c r="C60" s="74" t="s">
        <v>2041</v>
      </c>
      <c r="D60" s="74" t="s">
        <v>2220</v>
      </c>
      <c r="F60" s="74">
        <f t="shared" ref="F60:G60" si="2">SUMIFS(F$2:F$57,$C$2:$C$57,$C60,$I$2:$I$57,$I60,$D$2:$D$57,$D60)</f>
        <v>7.27</v>
      </c>
      <c r="G60" s="74">
        <f t="shared" si="2"/>
        <v>9.09</v>
      </c>
      <c r="H60" s="74">
        <f t="shared" ref="H60" si="3">IF($P$2="温暖地",F60,G60)</f>
        <v>7.27</v>
      </c>
      <c r="I60" s="74" t="s">
        <v>2225</v>
      </c>
    </row>
    <row r="61" spans="1:13">
      <c r="C61" s="74" t="s">
        <v>2041</v>
      </c>
      <c r="D61" s="74" t="s">
        <v>2220</v>
      </c>
      <c r="F61" s="74">
        <f t="shared" ref="F61:G72" si="4">SUMIFS(F$2:F$57,$C$2:$C$57,$C61,$I$2:$I$57,$I61,$D$2:$D$57,$D61)</f>
        <v>3.5</v>
      </c>
      <c r="G61" s="74">
        <f t="shared" si="4"/>
        <v>3.77</v>
      </c>
      <c r="H61" s="74">
        <f t="shared" ref="H61:H72" si="5">IF($P$2="温暖地",F61,G61)</f>
        <v>3.5</v>
      </c>
      <c r="I61" s="74" t="s">
        <v>2223</v>
      </c>
    </row>
    <row r="62" spans="1:13">
      <c r="C62" s="74" t="s">
        <v>2041</v>
      </c>
      <c r="D62" s="74" t="s">
        <v>2221</v>
      </c>
      <c r="F62" s="74">
        <f t="shared" si="4"/>
        <v>8.08</v>
      </c>
      <c r="G62" s="74">
        <f t="shared" si="4"/>
        <v>8.39</v>
      </c>
      <c r="H62" s="74">
        <f t="shared" si="5"/>
        <v>8.08</v>
      </c>
      <c r="I62" s="74" t="s">
        <v>2224</v>
      </c>
    </row>
    <row r="63" spans="1:13">
      <c r="C63" s="74" t="s">
        <v>2041</v>
      </c>
      <c r="D63" s="74" t="s">
        <v>2221</v>
      </c>
      <c r="F63" s="74">
        <f t="shared" si="4"/>
        <v>14.76</v>
      </c>
      <c r="G63" s="74">
        <f t="shared" si="4"/>
        <v>15.17</v>
      </c>
      <c r="H63" s="74">
        <f t="shared" si="5"/>
        <v>14.76</v>
      </c>
      <c r="I63" s="74" t="s">
        <v>2225</v>
      </c>
    </row>
    <row r="64" spans="1:13">
      <c r="C64" s="74" t="s">
        <v>2041</v>
      </c>
      <c r="D64" s="74" t="s">
        <v>2221</v>
      </c>
      <c r="F64" s="74">
        <f t="shared" si="4"/>
        <v>7.75</v>
      </c>
      <c r="G64" s="74">
        <f t="shared" si="4"/>
        <v>7.43</v>
      </c>
      <c r="H64" s="74">
        <f t="shared" si="5"/>
        <v>7.75</v>
      </c>
      <c r="I64" s="74" t="s">
        <v>2226</v>
      </c>
    </row>
    <row r="65" spans="3:9">
      <c r="C65" s="74" t="s">
        <v>2041</v>
      </c>
      <c r="D65" s="74" t="s">
        <v>2222</v>
      </c>
      <c r="F65" s="74">
        <f t="shared" si="4"/>
        <v>4.3600000000000003</v>
      </c>
      <c r="G65" s="74">
        <f t="shared" si="4"/>
        <v>4.3600000000000003</v>
      </c>
      <c r="H65" s="74">
        <f t="shared" si="5"/>
        <v>4.3600000000000003</v>
      </c>
      <c r="I65" s="74" t="s">
        <v>2224</v>
      </c>
    </row>
    <row r="66" spans="3:9">
      <c r="C66" s="74" t="s">
        <v>2041</v>
      </c>
      <c r="D66" s="74" t="s">
        <v>2222</v>
      </c>
      <c r="F66" s="74">
        <f t="shared" si="4"/>
        <v>6.33</v>
      </c>
      <c r="G66" s="74">
        <f t="shared" si="4"/>
        <v>8.77</v>
      </c>
      <c r="H66" s="74">
        <f t="shared" si="5"/>
        <v>6.33</v>
      </c>
      <c r="I66" s="74" t="s">
        <v>2225</v>
      </c>
    </row>
    <row r="67" spans="3:9">
      <c r="C67" s="74" t="s">
        <v>2041</v>
      </c>
      <c r="D67" s="74" t="s">
        <v>2222</v>
      </c>
      <c r="F67" s="74">
        <f t="shared" si="4"/>
        <v>18.97</v>
      </c>
      <c r="G67" s="74">
        <f t="shared" si="4"/>
        <v>19.700000000000003</v>
      </c>
      <c r="H67" s="74">
        <f t="shared" si="5"/>
        <v>18.97</v>
      </c>
      <c r="I67" s="74" t="s">
        <v>2226</v>
      </c>
    </row>
    <row r="68" spans="3:9">
      <c r="C68" s="74" t="s">
        <v>2041</v>
      </c>
      <c r="D68" s="74" t="s">
        <v>2222</v>
      </c>
      <c r="F68" s="74">
        <f t="shared" si="4"/>
        <v>38.11</v>
      </c>
      <c r="G68" s="74">
        <f t="shared" si="4"/>
        <v>39.020000000000003</v>
      </c>
      <c r="H68" s="74">
        <f t="shared" si="5"/>
        <v>38.11</v>
      </c>
      <c r="I68" s="74" t="s">
        <v>2223</v>
      </c>
    </row>
    <row r="69" spans="3:9">
      <c r="C69" s="74" t="s">
        <v>2041</v>
      </c>
      <c r="D69" s="74" t="s">
        <v>2229</v>
      </c>
      <c r="F69" s="74">
        <f t="shared" si="4"/>
        <v>2.73</v>
      </c>
      <c r="G69" s="74">
        <f t="shared" si="4"/>
        <v>2.73</v>
      </c>
      <c r="H69" s="74">
        <f t="shared" si="5"/>
        <v>2.73</v>
      </c>
      <c r="I69" s="74" t="s">
        <v>2224</v>
      </c>
    </row>
    <row r="70" spans="3:9">
      <c r="C70" s="74" t="s">
        <v>2041</v>
      </c>
      <c r="D70" s="74" t="s">
        <v>2229</v>
      </c>
      <c r="F70" s="74">
        <f t="shared" si="4"/>
        <v>4.78</v>
      </c>
      <c r="G70" s="74">
        <f t="shared" si="4"/>
        <v>4.78</v>
      </c>
      <c r="H70" s="74">
        <f t="shared" si="5"/>
        <v>4.78</v>
      </c>
      <c r="I70" s="74" t="s">
        <v>2225</v>
      </c>
    </row>
    <row r="71" spans="3:9">
      <c r="C71" s="74" t="s">
        <v>2041</v>
      </c>
      <c r="D71" s="74" t="s">
        <v>2229</v>
      </c>
      <c r="F71" s="74">
        <f t="shared" si="4"/>
        <v>0.25</v>
      </c>
      <c r="G71" s="74">
        <f t="shared" si="4"/>
        <v>0.25</v>
      </c>
      <c r="H71" s="74">
        <f t="shared" si="5"/>
        <v>0.25</v>
      </c>
      <c r="I71" s="74" t="s">
        <v>2226</v>
      </c>
    </row>
    <row r="72" spans="3:9">
      <c r="C72" s="74" t="s">
        <v>2041</v>
      </c>
      <c r="D72" s="74" t="s">
        <v>2229</v>
      </c>
      <c r="F72" s="74">
        <f t="shared" si="4"/>
        <v>1.37</v>
      </c>
      <c r="G72" s="74">
        <f t="shared" si="4"/>
        <v>1.37</v>
      </c>
      <c r="H72" s="74">
        <f t="shared" si="5"/>
        <v>1.37</v>
      </c>
      <c r="I72" s="74" t="s">
        <v>2223</v>
      </c>
    </row>
  </sheetData>
  <autoFilter ref="A1:N57" xr:uid="{39D0546A-53AC-4B7E-AB38-F48C8647CB0B}"/>
  <phoneticPr fontId="2"/>
  <pageMargins left="0.7" right="0.7" top="0.75" bottom="0.75" header="0.3" footer="0.3"/>
  <pageSetup paperSize="9" orientation="portrait" horizontalDpi="0" verticalDpi="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D9C7-CA7D-4BC8-AD17-EFEE541DAD67}">
  <sheetPr codeName="Sheet17"/>
  <dimension ref="A1:J61"/>
  <sheetViews>
    <sheetView topLeftCell="A13" workbookViewId="0">
      <selection activeCell="B19" sqref="B19"/>
    </sheetView>
  </sheetViews>
  <sheetFormatPr defaultColWidth="8.75" defaultRowHeight="15.75"/>
  <cols>
    <col min="1" max="1" width="19.5" style="1" bestFit="1" customWidth="1"/>
    <col min="2" max="2" width="8.75" style="1"/>
    <col min="3" max="10" width="8.75" style="1" bestFit="1" customWidth="1"/>
    <col min="11" max="16384" width="8.75" style="1"/>
  </cols>
  <sheetData>
    <row r="1" spans="1:10">
      <c r="A1" s="2" t="s">
        <v>1981</v>
      </c>
      <c r="B1" s="3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</row>
    <row r="2" spans="1:10">
      <c r="A2" s="5"/>
      <c r="B2" s="6"/>
      <c r="C2" s="4" t="s">
        <v>1982</v>
      </c>
      <c r="D2" s="4" t="s">
        <v>1982</v>
      </c>
      <c r="E2" s="4" t="s">
        <v>1983</v>
      </c>
      <c r="F2" s="4" t="s">
        <v>1984</v>
      </c>
      <c r="G2" s="4" t="s">
        <v>1985</v>
      </c>
      <c r="H2" s="4" t="s">
        <v>1985</v>
      </c>
      <c r="I2" s="4" t="s">
        <v>1986</v>
      </c>
      <c r="J2" s="4" t="s">
        <v>1987</v>
      </c>
    </row>
    <row r="3" spans="1:10">
      <c r="A3" s="7" t="s">
        <v>1988</v>
      </c>
      <c r="B3" s="8" t="s">
        <v>1989</v>
      </c>
      <c r="C3" s="9">
        <v>0.17893676524872837</v>
      </c>
      <c r="D3" s="9">
        <v>0.17893676524872837</v>
      </c>
      <c r="E3" s="9">
        <v>0.17893676524872837</v>
      </c>
      <c r="F3" s="9">
        <v>0.17531707257268611</v>
      </c>
      <c r="G3" s="9">
        <v>0.17531707257268611</v>
      </c>
      <c r="H3" s="9">
        <v>0.17531707257268611</v>
      </c>
      <c r="I3" s="9">
        <v>0.17531707257268611</v>
      </c>
      <c r="J3" s="9">
        <v>0.14581941845584376</v>
      </c>
    </row>
    <row r="4" spans="1:10">
      <c r="A4" s="10"/>
      <c r="B4" s="8" t="s">
        <v>1990</v>
      </c>
      <c r="C4" s="9">
        <v>0.27439000000000002</v>
      </c>
      <c r="D4" s="9">
        <v>0.27439000000000002</v>
      </c>
      <c r="E4" s="9">
        <v>0.27439000000000002</v>
      </c>
      <c r="F4" s="9">
        <v>0.36203000000000002</v>
      </c>
      <c r="G4" s="9">
        <v>0.36203000000000002</v>
      </c>
      <c r="H4" s="9">
        <v>0.36203000000000002</v>
      </c>
      <c r="I4" s="9">
        <v>0.36203000000000002</v>
      </c>
      <c r="J4" s="9">
        <v>0.28672000000000003</v>
      </c>
    </row>
    <row r="5" spans="1:10">
      <c r="A5" s="10"/>
      <c r="B5" s="8" t="s">
        <v>1991</v>
      </c>
      <c r="C5" s="9">
        <v>0.27212100941591927</v>
      </c>
      <c r="D5" s="9">
        <v>0.27212100941591927</v>
      </c>
      <c r="E5" s="9">
        <v>0.27212100941591927</v>
      </c>
      <c r="F5" s="9">
        <v>0.37280000000000002</v>
      </c>
      <c r="G5" s="9">
        <v>0.37280000000000002</v>
      </c>
      <c r="H5" s="9">
        <v>0.37280000000000002</v>
      </c>
      <c r="I5" s="9">
        <v>0.37280000000000002</v>
      </c>
      <c r="J5" s="9">
        <v>2.6669999999999998</v>
      </c>
    </row>
    <row r="6" spans="1:10">
      <c r="A6" s="11"/>
      <c r="B6" s="8" t="s">
        <v>1992</v>
      </c>
      <c r="C6" s="9">
        <v>1.9</v>
      </c>
      <c r="D6" s="9">
        <v>1.9</v>
      </c>
      <c r="E6" s="9">
        <v>1.9</v>
      </c>
      <c r="F6" s="9">
        <v>2.91</v>
      </c>
      <c r="G6" s="9">
        <v>2.91</v>
      </c>
      <c r="H6" s="9">
        <v>2.91</v>
      </c>
      <c r="I6" s="9">
        <v>2.91</v>
      </c>
      <c r="J6" s="9">
        <v>6.51</v>
      </c>
    </row>
    <row r="7" spans="1:10">
      <c r="A7" s="7" t="s">
        <v>1993</v>
      </c>
      <c r="B7" s="8" t="s">
        <v>1989</v>
      </c>
      <c r="C7" s="9">
        <v>0.1701540310441865</v>
      </c>
      <c r="D7" s="9">
        <v>0.1701540310441865</v>
      </c>
      <c r="E7" s="9">
        <v>0.27717744202048789</v>
      </c>
      <c r="F7" s="9">
        <v>0.27866280825855233</v>
      </c>
      <c r="G7" s="9">
        <v>0.27448533998752345</v>
      </c>
      <c r="H7" s="9">
        <v>0.27448533998752345</v>
      </c>
      <c r="I7" s="9">
        <v>0.27448533998752345</v>
      </c>
      <c r="J7" s="9">
        <v>0.14581941845584376</v>
      </c>
    </row>
    <row r="8" spans="1:10">
      <c r="A8" s="10"/>
      <c r="B8" s="8" t="s">
        <v>1990</v>
      </c>
      <c r="C8" s="9">
        <v>0.35233000000000003</v>
      </c>
      <c r="D8" s="9">
        <v>0.35233000000000003</v>
      </c>
      <c r="E8" s="9">
        <v>0.53361999999999998</v>
      </c>
      <c r="F8" s="9">
        <v>0.54191999999999996</v>
      </c>
      <c r="G8" s="9">
        <v>0.53776999999999997</v>
      </c>
      <c r="H8" s="9">
        <v>0.53776999999999997</v>
      </c>
      <c r="I8" s="9">
        <v>0.53776999999999997</v>
      </c>
      <c r="J8" s="9">
        <v>0.28672000000000003</v>
      </c>
    </row>
    <row r="9" spans="1:10">
      <c r="A9" s="10"/>
      <c r="B9" s="8" t="s">
        <v>1991</v>
      </c>
      <c r="C9" s="9">
        <v>0.31867141771942742</v>
      </c>
      <c r="D9" s="9">
        <v>0.31867141771942742</v>
      </c>
      <c r="E9" s="9">
        <v>0.35926997583645998</v>
      </c>
      <c r="F9" s="9">
        <v>0.56400000000000006</v>
      </c>
      <c r="G9" s="9">
        <v>0.55380000000000007</v>
      </c>
      <c r="H9" s="9">
        <v>0.55380000000000007</v>
      </c>
      <c r="I9" s="9">
        <v>0.55380000000000007</v>
      </c>
      <c r="J9" s="9">
        <v>2.6669999999999998</v>
      </c>
    </row>
    <row r="10" spans="1:10">
      <c r="A10" s="11"/>
      <c r="B10" s="8" t="s">
        <v>1992</v>
      </c>
      <c r="C10" s="9">
        <v>2.33</v>
      </c>
      <c r="D10" s="9">
        <v>2.33</v>
      </c>
      <c r="E10" s="9">
        <v>2.33</v>
      </c>
      <c r="F10" s="9">
        <v>3.49</v>
      </c>
      <c r="G10" s="9">
        <v>4.6500000000000004</v>
      </c>
      <c r="H10" s="9">
        <v>4.6500000000000004</v>
      </c>
      <c r="I10" s="9">
        <v>4.6500000000000004</v>
      </c>
      <c r="J10" s="9">
        <v>6.51</v>
      </c>
    </row>
    <row r="11" spans="1:10">
      <c r="A11" s="7" t="s">
        <v>1994</v>
      </c>
      <c r="B11" s="8" t="s">
        <v>1989</v>
      </c>
      <c r="C11" s="9">
        <v>0.2294737348856242</v>
      </c>
      <c r="D11" s="9">
        <v>0.2294737348856242</v>
      </c>
      <c r="E11" s="9">
        <v>0.48943270300333708</v>
      </c>
      <c r="F11" s="9">
        <v>0.68344206275240749</v>
      </c>
      <c r="G11" s="9">
        <v>0.7445008460236886</v>
      </c>
      <c r="H11" s="9">
        <v>0.7445008460236886</v>
      </c>
      <c r="I11" s="9">
        <v>0.76735263341471915</v>
      </c>
      <c r="J11" s="9">
        <v>4.1121495327102799</v>
      </c>
    </row>
    <row r="12" spans="1:10">
      <c r="A12" s="10"/>
      <c r="B12" s="8" t="s">
        <v>1990</v>
      </c>
      <c r="C12" s="9">
        <v>0.45061999999999997</v>
      </c>
      <c r="D12" s="9">
        <v>0.45061999999999997</v>
      </c>
      <c r="E12" s="9">
        <v>0.72700999999999993</v>
      </c>
      <c r="F12" s="9">
        <v>0.74360999999999988</v>
      </c>
      <c r="G12" s="9">
        <v>0.85648999999999997</v>
      </c>
      <c r="H12" s="9">
        <v>0.85648999999999997</v>
      </c>
      <c r="I12" s="9">
        <v>1.10134</v>
      </c>
      <c r="J12" s="9">
        <v>2.0840599999999996</v>
      </c>
    </row>
    <row r="13" spans="1:10">
      <c r="A13" s="10"/>
      <c r="B13" s="8" t="s">
        <v>1991</v>
      </c>
      <c r="C13" s="9">
        <v>0.42698241741308363</v>
      </c>
      <c r="D13" s="9">
        <v>0.42698241741308363</v>
      </c>
      <c r="E13" s="9">
        <v>0.79120000000000001</v>
      </c>
      <c r="F13" s="9">
        <v>0.82499999999999996</v>
      </c>
      <c r="G13" s="9">
        <v>1.36</v>
      </c>
      <c r="H13" s="9">
        <v>1.36</v>
      </c>
      <c r="I13" s="9">
        <v>1.6325999999999998</v>
      </c>
      <c r="J13" s="9">
        <v>2.6669999999999998</v>
      </c>
    </row>
    <row r="14" spans="1:10">
      <c r="A14" s="11"/>
      <c r="B14" s="8" t="s">
        <v>1992</v>
      </c>
      <c r="C14" s="9">
        <v>2.33</v>
      </c>
      <c r="D14" s="9">
        <v>2.33</v>
      </c>
      <c r="E14" s="9">
        <v>3.49</v>
      </c>
      <c r="F14" s="9">
        <v>4.6500000000000004</v>
      </c>
      <c r="G14" s="9">
        <v>6.51</v>
      </c>
      <c r="H14" s="9">
        <v>6.51</v>
      </c>
      <c r="I14" s="9">
        <v>6.51</v>
      </c>
      <c r="J14" s="9">
        <v>6.51</v>
      </c>
    </row>
    <row r="15" spans="1:10">
      <c r="A15" s="7" t="s">
        <v>1995</v>
      </c>
      <c r="B15" s="8" t="s">
        <v>1989</v>
      </c>
      <c r="C15" s="9">
        <v>0.25168744994851849</v>
      </c>
      <c r="D15" s="9">
        <v>0.25168744994851849</v>
      </c>
      <c r="E15" s="9">
        <v>0.64801178203240051</v>
      </c>
      <c r="F15" s="9">
        <v>0.63972084908403593</v>
      </c>
      <c r="G15" s="9">
        <v>0.95860566448801743</v>
      </c>
      <c r="H15" s="9">
        <v>0.95860566448801743</v>
      </c>
      <c r="I15" s="9">
        <v>3.0942334739803092</v>
      </c>
      <c r="J15" s="9">
        <v>3.0942334739803092</v>
      </c>
    </row>
    <row r="16" spans="1:10">
      <c r="A16" s="10"/>
      <c r="B16" s="8" t="s">
        <v>1990</v>
      </c>
      <c r="C16" s="9">
        <v>0.35233000000000003</v>
      </c>
      <c r="D16" s="9">
        <v>0.35233000000000003</v>
      </c>
      <c r="E16" s="9">
        <v>0.75191000000000008</v>
      </c>
      <c r="F16" s="9">
        <v>0.75191000000000008</v>
      </c>
      <c r="G16" s="9">
        <v>0.93783000000000005</v>
      </c>
      <c r="H16" s="9">
        <v>0.93783000000000005</v>
      </c>
      <c r="I16" s="9">
        <v>2.0840599999999996</v>
      </c>
      <c r="J16" s="9">
        <v>2.0840599999999996</v>
      </c>
    </row>
    <row r="17" spans="1:10">
      <c r="A17" s="10"/>
      <c r="B17" s="8" t="s">
        <v>1991</v>
      </c>
      <c r="C17" s="9">
        <v>0.34243534106961343</v>
      </c>
      <c r="D17" s="9">
        <v>0.34243534106961343</v>
      </c>
      <c r="E17" s="9">
        <v>0.96399999999999997</v>
      </c>
      <c r="F17" s="9">
        <v>0.94879999999999998</v>
      </c>
      <c r="G17" s="9">
        <v>1.2078</v>
      </c>
      <c r="H17" s="9">
        <v>1.2078</v>
      </c>
      <c r="I17" s="9">
        <v>2.6669999999999998</v>
      </c>
      <c r="J17" s="9">
        <v>2.6669999999999998</v>
      </c>
    </row>
    <row r="18" spans="1:10">
      <c r="A18" s="11"/>
      <c r="B18" s="8" t="s">
        <v>1992</v>
      </c>
      <c r="C18" s="9">
        <v>3.49</v>
      </c>
      <c r="D18" s="9">
        <v>3.49</v>
      </c>
      <c r="E18" s="9">
        <v>4.6500000000000004</v>
      </c>
      <c r="F18" s="9">
        <v>6.51</v>
      </c>
      <c r="G18" s="9">
        <v>6.51</v>
      </c>
      <c r="H18" s="9">
        <v>6.51</v>
      </c>
      <c r="I18" s="9">
        <v>6.51</v>
      </c>
      <c r="J18" s="9">
        <v>6.51</v>
      </c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 t="s">
        <v>1996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7" t="s">
        <v>1997</v>
      </c>
      <c r="B21" s="13" t="s">
        <v>1989</v>
      </c>
      <c r="C21" s="14">
        <v>0.22318181818181818</v>
      </c>
      <c r="D21" s="12"/>
      <c r="E21" s="12"/>
      <c r="F21" s="12"/>
      <c r="G21" s="12"/>
      <c r="H21" s="12"/>
      <c r="I21" s="12"/>
      <c r="J21" s="12"/>
    </row>
    <row r="22" spans="1:10">
      <c r="A22" s="10" t="s">
        <v>1998</v>
      </c>
      <c r="B22" s="13" t="s">
        <v>1990</v>
      </c>
      <c r="C22" s="14">
        <v>0.44641711229946524</v>
      </c>
      <c r="D22" s="12"/>
      <c r="E22" s="12"/>
      <c r="F22" s="12"/>
      <c r="G22" s="12"/>
      <c r="H22" s="12"/>
      <c r="I22" s="12"/>
      <c r="J22" s="12"/>
    </row>
    <row r="23" spans="1:10">
      <c r="A23" s="11"/>
      <c r="B23" s="13" t="s">
        <v>1991</v>
      </c>
      <c r="C23" s="14">
        <v>0.375</v>
      </c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5" t="s">
        <v>1999</v>
      </c>
      <c r="B25" s="16"/>
      <c r="C25" s="17">
        <v>1</v>
      </c>
      <c r="D25" s="17">
        <v>2</v>
      </c>
      <c r="E25" s="17">
        <v>3</v>
      </c>
      <c r="F25" s="17">
        <v>4</v>
      </c>
      <c r="G25" s="17">
        <v>5</v>
      </c>
      <c r="H25" s="17">
        <v>6</v>
      </c>
      <c r="I25" s="17">
        <v>7</v>
      </c>
      <c r="J25" s="17">
        <v>8</v>
      </c>
    </row>
    <row r="26" spans="1:10">
      <c r="A26" s="18"/>
      <c r="B26" s="19"/>
      <c r="C26" s="17" t="s">
        <v>1982</v>
      </c>
      <c r="D26" s="17" t="s">
        <v>1982</v>
      </c>
      <c r="E26" s="17" t="s">
        <v>1983</v>
      </c>
      <c r="F26" s="17" t="s">
        <v>1984</v>
      </c>
      <c r="G26" s="17" t="s">
        <v>1985</v>
      </c>
      <c r="H26" s="17" t="s">
        <v>1985</v>
      </c>
      <c r="I26" s="17" t="s">
        <v>1986</v>
      </c>
      <c r="J26" s="17" t="s">
        <v>1987</v>
      </c>
    </row>
    <row r="27" spans="1:10">
      <c r="A27" s="7" t="s">
        <v>1988</v>
      </c>
      <c r="B27" s="8" t="s">
        <v>1989</v>
      </c>
      <c r="C27" s="9">
        <f>1/C3-$C21</f>
        <v>5.365384615384615</v>
      </c>
      <c r="D27" s="9">
        <f t="shared" ref="C27:J29" si="0">1/D3-$C21</f>
        <v>5.365384615384615</v>
      </c>
      <c r="E27" s="9">
        <f t="shared" si="0"/>
        <v>5.365384615384615</v>
      </c>
      <c r="F27" s="9">
        <f t="shared" si="0"/>
        <v>5.4807692307692299</v>
      </c>
      <c r="G27" s="9">
        <f t="shared" si="0"/>
        <v>5.4807692307692299</v>
      </c>
      <c r="H27" s="9">
        <f t="shared" si="0"/>
        <v>5.4807692307692299</v>
      </c>
      <c r="I27" s="9">
        <f t="shared" si="0"/>
        <v>5.4807692307692299</v>
      </c>
      <c r="J27" s="9">
        <f t="shared" si="0"/>
        <v>6.6346153846153832</v>
      </c>
    </row>
    <row r="28" spans="1:10">
      <c r="A28" s="10"/>
      <c r="B28" s="8" t="s">
        <v>1990</v>
      </c>
      <c r="C28" s="9">
        <f t="shared" si="0"/>
        <v>3.1980305716540314</v>
      </c>
      <c r="D28" s="9">
        <f t="shared" si="0"/>
        <v>3.1980305716540314</v>
      </c>
      <c r="E28" s="9">
        <f t="shared" si="0"/>
        <v>3.1980305716540314</v>
      </c>
      <c r="F28" s="9">
        <f t="shared" si="0"/>
        <v>2.3157849151568231</v>
      </c>
      <c r="G28" s="9">
        <f t="shared" si="0"/>
        <v>2.3157849151568231</v>
      </c>
      <c r="H28" s="9">
        <f t="shared" si="0"/>
        <v>2.3157849151568231</v>
      </c>
      <c r="I28" s="9">
        <f t="shared" si="0"/>
        <v>2.3157849151568231</v>
      </c>
      <c r="J28" s="9">
        <f t="shared" si="0"/>
        <v>3.0413061019862488</v>
      </c>
    </row>
    <row r="29" spans="1:10">
      <c r="A29" s="10"/>
      <c r="B29" s="8" t="s">
        <v>1991</v>
      </c>
      <c r="C29" s="9">
        <f t="shared" si="0"/>
        <v>3.2998356995529332</v>
      </c>
      <c r="D29" s="9">
        <f t="shared" si="0"/>
        <v>3.2998356995529332</v>
      </c>
      <c r="E29" s="9">
        <f t="shared" si="0"/>
        <v>3.2998356995529332</v>
      </c>
      <c r="F29" s="9">
        <f t="shared" si="0"/>
        <v>2.3074034334763946</v>
      </c>
      <c r="G29" s="9">
        <f t="shared" si="0"/>
        <v>2.3074034334763946</v>
      </c>
      <c r="H29" s="9">
        <f t="shared" si="0"/>
        <v>2.3074034334763946</v>
      </c>
      <c r="I29" s="9">
        <f t="shared" si="0"/>
        <v>2.3074034334763946</v>
      </c>
      <c r="J29" s="9">
        <f t="shared" si="0"/>
        <v>-4.6869141357319677E-5</v>
      </c>
    </row>
    <row r="30" spans="1:10">
      <c r="A30" s="11"/>
      <c r="B30" s="8" t="s">
        <v>1992</v>
      </c>
      <c r="C30" s="9"/>
      <c r="D30" s="9"/>
      <c r="E30" s="9"/>
      <c r="F30" s="9"/>
      <c r="G30" s="9"/>
      <c r="H30" s="9"/>
      <c r="I30" s="9"/>
      <c r="J30" s="9"/>
    </row>
    <row r="31" spans="1:10">
      <c r="A31" s="7" t="s">
        <v>1993</v>
      </c>
      <c r="B31" s="8" t="s">
        <v>1989</v>
      </c>
      <c r="C31" s="9">
        <f>1/C7-$C21</f>
        <v>5.6538461538461533</v>
      </c>
      <c r="D31" s="9">
        <f t="shared" ref="D31:J31" si="1">1/D7-$C21</f>
        <v>5.6538461538461533</v>
      </c>
      <c r="E31" s="9">
        <f t="shared" si="1"/>
        <v>3.3846153846153846</v>
      </c>
      <c r="F31" s="9">
        <f t="shared" si="1"/>
        <v>3.3653846153846154</v>
      </c>
      <c r="G31" s="9">
        <f t="shared" si="1"/>
        <v>3.4199999999999995</v>
      </c>
      <c r="H31" s="9">
        <f t="shared" si="1"/>
        <v>3.4199999999999995</v>
      </c>
      <c r="I31" s="9">
        <f t="shared" si="1"/>
        <v>3.4199999999999995</v>
      </c>
      <c r="J31" s="9">
        <f t="shared" si="1"/>
        <v>6.6346153846153832</v>
      </c>
    </row>
    <row r="32" spans="1:10">
      <c r="A32" s="10"/>
      <c r="B32" s="8" t="s">
        <v>1990</v>
      </c>
      <c r="C32" s="9">
        <f t="shared" ref="C32:J33" si="2">1/C8-$C22</f>
        <v>2.3918311208910095</v>
      </c>
      <c r="D32" s="9">
        <f t="shared" si="2"/>
        <v>2.3918311208910095</v>
      </c>
      <c r="E32" s="9">
        <f t="shared" si="2"/>
        <v>1.4275756166087468</v>
      </c>
      <c r="F32" s="9">
        <f t="shared" si="2"/>
        <v>1.3988737055334255</v>
      </c>
      <c r="G32" s="9">
        <f t="shared" si="2"/>
        <v>1.4131139139757081</v>
      </c>
      <c r="H32" s="9">
        <f t="shared" si="2"/>
        <v>1.4131139139757081</v>
      </c>
      <c r="I32" s="9">
        <f t="shared" si="2"/>
        <v>1.4131139139757081</v>
      </c>
      <c r="J32" s="9">
        <f t="shared" si="2"/>
        <v>3.0413061019862488</v>
      </c>
    </row>
    <row r="33" spans="1:10">
      <c r="A33" s="10"/>
      <c r="B33" s="8" t="s">
        <v>1991</v>
      </c>
      <c r="C33" s="9">
        <f t="shared" si="2"/>
        <v>2.7630285284337761</v>
      </c>
      <c r="D33" s="9">
        <f t="shared" si="2"/>
        <v>2.7630285284337761</v>
      </c>
      <c r="E33" s="9">
        <f t="shared" si="2"/>
        <v>2.408422126137256</v>
      </c>
      <c r="F33" s="9">
        <f t="shared" si="2"/>
        <v>1.3980496453900708</v>
      </c>
      <c r="G33" s="9">
        <f t="shared" si="2"/>
        <v>1.4307060310581434</v>
      </c>
      <c r="H33" s="9">
        <f t="shared" si="2"/>
        <v>1.4307060310581434</v>
      </c>
      <c r="I33" s="9">
        <f t="shared" si="2"/>
        <v>1.4307060310581434</v>
      </c>
      <c r="J33" s="9">
        <f t="shared" si="2"/>
        <v>-4.6869141357319677E-5</v>
      </c>
    </row>
    <row r="34" spans="1:10">
      <c r="A34" s="11"/>
      <c r="B34" s="8" t="s">
        <v>1992</v>
      </c>
      <c r="C34" s="9"/>
      <c r="D34" s="9"/>
      <c r="E34" s="9"/>
      <c r="F34" s="9"/>
      <c r="G34" s="9"/>
      <c r="H34" s="9"/>
      <c r="I34" s="9"/>
      <c r="J34" s="9"/>
    </row>
    <row r="35" spans="1:10">
      <c r="A35" s="7" t="s">
        <v>1994</v>
      </c>
      <c r="B35" s="8" t="s">
        <v>1989</v>
      </c>
      <c r="C35" s="9">
        <f>1/C11-$C21</f>
        <v>4.1346153846153841</v>
      </c>
      <c r="D35" s="9">
        <f t="shared" ref="D35:J35" si="3">1/D11-$C21</f>
        <v>4.1346153846153841</v>
      </c>
      <c r="E35" s="9">
        <f t="shared" si="3"/>
        <v>1.8199999999999998</v>
      </c>
      <c r="F35" s="9">
        <f t="shared" si="3"/>
        <v>1.2400000000000002</v>
      </c>
      <c r="G35" s="9">
        <f t="shared" si="3"/>
        <v>1.1200000000000001</v>
      </c>
      <c r="H35" s="9">
        <f t="shared" si="3"/>
        <v>1.1200000000000001</v>
      </c>
      <c r="I35" s="9">
        <f t="shared" si="3"/>
        <v>1.08</v>
      </c>
      <c r="J35" s="9">
        <f t="shared" si="3"/>
        <v>2.0000000000000046E-2</v>
      </c>
    </row>
    <row r="36" spans="1:10">
      <c r="A36" s="10"/>
      <c r="B36" s="8" t="s">
        <v>1990</v>
      </c>
      <c r="C36" s="9">
        <f t="shared" ref="C36:J37" si="4">1/C12-$C22</f>
        <v>1.7727475941050446</v>
      </c>
      <c r="D36" s="9">
        <f t="shared" si="4"/>
        <v>1.7727475941050446</v>
      </c>
      <c r="E36" s="9">
        <f t="shared" si="4"/>
        <v>0.92907978595502938</v>
      </c>
      <c r="F36" s="9">
        <f t="shared" si="4"/>
        <v>0.89837383994700837</v>
      </c>
      <c r="G36" s="9">
        <f t="shared" si="4"/>
        <v>0.72113884281968399</v>
      </c>
      <c r="H36" s="9">
        <f t="shared" si="4"/>
        <v>0.72113884281968399</v>
      </c>
      <c r="I36" s="9">
        <f t="shared" si="4"/>
        <v>0.4615677061943696</v>
      </c>
      <c r="J36" s="9">
        <f t="shared" si="4"/>
        <v>3.3415522077664128E-2</v>
      </c>
    </row>
    <row r="37" spans="1:10">
      <c r="A37" s="10"/>
      <c r="B37" s="8" t="s">
        <v>1991</v>
      </c>
      <c r="C37" s="9">
        <f t="shared" si="4"/>
        <v>1.9670168119769467</v>
      </c>
      <c r="D37" s="9">
        <f t="shared" si="4"/>
        <v>1.9670168119769467</v>
      </c>
      <c r="E37" s="9">
        <f t="shared" si="4"/>
        <v>0.88890293225480277</v>
      </c>
      <c r="F37" s="9">
        <f t="shared" si="4"/>
        <v>0.83712121212121215</v>
      </c>
      <c r="G37" s="9">
        <f t="shared" si="4"/>
        <v>0.36029411764705876</v>
      </c>
      <c r="H37" s="9">
        <f t="shared" si="4"/>
        <v>0.36029411764705876</v>
      </c>
      <c r="I37" s="9">
        <f t="shared" si="4"/>
        <v>0.23751990689697422</v>
      </c>
      <c r="J37" s="9">
        <f t="shared" si="4"/>
        <v>-4.6869141357319677E-5</v>
      </c>
    </row>
    <row r="38" spans="1:10">
      <c r="A38" s="11"/>
      <c r="B38" s="8" t="s">
        <v>1992</v>
      </c>
      <c r="C38" s="9"/>
      <c r="D38" s="9"/>
      <c r="E38" s="9"/>
      <c r="F38" s="9"/>
      <c r="G38" s="9"/>
      <c r="H38" s="9"/>
      <c r="I38" s="9"/>
      <c r="J38" s="9"/>
    </row>
    <row r="39" spans="1:10">
      <c r="A39" s="7" t="s">
        <v>1995</v>
      </c>
      <c r="B39" s="8" t="s">
        <v>1989</v>
      </c>
      <c r="C39" s="9">
        <f>1/C15-$C21</f>
        <v>3.7499999999999996</v>
      </c>
      <c r="D39" s="9">
        <f t="shared" ref="D39:J39" si="5">1/D15-$C21</f>
        <v>3.7499999999999996</v>
      </c>
      <c r="E39" s="9">
        <f t="shared" si="5"/>
        <v>1.3200000000000003</v>
      </c>
      <c r="F39" s="9">
        <f t="shared" si="5"/>
        <v>1.3400000000000003</v>
      </c>
      <c r="G39" s="9">
        <f t="shared" si="5"/>
        <v>0.82000000000000006</v>
      </c>
      <c r="H39" s="9">
        <f t="shared" si="5"/>
        <v>0.82000000000000006</v>
      </c>
      <c r="I39" s="9">
        <f t="shared" si="5"/>
        <v>0.1</v>
      </c>
      <c r="J39" s="9">
        <f t="shared" si="5"/>
        <v>0.1</v>
      </c>
    </row>
    <row r="40" spans="1:10">
      <c r="A40" s="10"/>
      <c r="B40" s="8" t="s">
        <v>1990</v>
      </c>
      <c r="C40" s="9">
        <f t="shared" ref="C40:J41" si="6">1/C16-$C22</f>
        <v>2.3918311208910095</v>
      </c>
      <c r="D40" s="9">
        <f t="shared" si="6"/>
        <v>2.3918311208910095</v>
      </c>
      <c r="E40" s="9">
        <f t="shared" si="6"/>
        <v>0.88352929086048737</v>
      </c>
      <c r="F40" s="9">
        <f t="shared" si="6"/>
        <v>0.88352929086048737</v>
      </c>
      <c r="G40" s="9">
        <f t="shared" si="6"/>
        <v>0.61987421981829594</v>
      </c>
      <c r="H40" s="9">
        <f t="shared" si="6"/>
        <v>0.61987421981829594</v>
      </c>
      <c r="I40" s="9">
        <f t="shared" si="6"/>
        <v>3.3415522077664128E-2</v>
      </c>
      <c r="J40" s="9">
        <f t="shared" si="6"/>
        <v>3.3415522077664128E-2</v>
      </c>
    </row>
    <row r="41" spans="1:10">
      <c r="A41" s="10"/>
      <c r="B41" s="8" t="s">
        <v>1991</v>
      </c>
      <c r="C41" s="9">
        <f t="shared" si="6"/>
        <v>2.5452593309336922</v>
      </c>
      <c r="D41" s="9">
        <f t="shared" si="6"/>
        <v>2.5452593309336922</v>
      </c>
      <c r="E41" s="9">
        <f t="shared" si="6"/>
        <v>0.66234439834024905</v>
      </c>
      <c r="F41" s="9">
        <f t="shared" si="6"/>
        <v>0.67896290050590213</v>
      </c>
      <c r="G41" s="9">
        <f t="shared" si="6"/>
        <v>0.45295164762377882</v>
      </c>
      <c r="H41" s="9">
        <f t="shared" si="6"/>
        <v>0.45295164762377882</v>
      </c>
      <c r="I41" s="9">
        <f t="shared" si="6"/>
        <v>-4.6869141357319677E-5</v>
      </c>
      <c r="J41" s="9">
        <f t="shared" si="6"/>
        <v>-4.6869141357319677E-5</v>
      </c>
    </row>
    <row r="42" spans="1:10">
      <c r="A42" s="11"/>
      <c r="B42" s="8" t="s">
        <v>1992</v>
      </c>
      <c r="C42" s="9"/>
      <c r="D42" s="9"/>
      <c r="E42" s="9"/>
      <c r="F42" s="9"/>
      <c r="G42" s="9"/>
      <c r="H42" s="9"/>
      <c r="I42" s="9"/>
      <c r="J42" s="9"/>
    </row>
    <row r="43" spans="1:10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>
      <c r="A44" s="15" t="s">
        <v>2000</v>
      </c>
      <c r="B44" s="16"/>
      <c r="C44" s="17">
        <v>1</v>
      </c>
      <c r="D44" s="17">
        <v>2</v>
      </c>
      <c r="E44" s="17">
        <v>3</v>
      </c>
      <c r="F44" s="17">
        <v>4</v>
      </c>
      <c r="G44" s="17">
        <v>5</v>
      </c>
      <c r="H44" s="17">
        <v>6</v>
      </c>
      <c r="I44" s="17">
        <v>7</v>
      </c>
      <c r="J44" s="17">
        <v>8</v>
      </c>
    </row>
    <row r="45" spans="1:10">
      <c r="A45" s="20">
        <v>0.05</v>
      </c>
      <c r="B45" s="19"/>
      <c r="C45" s="17" t="s">
        <v>1982</v>
      </c>
      <c r="D45" s="17" t="s">
        <v>1982</v>
      </c>
      <c r="E45" s="17" t="s">
        <v>1983</v>
      </c>
      <c r="F45" s="17" t="s">
        <v>1984</v>
      </c>
      <c r="G45" s="17" t="s">
        <v>1985</v>
      </c>
      <c r="H45" s="17" t="s">
        <v>1985</v>
      </c>
      <c r="I45" s="17" t="s">
        <v>1986</v>
      </c>
      <c r="J45" s="17" t="s">
        <v>1987</v>
      </c>
    </row>
    <row r="46" spans="1:10">
      <c r="A46" s="7" t="s">
        <v>1988</v>
      </c>
      <c r="B46" s="8" t="s">
        <v>1989</v>
      </c>
      <c r="C46" s="21">
        <f>C27*$A$45*1000</f>
        <v>268.26923076923077</v>
      </c>
      <c r="D46" s="21">
        <f t="shared" ref="C46:J48" si="7">D27*$A$45*1000</f>
        <v>268.26923076923077</v>
      </c>
      <c r="E46" s="21">
        <f t="shared" si="7"/>
        <v>268.26923076923077</v>
      </c>
      <c r="F46" s="21">
        <f t="shared" si="7"/>
        <v>274.03846153846149</v>
      </c>
      <c r="G46" s="21">
        <f t="shared" si="7"/>
        <v>274.03846153846149</v>
      </c>
      <c r="H46" s="21">
        <f t="shared" si="7"/>
        <v>274.03846153846149</v>
      </c>
      <c r="I46" s="21">
        <f t="shared" si="7"/>
        <v>274.03846153846149</v>
      </c>
      <c r="J46" s="21">
        <f t="shared" si="7"/>
        <v>331.73076923076917</v>
      </c>
    </row>
    <row r="47" spans="1:10">
      <c r="A47" s="10"/>
      <c r="B47" s="8" t="s">
        <v>1990</v>
      </c>
      <c r="C47" s="21">
        <f t="shared" si="7"/>
        <v>159.90152858270156</v>
      </c>
      <c r="D47" s="21">
        <f t="shared" si="7"/>
        <v>159.90152858270156</v>
      </c>
      <c r="E47" s="21">
        <f t="shared" si="7"/>
        <v>159.90152858270156</v>
      </c>
      <c r="F47" s="21">
        <f t="shared" si="7"/>
        <v>115.78924575784116</v>
      </c>
      <c r="G47" s="21">
        <f t="shared" si="7"/>
        <v>115.78924575784116</v>
      </c>
      <c r="H47" s="21">
        <f t="shared" si="7"/>
        <v>115.78924575784116</v>
      </c>
      <c r="I47" s="21">
        <f t="shared" si="7"/>
        <v>115.78924575784116</v>
      </c>
      <c r="J47" s="21">
        <f t="shared" si="7"/>
        <v>152.06530509931247</v>
      </c>
    </row>
    <row r="48" spans="1:10">
      <c r="A48" s="10"/>
      <c r="B48" s="8" t="s">
        <v>1991</v>
      </c>
      <c r="C48" s="21">
        <f t="shared" si="7"/>
        <v>164.99178497764666</v>
      </c>
      <c r="D48" s="21">
        <f t="shared" si="7"/>
        <v>164.99178497764666</v>
      </c>
      <c r="E48" s="21">
        <f t="shared" si="7"/>
        <v>164.99178497764666</v>
      </c>
      <c r="F48" s="21">
        <f t="shared" si="7"/>
        <v>115.37017167381974</v>
      </c>
      <c r="G48" s="21">
        <f t="shared" si="7"/>
        <v>115.37017167381974</v>
      </c>
      <c r="H48" s="21">
        <f t="shared" si="7"/>
        <v>115.37017167381974</v>
      </c>
      <c r="I48" s="21">
        <f t="shared" si="7"/>
        <v>115.37017167381974</v>
      </c>
      <c r="J48" s="21">
        <f t="shared" si="7"/>
        <v>-2.3434570678659838E-3</v>
      </c>
    </row>
    <row r="49" spans="1:10">
      <c r="A49" s="11"/>
      <c r="B49" s="8" t="s">
        <v>1992</v>
      </c>
      <c r="C49" s="9">
        <f>C6</f>
        <v>1.9</v>
      </c>
      <c r="D49" s="9">
        <f t="shared" ref="D49:J49" si="8">D6</f>
        <v>1.9</v>
      </c>
      <c r="E49" s="9">
        <f t="shared" si="8"/>
        <v>1.9</v>
      </c>
      <c r="F49" s="9">
        <f t="shared" si="8"/>
        <v>2.91</v>
      </c>
      <c r="G49" s="9">
        <f t="shared" si="8"/>
        <v>2.91</v>
      </c>
      <c r="H49" s="9">
        <f>H6</f>
        <v>2.91</v>
      </c>
      <c r="I49" s="9">
        <f t="shared" si="8"/>
        <v>2.91</v>
      </c>
      <c r="J49" s="9">
        <f t="shared" si="8"/>
        <v>6.51</v>
      </c>
    </row>
    <row r="50" spans="1:10">
      <c r="A50" s="7" t="s">
        <v>1993</v>
      </c>
      <c r="B50" s="8" t="s">
        <v>1989</v>
      </c>
      <c r="C50" s="21">
        <f t="shared" ref="C50:J52" si="9">C31*$A$45*1000</f>
        <v>282.69230769230768</v>
      </c>
      <c r="D50" s="21">
        <f t="shared" si="9"/>
        <v>282.69230769230768</v>
      </c>
      <c r="E50" s="21">
        <f t="shared" si="9"/>
        <v>169.23076923076923</v>
      </c>
      <c r="F50" s="21">
        <f t="shared" si="9"/>
        <v>168.26923076923077</v>
      </c>
      <c r="G50" s="21">
        <f t="shared" si="9"/>
        <v>170.99999999999997</v>
      </c>
      <c r="H50" s="21">
        <f t="shared" si="9"/>
        <v>170.99999999999997</v>
      </c>
      <c r="I50" s="21">
        <f t="shared" si="9"/>
        <v>170.99999999999997</v>
      </c>
      <c r="J50" s="21">
        <f t="shared" si="9"/>
        <v>331.73076923076917</v>
      </c>
    </row>
    <row r="51" spans="1:10">
      <c r="A51" s="10"/>
      <c r="B51" s="8" t="s">
        <v>1990</v>
      </c>
      <c r="C51" s="21">
        <f t="shared" si="9"/>
        <v>119.59155604455047</v>
      </c>
      <c r="D51" s="21">
        <f t="shared" si="9"/>
        <v>119.59155604455047</v>
      </c>
      <c r="E51" s="21">
        <f t="shared" si="9"/>
        <v>71.37878083043735</v>
      </c>
      <c r="F51" s="21">
        <f t="shared" si="9"/>
        <v>69.943685276671275</v>
      </c>
      <c r="G51" s="21">
        <f t="shared" si="9"/>
        <v>70.655695698785408</v>
      </c>
      <c r="H51" s="21">
        <f t="shared" si="9"/>
        <v>70.655695698785408</v>
      </c>
      <c r="I51" s="21">
        <f t="shared" si="9"/>
        <v>70.655695698785408</v>
      </c>
      <c r="J51" s="21">
        <f t="shared" si="9"/>
        <v>152.06530509931247</v>
      </c>
    </row>
    <row r="52" spans="1:10">
      <c r="A52" s="10"/>
      <c r="B52" s="8" t="s">
        <v>1991</v>
      </c>
      <c r="C52" s="21">
        <f t="shared" si="9"/>
        <v>138.15142642168883</v>
      </c>
      <c r="D52" s="21">
        <f t="shared" si="9"/>
        <v>138.15142642168883</v>
      </c>
      <c r="E52" s="21">
        <f t="shared" si="9"/>
        <v>120.42110630686281</v>
      </c>
      <c r="F52" s="21">
        <f t="shared" si="9"/>
        <v>69.902482269503551</v>
      </c>
      <c r="G52" s="21">
        <f t="shared" si="9"/>
        <v>71.535301552907171</v>
      </c>
      <c r="H52" s="21">
        <f t="shared" si="9"/>
        <v>71.535301552907171</v>
      </c>
      <c r="I52" s="21">
        <f t="shared" si="9"/>
        <v>71.535301552907171</v>
      </c>
      <c r="J52" s="21">
        <f t="shared" si="9"/>
        <v>-2.3434570678659838E-3</v>
      </c>
    </row>
    <row r="53" spans="1:10">
      <c r="A53" s="11"/>
      <c r="B53" s="8" t="s">
        <v>1992</v>
      </c>
      <c r="C53" s="9">
        <f>C10</f>
        <v>2.33</v>
      </c>
      <c r="D53" s="9">
        <f t="shared" ref="D53:J53" si="10">D10</f>
        <v>2.33</v>
      </c>
      <c r="E53" s="9">
        <f t="shared" si="10"/>
        <v>2.33</v>
      </c>
      <c r="F53" s="9">
        <f t="shared" si="10"/>
        <v>3.49</v>
      </c>
      <c r="G53" s="9">
        <f t="shared" si="10"/>
        <v>4.6500000000000004</v>
      </c>
      <c r="H53" s="9">
        <f t="shared" si="10"/>
        <v>4.6500000000000004</v>
      </c>
      <c r="I53" s="9">
        <f t="shared" si="10"/>
        <v>4.6500000000000004</v>
      </c>
      <c r="J53" s="9">
        <f t="shared" si="10"/>
        <v>6.51</v>
      </c>
    </row>
    <row r="54" spans="1:10">
      <c r="A54" s="7" t="s">
        <v>1994</v>
      </c>
      <c r="B54" s="8" t="s">
        <v>1989</v>
      </c>
      <c r="C54" s="21">
        <f t="shared" ref="C54:J56" si="11">C35*$A$45*1000</f>
        <v>206.73076923076923</v>
      </c>
      <c r="D54" s="21">
        <f t="shared" si="11"/>
        <v>206.73076923076923</v>
      </c>
      <c r="E54" s="21">
        <f t="shared" si="11"/>
        <v>91</v>
      </c>
      <c r="F54" s="21">
        <f t="shared" si="11"/>
        <v>62.000000000000014</v>
      </c>
      <c r="G54" s="21">
        <f t="shared" si="11"/>
        <v>56.000000000000007</v>
      </c>
      <c r="H54" s="21">
        <f t="shared" si="11"/>
        <v>56.000000000000007</v>
      </c>
      <c r="I54" s="21">
        <f t="shared" si="11"/>
        <v>54.000000000000007</v>
      </c>
      <c r="J54" s="21">
        <f t="shared" si="11"/>
        <v>1.0000000000000024</v>
      </c>
    </row>
    <row r="55" spans="1:10">
      <c r="A55" s="10"/>
      <c r="B55" s="8" t="s">
        <v>1990</v>
      </c>
      <c r="C55" s="21">
        <f t="shared" si="11"/>
        <v>88.637379705252229</v>
      </c>
      <c r="D55" s="21">
        <f t="shared" si="11"/>
        <v>88.637379705252229</v>
      </c>
      <c r="E55" s="21">
        <f t="shared" si="11"/>
        <v>46.45398929775147</v>
      </c>
      <c r="F55" s="21">
        <f t="shared" si="11"/>
        <v>44.918691997350422</v>
      </c>
      <c r="G55" s="21">
        <f t="shared" si="11"/>
        <v>36.056942140984198</v>
      </c>
      <c r="H55" s="21">
        <f t="shared" si="11"/>
        <v>36.056942140984198</v>
      </c>
      <c r="I55" s="21">
        <f t="shared" si="11"/>
        <v>23.078385309718481</v>
      </c>
      <c r="J55" s="21">
        <f t="shared" si="11"/>
        <v>1.6707761038832065</v>
      </c>
    </row>
    <row r="56" spans="1:10">
      <c r="A56" s="10"/>
      <c r="B56" s="8" t="s">
        <v>1991</v>
      </c>
      <c r="C56" s="21">
        <f t="shared" si="11"/>
        <v>98.350840598847341</v>
      </c>
      <c r="D56" s="21">
        <f t="shared" si="11"/>
        <v>98.350840598847341</v>
      </c>
      <c r="E56" s="21">
        <f t="shared" si="11"/>
        <v>44.445146612740139</v>
      </c>
      <c r="F56" s="21">
        <f t="shared" si="11"/>
        <v>41.856060606060609</v>
      </c>
      <c r="G56" s="21">
        <f t="shared" si="11"/>
        <v>18.014705882352938</v>
      </c>
      <c r="H56" s="21">
        <f t="shared" si="11"/>
        <v>18.014705882352938</v>
      </c>
      <c r="I56" s="21">
        <f t="shared" si="11"/>
        <v>11.875995344848713</v>
      </c>
      <c r="J56" s="21">
        <f t="shared" si="11"/>
        <v>-2.3434570678659838E-3</v>
      </c>
    </row>
    <row r="57" spans="1:10">
      <c r="A57" s="11"/>
      <c r="B57" s="8" t="s">
        <v>1992</v>
      </c>
      <c r="C57" s="9">
        <f>C14</f>
        <v>2.33</v>
      </c>
      <c r="D57" s="9">
        <f t="shared" ref="D57:J57" si="12">D14</f>
        <v>2.33</v>
      </c>
      <c r="E57" s="9">
        <f t="shared" si="12"/>
        <v>3.49</v>
      </c>
      <c r="F57" s="9">
        <f t="shared" si="12"/>
        <v>4.6500000000000004</v>
      </c>
      <c r="G57" s="9">
        <f t="shared" si="12"/>
        <v>6.51</v>
      </c>
      <c r="H57" s="9">
        <f t="shared" si="12"/>
        <v>6.51</v>
      </c>
      <c r="I57" s="9">
        <f t="shared" si="12"/>
        <v>6.51</v>
      </c>
      <c r="J57" s="9">
        <f t="shared" si="12"/>
        <v>6.51</v>
      </c>
    </row>
    <row r="58" spans="1:10">
      <c r="A58" s="7" t="s">
        <v>1995</v>
      </c>
      <c r="B58" s="8" t="s">
        <v>1989</v>
      </c>
      <c r="C58" s="21">
        <f t="shared" ref="C58:J60" si="13">C39*$A$45*1000</f>
        <v>187.5</v>
      </c>
      <c r="D58" s="21">
        <f t="shared" si="13"/>
        <v>187.5</v>
      </c>
      <c r="E58" s="21">
        <f t="shared" si="13"/>
        <v>66.000000000000014</v>
      </c>
      <c r="F58" s="21">
        <f t="shared" si="13"/>
        <v>67.000000000000014</v>
      </c>
      <c r="G58" s="21">
        <f t="shared" si="13"/>
        <v>41.000000000000007</v>
      </c>
      <c r="H58" s="21">
        <f t="shared" si="13"/>
        <v>41.000000000000007</v>
      </c>
      <c r="I58" s="21">
        <f t="shared" si="13"/>
        <v>5.0000000000000009</v>
      </c>
      <c r="J58" s="21">
        <f t="shared" si="13"/>
        <v>5.0000000000000009</v>
      </c>
    </row>
    <row r="59" spans="1:10">
      <c r="A59" s="10"/>
      <c r="B59" s="8" t="s">
        <v>1990</v>
      </c>
      <c r="C59" s="21">
        <f t="shared" si="13"/>
        <v>119.59155604455047</v>
      </c>
      <c r="D59" s="21">
        <f t="shared" si="13"/>
        <v>119.59155604455047</v>
      </c>
      <c r="E59" s="21">
        <f t="shared" si="13"/>
        <v>44.176464543024373</v>
      </c>
      <c r="F59" s="21">
        <f t="shared" si="13"/>
        <v>44.176464543024373</v>
      </c>
      <c r="G59" s="21">
        <f t="shared" si="13"/>
        <v>30.993710990914799</v>
      </c>
      <c r="H59" s="21">
        <f t="shared" si="13"/>
        <v>30.993710990914799</v>
      </c>
      <c r="I59" s="21">
        <f t="shared" si="13"/>
        <v>1.6707761038832065</v>
      </c>
      <c r="J59" s="21">
        <f t="shared" si="13"/>
        <v>1.6707761038832065</v>
      </c>
    </row>
    <row r="60" spans="1:10">
      <c r="A60" s="10"/>
      <c r="B60" s="8" t="s">
        <v>1991</v>
      </c>
      <c r="C60" s="21">
        <f t="shared" si="13"/>
        <v>127.26296654668462</v>
      </c>
      <c r="D60" s="21">
        <f t="shared" si="13"/>
        <v>127.26296654668462</v>
      </c>
      <c r="E60" s="21">
        <f t="shared" si="13"/>
        <v>33.117219917012456</v>
      </c>
      <c r="F60" s="21">
        <f t="shared" si="13"/>
        <v>33.948145025295105</v>
      </c>
      <c r="G60" s="21">
        <f t="shared" si="13"/>
        <v>22.64758238118894</v>
      </c>
      <c r="H60" s="21">
        <f t="shared" si="13"/>
        <v>22.64758238118894</v>
      </c>
      <c r="I60" s="21">
        <f t="shared" si="13"/>
        <v>-2.3434570678659838E-3</v>
      </c>
      <c r="J60" s="21">
        <f t="shared" si="13"/>
        <v>-2.3434570678659838E-3</v>
      </c>
    </row>
    <row r="61" spans="1:10">
      <c r="A61" s="11"/>
      <c r="B61" s="8" t="s">
        <v>1992</v>
      </c>
      <c r="C61" s="9">
        <f>C18</f>
        <v>3.49</v>
      </c>
      <c r="D61" s="9">
        <f t="shared" ref="D61:J61" si="14">D18</f>
        <v>3.49</v>
      </c>
      <c r="E61" s="9">
        <f t="shared" si="14"/>
        <v>4.6500000000000004</v>
      </c>
      <c r="F61" s="9">
        <f t="shared" si="14"/>
        <v>6.51</v>
      </c>
      <c r="G61" s="9">
        <f t="shared" si="14"/>
        <v>6.51</v>
      </c>
      <c r="H61" s="9">
        <f t="shared" si="14"/>
        <v>6.51</v>
      </c>
      <c r="I61" s="9">
        <f t="shared" si="14"/>
        <v>6.51</v>
      </c>
      <c r="J61" s="9">
        <f t="shared" si="14"/>
        <v>6.51</v>
      </c>
    </row>
  </sheetData>
  <phoneticPr fontId="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0D08-BC93-4035-B7D5-BC07281C95EB}">
  <sheetPr codeName="Sheet18"/>
  <dimension ref="A1:AI31"/>
  <sheetViews>
    <sheetView topLeftCell="C10" workbookViewId="0">
      <selection activeCell="B19" sqref="B19"/>
    </sheetView>
  </sheetViews>
  <sheetFormatPr defaultRowHeight="18.75"/>
  <cols>
    <col min="1" max="1" width="2.625" bestFit="1" customWidth="1"/>
    <col min="2" max="2" width="8.25" bestFit="1" customWidth="1"/>
    <col min="3" max="3" width="22" customWidth="1"/>
    <col min="4" max="4" width="7.75" style="71" customWidth="1"/>
    <col min="5" max="5" width="7.75" customWidth="1"/>
    <col min="6" max="7" width="7.875" customWidth="1"/>
    <col min="8" max="8" width="7.75" style="71" customWidth="1"/>
    <col min="9" max="9" width="7.75" customWidth="1"/>
    <col min="10" max="11" width="7.875" customWidth="1"/>
    <col min="12" max="12" width="7.75" style="71" customWidth="1"/>
    <col min="13" max="13" width="7.75" customWidth="1"/>
    <col min="14" max="15" width="7.875" customWidth="1"/>
    <col min="16" max="16" width="7.75" style="71" customWidth="1"/>
    <col min="17" max="17" width="7.75" customWidth="1"/>
    <col min="18" max="19" width="7.875" customWidth="1"/>
    <col min="20" max="20" width="7.75" style="71" customWidth="1"/>
    <col min="21" max="21" width="7.75" customWidth="1"/>
    <col min="22" max="23" width="7.875" customWidth="1"/>
    <col min="24" max="24" width="7.75" style="71" customWidth="1"/>
    <col min="25" max="25" width="7.75" customWidth="1"/>
    <col min="26" max="27" width="7.875" customWidth="1"/>
    <col min="28" max="28" width="7.75" style="71" customWidth="1"/>
    <col min="29" max="29" width="7.75" customWidth="1"/>
    <col min="30" max="31" width="7.875" customWidth="1"/>
    <col min="32" max="32" width="7.75" style="71" customWidth="1"/>
    <col min="33" max="33" width="7.75" customWidth="1"/>
    <col min="34" max="35" width="7.875" customWidth="1"/>
  </cols>
  <sheetData>
    <row r="1" spans="1:35">
      <c r="A1" s="22" t="s">
        <v>2001</v>
      </c>
      <c r="B1" s="23"/>
      <c r="C1" s="24"/>
      <c r="D1" s="25"/>
      <c r="E1" s="26"/>
      <c r="F1" s="27">
        <v>1</v>
      </c>
      <c r="G1" s="28"/>
      <c r="H1" s="29"/>
      <c r="I1" s="30"/>
      <c r="J1" s="27">
        <v>2</v>
      </c>
      <c r="K1" s="28"/>
      <c r="L1" s="29"/>
      <c r="M1" s="30"/>
      <c r="N1" s="27">
        <v>3</v>
      </c>
      <c r="O1" s="28"/>
      <c r="P1" s="29"/>
      <c r="Q1" s="30"/>
      <c r="R1" s="31">
        <v>4</v>
      </c>
      <c r="S1" s="28"/>
      <c r="T1" s="29"/>
      <c r="U1" s="30"/>
      <c r="V1" s="27">
        <v>5</v>
      </c>
      <c r="W1" s="28"/>
      <c r="X1" s="29"/>
      <c r="Y1" s="30"/>
      <c r="Z1" s="27">
        <v>6</v>
      </c>
      <c r="AA1" s="28"/>
      <c r="AB1" s="29"/>
      <c r="AC1" s="30"/>
      <c r="AD1" s="27">
        <v>7</v>
      </c>
      <c r="AE1" s="32"/>
      <c r="AF1" s="33"/>
      <c r="AG1" s="34"/>
      <c r="AH1" s="27">
        <v>8</v>
      </c>
      <c r="AI1" s="28"/>
    </row>
    <row r="2" spans="1:35">
      <c r="A2" s="35"/>
      <c r="B2" s="36"/>
      <c r="C2" s="37"/>
      <c r="D2" s="38"/>
      <c r="E2" s="39"/>
      <c r="F2" s="27" t="s">
        <v>2002</v>
      </c>
      <c r="G2" s="40"/>
      <c r="H2" s="29"/>
      <c r="I2" s="39"/>
      <c r="J2" s="27" t="s">
        <v>2002</v>
      </c>
      <c r="K2" s="28"/>
      <c r="L2" s="29"/>
      <c r="M2" s="27"/>
      <c r="N2" s="27" t="s">
        <v>2003</v>
      </c>
      <c r="O2" s="28"/>
      <c r="P2" s="29"/>
      <c r="Q2" s="30"/>
      <c r="R2" s="27" t="s">
        <v>2004</v>
      </c>
      <c r="S2" s="28"/>
      <c r="T2" s="29"/>
      <c r="U2" s="30"/>
      <c r="V2" s="27" t="s">
        <v>2005</v>
      </c>
      <c r="W2" s="28"/>
      <c r="X2" s="29"/>
      <c r="Y2" s="30"/>
      <c r="Z2" s="27" t="s">
        <v>2005</v>
      </c>
      <c r="AA2" s="28"/>
      <c r="AB2" s="29"/>
      <c r="AC2" s="30"/>
      <c r="AD2" s="27" t="s">
        <v>2006</v>
      </c>
      <c r="AE2" s="28"/>
      <c r="AF2" s="29"/>
      <c r="AG2" s="30"/>
      <c r="AH2" s="27" t="s">
        <v>2007</v>
      </c>
      <c r="AI2" s="28"/>
    </row>
    <row r="3" spans="1:35">
      <c r="A3" s="41">
        <v>0.88</v>
      </c>
      <c r="B3" s="42"/>
      <c r="C3" s="32" t="s">
        <v>2008</v>
      </c>
      <c r="D3" s="43" t="s">
        <v>2009</v>
      </c>
      <c r="E3" s="44" t="s">
        <v>2010</v>
      </c>
      <c r="F3" s="45" t="s">
        <v>2011</v>
      </c>
      <c r="G3" s="46" t="s">
        <v>2012</v>
      </c>
      <c r="H3" s="43" t="s">
        <v>2009</v>
      </c>
      <c r="I3" s="44" t="s">
        <v>2010</v>
      </c>
      <c r="J3" s="45" t="s">
        <v>2011</v>
      </c>
      <c r="K3" s="46" t="s">
        <v>2012</v>
      </c>
      <c r="L3" s="43" t="s">
        <v>2009</v>
      </c>
      <c r="M3" s="44" t="s">
        <v>2010</v>
      </c>
      <c r="N3" s="45" t="s">
        <v>2011</v>
      </c>
      <c r="O3" s="46" t="s">
        <v>2012</v>
      </c>
      <c r="P3" s="43" t="s">
        <v>2009</v>
      </c>
      <c r="Q3" s="44" t="s">
        <v>2010</v>
      </c>
      <c r="R3" s="45" t="s">
        <v>2011</v>
      </c>
      <c r="S3" s="46" t="s">
        <v>2012</v>
      </c>
      <c r="T3" s="43" t="s">
        <v>2009</v>
      </c>
      <c r="U3" s="44" t="s">
        <v>2010</v>
      </c>
      <c r="V3" s="45" t="s">
        <v>2011</v>
      </c>
      <c r="W3" s="46" t="s">
        <v>2012</v>
      </c>
      <c r="X3" s="43" t="s">
        <v>2009</v>
      </c>
      <c r="Y3" s="44" t="s">
        <v>2010</v>
      </c>
      <c r="Z3" s="45" t="s">
        <v>2011</v>
      </c>
      <c r="AA3" s="46" t="s">
        <v>2012</v>
      </c>
      <c r="AB3" s="43" t="s">
        <v>2009</v>
      </c>
      <c r="AC3" s="44" t="s">
        <v>2010</v>
      </c>
      <c r="AD3" s="45" t="s">
        <v>2011</v>
      </c>
      <c r="AE3" s="46" t="s">
        <v>2012</v>
      </c>
      <c r="AF3" s="43" t="s">
        <v>2009</v>
      </c>
      <c r="AG3" s="44" t="s">
        <v>2010</v>
      </c>
      <c r="AH3" s="45" t="s">
        <v>2011</v>
      </c>
      <c r="AI3" s="45" t="s">
        <v>2012</v>
      </c>
    </row>
    <row r="4" spans="1:35">
      <c r="A4" s="47"/>
      <c r="B4" s="48" t="s">
        <v>2013</v>
      </c>
      <c r="C4" s="49" t="s">
        <v>2014</v>
      </c>
      <c r="D4" s="50"/>
      <c r="E4" s="51" t="s">
        <v>2015</v>
      </c>
      <c r="F4" s="52"/>
      <c r="G4" s="51"/>
      <c r="H4" s="53"/>
      <c r="I4" s="54" t="s">
        <v>2015</v>
      </c>
      <c r="J4" s="55"/>
      <c r="K4" s="56"/>
      <c r="L4" s="57"/>
      <c r="M4" s="54" t="s">
        <v>2016</v>
      </c>
      <c r="N4" s="58"/>
      <c r="O4" s="56"/>
      <c r="P4" s="57"/>
      <c r="Q4" s="59" t="s">
        <v>2017</v>
      </c>
      <c r="R4" s="60"/>
      <c r="S4" s="56"/>
      <c r="T4" s="57"/>
      <c r="U4" s="59" t="s">
        <v>2017</v>
      </c>
      <c r="V4" s="60"/>
      <c r="W4" s="56"/>
      <c r="X4" s="57"/>
      <c r="Y4" s="59" t="s">
        <v>2017</v>
      </c>
      <c r="Z4" s="60"/>
      <c r="AA4" s="56"/>
      <c r="AB4" s="57"/>
      <c r="AC4" s="59" t="s">
        <v>2017</v>
      </c>
      <c r="AD4" s="60"/>
      <c r="AE4" s="56"/>
      <c r="AF4" s="57"/>
      <c r="AG4" s="59" t="s">
        <v>2017</v>
      </c>
      <c r="AH4" s="60"/>
      <c r="AI4" s="56"/>
    </row>
    <row r="5" spans="1:35">
      <c r="A5" s="61"/>
      <c r="B5" s="62"/>
      <c r="C5" s="49" t="s">
        <v>2018</v>
      </c>
      <c r="D5" s="63">
        <v>3.49</v>
      </c>
      <c r="E5" s="64">
        <f>$A$3*(F5+G5)</f>
        <v>0.79200000000000004</v>
      </c>
      <c r="F5" s="65">
        <v>0.86899999999999999</v>
      </c>
      <c r="G5" s="65">
        <v>3.1E-2</v>
      </c>
      <c r="H5" s="66">
        <v>3.49</v>
      </c>
      <c r="I5" s="64">
        <f t="shared" ref="I5:I10" si="0">$A$3*(J5+K5)</f>
        <v>0.79200000000000004</v>
      </c>
      <c r="J5" s="65">
        <v>0.86899999999999999</v>
      </c>
      <c r="K5" s="65">
        <v>3.1E-2</v>
      </c>
      <c r="L5" s="66">
        <v>4.6500000000000004</v>
      </c>
      <c r="M5" s="64">
        <f t="shared" ref="M5:M10" si="1">$A$3*(N5+O5)</f>
        <v>0.79200000000000004</v>
      </c>
      <c r="N5" s="65">
        <v>0.86899999999999999</v>
      </c>
      <c r="O5" s="65">
        <v>3.1E-2</v>
      </c>
      <c r="P5" s="66">
        <v>6.51</v>
      </c>
      <c r="Q5" s="64">
        <f t="shared" ref="Q5:Q10" si="2">$A$3*(R5+S5)</f>
        <v>0.88</v>
      </c>
      <c r="R5" s="65">
        <v>0.98599999999999999</v>
      </c>
      <c r="S5" s="65">
        <v>1.4E-2</v>
      </c>
      <c r="T5" s="66">
        <v>6.51</v>
      </c>
      <c r="U5" s="64">
        <f t="shared" ref="U5:U10" si="3">$A$3*(V5+W5)</f>
        <v>0.88</v>
      </c>
      <c r="V5" s="65">
        <v>0.98599999999999999</v>
      </c>
      <c r="W5" s="65">
        <v>1.4E-2</v>
      </c>
      <c r="X5" s="66">
        <v>6.51</v>
      </c>
      <c r="Y5" s="64">
        <f t="shared" ref="Y5:Y10" si="4">$A$3*(Z5+AA5)</f>
        <v>0.88</v>
      </c>
      <c r="Z5" s="65">
        <v>0.98599999999999999</v>
      </c>
      <c r="AA5" s="65">
        <v>1.4E-2</v>
      </c>
      <c r="AB5" s="66">
        <v>6.51</v>
      </c>
      <c r="AC5" s="64">
        <f t="shared" ref="AC5:AC10" si="5">$A$3*(AD5+AE5)</f>
        <v>0.88</v>
      </c>
      <c r="AD5" s="65">
        <v>0.98599999999999999</v>
      </c>
      <c r="AE5" s="65">
        <v>1.4E-2</v>
      </c>
      <c r="AF5" s="66">
        <v>6.51</v>
      </c>
      <c r="AG5" s="64">
        <f t="shared" ref="AG5:AG10" si="6">$A$3*(AH5+AI5)</f>
        <v>0.88</v>
      </c>
      <c r="AH5" s="65">
        <v>0.98599999999999999</v>
      </c>
      <c r="AI5" s="65">
        <v>1.4E-2</v>
      </c>
    </row>
    <row r="6" spans="1:35">
      <c r="A6" s="61"/>
      <c r="B6" s="62"/>
      <c r="C6" s="49" t="s">
        <v>2019</v>
      </c>
      <c r="D6" s="63">
        <v>3.49</v>
      </c>
      <c r="E6" s="64">
        <f>$A$3*(F6+G6)</f>
        <v>0.51216000000000006</v>
      </c>
      <c r="F6" s="65">
        <v>0.44600000000000001</v>
      </c>
      <c r="G6" s="65">
        <v>0.13600000000000001</v>
      </c>
      <c r="H6" s="66">
        <v>3.49</v>
      </c>
      <c r="I6" s="64">
        <f t="shared" si="0"/>
        <v>0.51216000000000006</v>
      </c>
      <c r="J6" s="65">
        <v>0.44600000000000001</v>
      </c>
      <c r="K6" s="65">
        <v>0.13600000000000001</v>
      </c>
      <c r="L6" s="66">
        <v>4.6500000000000004</v>
      </c>
      <c r="M6" s="64">
        <f t="shared" si="1"/>
        <v>0.51216000000000006</v>
      </c>
      <c r="N6" s="65">
        <v>0.44600000000000001</v>
      </c>
      <c r="O6" s="65">
        <v>0.13600000000000001</v>
      </c>
      <c r="P6" s="66">
        <v>6.51</v>
      </c>
      <c r="Q6" s="64">
        <f t="shared" si="2"/>
        <v>0.5544</v>
      </c>
      <c r="R6" s="65">
        <v>0.49099999999999999</v>
      </c>
      <c r="S6" s="65">
        <v>0.13900000000000001</v>
      </c>
      <c r="T6" s="66">
        <v>6.51</v>
      </c>
      <c r="U6" s="64">
        <f t="shared" si="3"/>
        <v>0.5544</v>
      </c>
      <c r="V6" s="65">
        <v>0.49099999999999999</v>
      </c>
      <c r="W6" s="65">
        <v>0.13900000000000001</v>
      </c>
      <c r="X6" s="66">
        <v>6.51</v>
      </c>
      <c r="Y6" s="64">
        <f t="shared" si="4"/>
        <v>0.5544</v>
      </c>
      <c r="Z6" s="65">
        <v>0.49099999999999999</v>
      </c>
      <c r="AA6" s="65">
        <v>0.13900000000000001</v>
      </c>
      <c r="AB6" s="66">
        <v>6.51</v>
      </c>
      <c r="AC6" s="64">
        <f t="shared" si="5"/>
        <v>0.5544</v>
      </c>
      <c r="AD6" s="65">
        <v>0.49099999999999999</v>
      </c>
      <c r="AE6" s="65">
        <v>0.13900000000000001</v>
      </c>
      <c r="AF6" s="66">
        <v>6.51</v>
      </c>
      <c r="AG6" s="64">
        <f t="shared" si="6"/>
        <v>0.5544</v>
      </c>
      <c r="AH6" s="65">
        <v>0.49099999999999999</v>
      </c>
      <c r="AI6" s="65">
        <v>0.13900000000000001</v>
      </c>
    </row>
    <row r="7" spans="1:35">
      <c r="A7" s="61"/>
      <c r="B7" s="62"/>
      <c r="C7" s="49" t="s">
        <v>2020</v>
      </c>
      <c r="D7" s="63">
        <v>3.49</v>
      </c>
      <c r="E7" s="64">
        <f>$A$3*(F7+G7)</f>
        <v>0.35552</v>
      </c>
      <c r="F7" s="65">
        <v>0.316</v>
      </c>
      <c r="G7" s="65">
        <v>8.7999999999999995E-2</v>
      </c>
      <c r="H7" s="66">
        <v>3.49</v>
      </c>
      <c r="I7" s="64">
        <f t="shared" si="0"/>
        <v>0.35552</v>
      </c>
      <c r="J7" s="65">
        <v>0.316</v>
      </c>
      <c r="K7" s="65">
        <v>8.7999999999999995E-2</v>
      </c>
      <c r="L7" s="66">
        <v>4.6500000000000004</v>
      </c>
      <c r="M7" s="64">
        <f t="shared" si="1"/>
        <v>0.35552</v>
      </c>
      <c r="N7" s="65">
        <v>0.316</v>
      </c>
      <c r="O7" s="65">
        <v>8.7999999999999995E-2</v>
      </c>
      <c r="P7" s="66">
        <v>6.51</v>
      </c>
      <c r="Q7" s="64">
        <f t="shared" si="2"/>
        <v>0.37752000000000002</v>
      </c>
      <c r="R7" s="65">
        <v>0.34200000000000003</v>
      </c>
      <c r="S7" s="65">
        <v>8.6999999999999994E-2</v>
      </c>
      <c r="T7" s="66">
        <v>6.51</v>
      </c>
      <c r="U7" s="64">
        <f t="shared" si="3"/>
        <v>0.37752000000000002</v>
      </c>
      <c r="V7" s="65">
        <v>0.34200000000000003</v>
      </c>
      <c r="W7" s="65">
        <v>8.6999999999999994E-2</v>
      </c>
      <c r="X7" s="66">
        <v>6.51</v>
      </c>
      <c r="Y7" s="64">
        <f t="shared" si="4"/>
        <v>0.37752000000000002</v>
      </c>
      <c r="Z7" s="65">
        <v>0.34200000000000003</v>
      </c>
      <c r="AA7" s="65">
        <v>8.6999999999999994E-2</v>
      </c>
      <c r="AB7" s="66">
        <v>6.51</v>
      </c>
      <c r="AC7" s="64">
        <f t="shared" si="5"/>
        <v>0.37752000000000002</v>
      </c>
      <c r="AD7" s="65">
        <v>0.34200000000000003</v>
      </c>
      <c r="AE7" s="65">
        <v>8.6999999999999994E-2</v>
      </c>
      <c r="AF7" s="66">
        <v>6.51</v>
      </c>
      <c r="AG7" s="64">
        <f t="shared" si="6"/>
        <v>0.37752000000000002</v>
      </c>
      <c r="AH7" s="65">
        <v>0.34200000000000003</v>
      </c>
      <c r="AI7" s="65">
        <v>8.6999999999999994E-2</v>
      </c>
    </row>
    <row r="8" spans="1:35">
      <c r="A8" s="61"/>
      <c r="B8" s="62"/>
      <c r="C8" s="49" t="s">
        <v>2029</v>
      </c>
      <c r="D8" s="63">
        <v>3.49</v>
      </c>
      <c r="E8" s="64">
        <f>$A$3*(F8+G8)</f>
        <v>0.11704000000000001</v>
      </c>
      <c r="F8" s="94">
        <v>0.1</v>
      </c>
      <c r="G8" s="94">
        <v>3.3000000000000002E-2</v>
      </c>
      <c r="H8" s="66">
        <v>3.49</v>
      </c>
      <c r="I8" s="64">
        <f t="shared" si="0"/>
        <v>0.11704000000000001</v>
      </c>
      <c r="J8" s="94">
        <v>0.1</v>
      </c>
      <c r="K8" s="94">
        <v>3.3000000000000002E-2</v>
      </c>
      <c r="L8" s="66">
        <v>4.6500000000000004</v>
      </c>
      <c r="M8" s="64">
        <f t="shared" si="1"/>
        <v>0.11704000000000001</v>
      </c>
      <c r="N8" s="94">
        <v>0.1</v>
      </c>
      <c r="O8" s="94">
        <v>3.3000000000000002E-2</v>
      </c>
      <c r="P8" s="66">
        <v>6.51</v>
      </c>
      <c r="Q8" s="64">
        <f t="shared" si="2"/>
        <v>0.12408000000000001</v>
      </c>
      <c r="R8" s="94">
        <v>0.107</v>
      </c>
      <c r="S8" s="94">
        <v>3.4000000000000002E-2</v>
      </c>
      <c r="T8" s="66">
        <v>6.51</v>
      </c>
      <c r="U8" s="64">
        <f t="shared" si="3"/>
        <v>0.12408000000000001</v>
      </c>
      <c r="V8" s="94">
        <v>0.107</v>
      </c>
      <c r="W8" s="94">
        <v>3.4000000000000002E-2</v>
      </c>
      <c r="X8" s="66">
        <v>6.51</v>
      </c>
      <c r="Y8" s="64">
        <f t="shared" si="4"/>
        <v>0.12408000000000001</v>
      </c>
      <c r="Z8" s="94">
        <v>0.107</v>
      </c>
      <c r="AA8" s="94">
        <v>3.4000000000000002E-2</v>
      </c>
      <c r="AB8" s="66">
        <v>6.51</v>
      </c>
      <c r="AC8" s="64">
        <f t="shared" si="5"/>
        <v>0.12408000000000001</v>
      </c>
      <c r="AD8" s="94">
        <v>0.107</v>
      </c>
      <c r="AE8" s="94">
        <v>3.4000000000000002E-2</v>
      </c>
      <c r="AF8" s="66">
        <v>6.51</v>
      </c>
      <c r="AG8" s="64">
        <f t="shared" si="6"/>
        <v>0.12408000000000001</v>
      </c>
      <c r="AH8" s="94">
        <v>0.107</v>
      </c>
      <c r="AI8" s="94">
        <v>3.4000000000000002E-2</v>
      </c>
    </row>
    <row r="9" spans="1:35">
      <c r="A9" s="61"/>
      <c r="B9" s="62"/>
      <c r="C9" s="49" t="s">
        <v>2030</v>
      </c>
      <c r="D9" s="63">
        <v>3.49</v>
      </c>
      <c r="E9" s="64">
        <f t="shared" ref="E9:E10" si="7">$A$3*(F9+G9)</f>
        <v>8.3600000000000008E-2</v>
      </c>
      <c r="F9" s="95">
        <v>7.1999999999999995E-2</v>
      </c>
      <c r="G9" s="94">
        <v>2.3E-2</v>
      </c>
      <c r="H9" s="66">
        <v>3.49</v>
      </c>
      <c r="I9" s="64">
        <f t="shared" si="0"/>
        <v>8.3600000000000008E-2</v>
      </c>
      <c r="J9" s="95">
        <v>7.1999999999999995E-2</v>
      </c>
      <c r="K9" s="94">
        <v>2.3E-2</v>
      </c>
      <c r="L9" s="66">
        <v>4.6500000000000004</v>
      </c>
      <c r="M9" s="64">
        <f t="shared" si="1"/>
        <v>8.3600000000000008E-2</v>
      </c>
      <c r="N9" s="95">
        <v>7.1999999999999995E-2</v>
      </c>
      <c r="O9" s="94">
        <v>2.3E-2</v>
      </c>
      <c r="P9" s="66">
        <v>6.51</v>
      </c>
      <c r="Q9" s="64">
        <f t="shared" si="2"/>
        <v>8.8880000000000001E-2</v>
      </c>
      <c r="R9" s="94">
        <v>7.6999999999999999E-2</v>
      </c>
      <c r="S9" s="94">
        <v>2.4E-2</v>
      </c>
      <c r="T9" s="66">
        <v>6.51</v>
      </c>
      <c r="U9" s="64">
        <f t="shared" si="3"/>
        <v>8.8880000000000001E-2</v>
      </c>
      <c r="V9" s="94">
        <v>7.6999999999999999E-2</v>
      </c>
      <c r="W9" s="94">
        <v>2.4E-2</v>
      </c>
      <c r="X9" s="66">
        <v>6.51</v>
      </c>
      <c r="Y9" s="64">
        <f t="shared" si="4"/>
        <v>8.8880000000000001E-2</v>
      </c>
      <c r="Z9" s="94">
        <v>7.6999999999999999E-2</v>
      </c>
      <c r="AA9" s="94">
        <v>2.4E-2</v>
      </c>
      <c r="AB9" s="66">
        <v>6.51</v>
      </c>
      <c r="AC9" s="64">
        <f t="shared" si="5"/>
        <v>8.8880000000000001E-2</v>
      </c>
      <c r="AD9" s="94">
        <v>7.6999999999999999E-2</v>
      </c>
      <c r="AE9" s="94">
        <v>2.4E-2</v>
      </c>
      <c r="AF9" s="66">
        <v>6.51</v>
      </c>
      <c r="AG9" s="64">
        <f t="shared" si="6"/>
        <v>8.8880000000000001E-2</v>
      </c>
      <c r="AH9" s="94">
        <v>7.6999999999999999E-2</v>
      </c>
      <c r="AI9" s="94">
        <v>2.4E-2</v>
      </c>
    </row>
    <row r="10" spans="1:35">
      <c r="A10" s="61"/>
      <c r="B10" s="62"/>
      <c r="C10" s="49" t="s">
        <v>2031</v>
      </c>
      <c r="D10" s="63">
        <v>3.49</v>
      </c>
      <c r="E10" s="64">
        <f t="shared" si="7"/>
        <v>0.16544</v>
      </c>
      <c r="F10" s="95">
        <v>0.184</v>
      </c>
      <c r="G10" s="94">
        <v>4.0000000000000001E-3</v>
      </c>
      <c r="H10" s="66">
        <v>3.49</v>
      </c>
      <c r="I10" s="64">
        <f t="shared" si="0"/>
        <v>0.16544</v>
      </c>
      <c r="J10" s="95">
        <v>0.184</v>
      </c>
      <c r="K10" s="94">
        <v>4.0000000000000001E-3</v>
      </c>
      <c r="L10" s="66">
        <v>4.6500000000000004</v>
      </c>
      <c r="M10" s="64">
        <f t="shared" si="1"/>
        <v>0.16544</v>
      </c>
      <c r="N10" s="95">
        <v>0.184</v>
      </c>
      <c r="O10" s="94">
        <v>4.0000000000000001E-3</v>
      </c>
      <c r="P10" s="66">
        <v>6.51</v>
      </c>
      <c r="Q10" s="64">
        <f t="shared" si="2"/>
        <v>0.18128</v>
      </c>
      <c r="R10" s="95">
        <v>0.20399999999999999</v>
      </c>
      <c r="S10" s="94">
        <v>2E-3</v>
      </c>
      <c r="T10" s="66">
        <v>6.51</v>
      </c>
      <c r="U10" s="64">
        <f t="shared" si="3"/>
        <v>0.18128</v>
      </c>
      <c r="V10" s="95">
        <v>0.20399999999999999</v>
      </c>
      <c r="W10" s="94">
        <v>2E-3</v>
      </c>
      <c r="X10" s="66">
        <v>6.51</v>
      </c>
      <c r="Y10" s="64">
        <f t="shared" si="4"/>
        <v>0.18128</v>
      </c>
      <c r="Z10" s="95">
        <v>0.20399999999999999</v>
      </c>
      <c r="AA10" s="94">
        <v>2E-3</v>
      </c>
      <c r="AB10" s="66">
        <v>6.51</v>
      </c>
      <c r="AC10" s="64">
        <f t="shared" si="5"/>
        <v>0.18128</v>
      </c>
      <c r="AD10" s="95">
        <v>0.20399999999999999</v>
      </c>
      <c r="AE10" s="94">
        <v>2E-3</v>
      </c>
      <c r="AF10" s="66">
        <v>6.51</v>
      </c>
      <c r="AG10" s="64">
        <f t="shared" si="6"/>
        <v>0.18128</v>
      </c>
      <c r="AH10" s="95">
        <v>0.20399999999999999</v>
      </c>
      <c r="AI10" s="94">
        <v>2E-3</v>
      </c>
    </row>
    <row r="11" spans="1:35">
      <c r="A11" s="47"/>
      <c r="B11" s="48" t="s">
        <v>2021</v>
      </c>
      <c r="C11" s="49" t="s">
        <v>2014</v>
      </c>
      <c r="D11" s="54" t="s">
        <v>2032</v>
      </c>
      <c r="F11" s="52"/>
      <c r="G11" s="56"/>
      <c r="H11" s="54" t="s">
        <v>2032</v>
      </c>
      <c r="I11" s="54"/>
      <c r="J11" s="58"/>
      <c r="K11" s="56"/>
      <c r="L11" s="57"/>
      <c r="M11" s="54" t="s">
        <v>2015</v>
      </c>
      <c r="N11" s="58"/>
      <c r="O11" s="56"/>
      <c r="P11" s="57"/>
      <c r="Q11" s="54" t="s">
        <v>2016</v>
      </c>
      <c r="R11" s="58"/>
      <c r="S11" s="56"/>
      <c r="T11" s="57"/>
      <c r="U11" s="59" t="s">
        <v>2017</v>
      </c>
      <c r="V11" s="60"/>
      <c r="W11" s="56"/>
      <c r="X11" s="57"/>
      <c r="Y11" s="59" t="s">
        <v>2017</v>
      </c>
      <c r="Z11" s="56"/>
      <c r="AA11" s="69"/>
      <c r="AB11" s="57"/>
      <c r="AC11" s="59" t="s">
        <v>2017</v>
      </c>
      <c r="AD11" s="60"/>
      <c r="AE11" s="56"/>
      <c r="AF11" s="57"/>
      <c r="AG11" s="59" t="s">
        <v>2017</v>
      </c>
      <c r="AH11" s="60"/>
      <c r="AI11" s="56"/>
    </row>
    <row r="12" spans="1:35">
      <c r="A12" s="61"/>
      <c r="B12" s="62"/>
      <c r="C12" s="49" t="s">
        <v>2018</v>
      </c>
      <c r="D12" s="63">
        <v>2.33</v>
      </c>
      <c r="E12" s="64">
        <f t="shared" ref="E12:E17" si="8">$A$3*(F12+G12)</f>
        <v>0.748</v>
      </c>
      <c r="F12" s="65">
        <v>0.77800000000000002</v>
      </c>
      <c r="G12" s="65">
        <v>7.1999999999999995E-2</v>
      </c>
      <c r="H12" s="63">
        <v>2.33</v>
      </c>
      <c r="I12" s="64">
        <f t="shared" ref="I12:I17" si="9">$A$3*(J12+K12)</f>
        <v>0.748</v>
      </c>
      <c r="J12" s="65">
        <v>0.77800000000000002</v>
      </c>
      <c r="K12" s="65">
        <v>7.1999999999999995E-2</v>
      </c>
      <c r="L12" s="66">
        <v>3.49</v>
      </c>
      <c r="M12" s="64">
        <f t="shared" ref="M12:M17" si="10">$A$3*(N12+O12)</f>
        <v>0.79200000000000004</v>
      </c>
      <c r="N12" s="65">
        <v>0.86899999999999999</v>
      </c>
      <c r="O12" s="65">
        <v>3.1E-2</v>
      </c>
      <c r="P12" s="66">
        <v>4.6500000000000004</v>
      </c>
      <c r="Q12" s="64">
        <f t="shared" ref="Q12:Q17" si="11">$A$3*(R12+S12)</f>
        <v>0.79200000000000004</v>
      </c>
      <c r="R12" s="65">
        <v>0.86899999999999999</v>
      </c>
      <c r="S12" s="65">
        <v>3.1E-2</v>
      </c>
      <c r="T12" s="66">
        <v>6.51</v>
      </c>
      <c r="U12" s="64">
        <f t="shared" ref="U12:U17" si="12">$A$3*(V12+W12)</f>
        <v>0.88</v>
      </c>
      <c r="V12" s="65">
        <v>0.98599999999999999</v>
      </c>
      <c r="W12" s="65">
        <v>1.4E-2</v>
      </c>
      <c r="X12" s="66">
        <v>6.51</v>
      </c>
      <c r="Y12" s="64">
        <f t="shared" ref="Y12:Y17" si="13">$A$3*(Z12+AA12)</f>
        <v>0.88</v>
      </c>
      <c r="Z12" s="65">
        <v>0.98599999999999999</v>
      </c>
      <c r="AA12" s="65">
        <v>1.4E-2</v>
      </c>
      <c r="AB12" s="66">
        <v>6.51</v>
      </c>
      <c r="AC12" s="64">
        <f t="shared" ref="AC12:AC17" si="14">$A$3*(AD12+AE12)</f>
        <v>0.88</v>
      </c>
      <c r="AD12" s="65">
        <v>0.98599999999999999</v>
      </c>
      <c r="AE12" s="65">
        <v>1.4E-2</v>
      </c>
      <c r="AF12" s="66">
        <v>6.51</v>
      </c>
      <c r="AG12" s="64">
        <f t="shared" ref="AG12:AG17" si="15">$A$3*(AH12+AI12)</f>
        <v>0.88</v>
      </c>
      <c r="AH12" s="65">
        <v>0.98599999999999999</v>
      </c>
      <c r="AI12" s="65">
        <v>1.4E-2</v>
      </c>
    </row>
    <row r="13" spans="1:35">
      <c r="A13" s="61"/>
      <c r="B13" s="62"/>
      <c r="C13" s="49" t="s">
        <v>2019</v>
      </c>
      <c r="D13" s="63">
        <v>2.33</v>
      </c>
      <c r="E13" s="64">
        <f t="shared" si="8"/>
        <v>0.47344000000000003</v>
      </c>
      <c r="F13" s="65">
        <v>0.40100000000000002</v>
      </c>
      <c r="G13" s="65">
        <v>0.13700000000000001</v>
      </c>
      <c r="H13" s="63">
        <v>2.33</v>
      </c>
      <c r="I13" s="64">
        <f t="shared" si="9"/>
        <v>0.47344000000000003</v>
      </c>
      <c r="J13" s="65">
        <v>0.40100000000000002</v>
      </c>
      <c r="K13" s="65">
        <v>0.13700000000000001</v>
      </c>
      <c r="L13" s="66">
        <v>3.49</v>
      </c>
      <c r="M13" s="64">
        <f t="shared" si="10"/>
        <v>0.51216000000000006</v>
      </c>
      <c r="N13" s="65">
        <v>0.44600000000000001</v>
      </c>
      <c r="O13" s="65">
        <v>0.13600000000000001</v>
      </c>
      <c r="P13" s="66">
        <v>4.6500000000000004</v>
      </c>
      <c r="Q13" s="64">
        <f t="shared" si="11"/>
        <v>0.51216000000000006</v>
      </c>
      <c r="R13" s="65">
        <v>0.44600000000000001</v>
      </c>
      <c r="S13" s="65">
        <v>0.13600000000000001</v>
      </c>
      <c r="T13" s="66">
        <v>6.51</v>
      </c>
      <c r="U13" s="64">
        <f t="shared" si="12"/>
        <v>0.5544</v>
      </c>
      <c r="V13" s="65">
        <v>0.49099999999999999</v>
      </c>
      <c r="W13" s="65">
        <v>0.13900000000000001</v>
      </c>
      <c r="X13" s="66">
        <v>6.51</v>
      </c>
      <c r="Y13" s="64">
        <f t="shared" si="13"/>
        <v>0.5544</v>
      </c>
      <c r="Z13" s="65">
        <v>0.49099999999999999</v>
      </c>
      <c r="AA13" s="65">
        <v>0.13900000000000001</v>
      </c>
      <c r="AB13" s="66">
        <v>6.51</v>
      </c>
      <c r="AC13" s="64">
        <f t="shared" si="14"/>
        <v>0.5544</v>
      </c>
      <c r="AD13" s="65">
        <v>0.49099999999999999</v>
      </c>
      <c r="AE13" s="65">
        <v>0.13900000000000001</v>
      </c>
      <c r="AF13" s="66">
        <v>6.51</v>
      </c>
      <c r="AG13" s="64">
        <f t="shared" si="15"/>
        <v>0.5544</v>
      </c>
      <c r="AH13" s="65">
        <v>0.49099999999999999</v>
      </c>
      <c r="AI13" s="65">
        <v>0.13900000000000001</v>
      </c>
    </row>
    <row r="14" spans="1:35">
      <c r="A14" s="61"/>
      <c r="B14" s="62"/>
      <c r="C14" s="49" t="s">
        <v>2020</v>
      </c>
      <c r="D14" s="63">
        <v>2.33</v>
      </c>
      <c r="E14" s="64">
        <f t="shared" si="8"/>
        <v>0.33176</v>
      </c>
      <c r="F14" s="65">
        <v>0.28599999999999998</v>
      </c>
      <c r="G14" s="65">
        <v>9.0999999999999998E-2</v>
      </c>
      <c r="H14" s="63">
        <v>2.33</v>
      </c>
      <c r="I14" s="64">
        <f t="shared" si="9"/>
        <v>0.33176</v>
      </c>
      <c r="J14" s="65">
        <v>0.28599999999999998</v>
      </c>
      <c r="K14" s="65">
        <v>9.0999999999999998E-2</v>
      </c>
      <c r="L14" s="66">
        <v>3.49</v>
      </c>
      <c r="M14" s="64">
        <f t="shared" si="10"/>
        <v>0.35552</v>
      </c>
      <c r="N14" s="65">
        <v>0.316</v>
      </c>
      <c r="O14" s="65">
        <v>8.7999999999999995E-2</v>
      </c>
      <c r="P14" s="66">
        <v>4.6500000000000004</v>
      </c>
      <c r="Q14" s="64">
        <f t="shared" si="11"/>
        <v>0.35552</v>
      </c>
      <c r="R14" s="65">
        <v>0.316</v>
      </c>
      <c r="S14" s="65">
        <v>8.7999999999999995E-2</v>
      </c>
      <c r="T14" s="66">
        <v>6.51</v>
      </c>
      <c r="U14" s="64">
        <f t="shared" si="12"/>
        <v>0.37752000000000002</v>
      </c>
      <c r="V14" s="65">
        <v>0.34200000000000003</v>
      </c>
      <c r="W14" s="65">
        <v>8.6999999999999994E-2</v>
      </c>
      <c r="X14" s="66">
        <v>6.51</v>
      </c>
      <c r="Y14" s="64">
        <f t="shared" si="13"/>
        <v>0.37752000000000002</v>
      </c>
      <c r="Z14" s="65">
        <v>0.34200000000000003</v>
      </c>
      <c r="AA14" s="65">
        <v>8.6999999999999994E-2</v>
      </c>
      <c r="AB14" s="66">
        <v>6.51</v>
      </c>
      <c r="AC14" s="64">
        <f t="shared" si="14"/>
        <v>0.37752000000000002</v>
      </c>
      <c r="AD14" s="65">
        <v>0.34200000000000003</v>
      </c>
      <c r="AE14" s="65">
        <v>8.6999999999999994E-2</v>
      </c>
      <c r="AF14" s="66">
        <v>6.51</v>
      </c>
      <c r="AG14" s="64">
        <f t="shared" si="15"/>
        <v>0.37752000000000002</v>
      </c>
      <c r="AH14" s="65">
        <v>0.34200000000000003</v>
      </c>
      <c r="AI14" s="65">
        <v>8.6999999999999994E-2</v>
      </c>
    </row>
    <row r="15" spans="1:35">
      <c r="A15" s="61"/>
      <c r="B15" s="62"/>
      <c r="C15" s="49" t="s">
        <v>2029</v>
      </c>
      <c r="D15" s="63">
        <v>2.33</v>
      </c>
      <c r="E15" s="64">
        <f t="shared" si="8"/>
        <v>0.10824</v>
      </c>
      <c r="F15" s="95">
        <v>0.09</v>
      </c>
      <c r="G15" s="94">
        <v>3.3000000000000002E-2</v>
      </c>
      <c r="H15" s="63">
        <v>2.33</v>
      </c>
      <c r="I15" s="64">
        <f t="shared" si="9"/>
        <v>0.10824</v>
      </c>
      <c r="J15" s="95">
        <v>0.09</v>
      </c>
      <c r="K15" s="94">
        <v>3.3000000000000002E-2</v>
      </c>
      <c r="L15" s="66">
        <v>3.49</v>
      </c>
      <c r="M15" s="64">
        <f t="shared" si="10"/>
        <v>0.11704000000000001</v>
      </c>
      <c r="N15" s="94">
        <v>0.1</v>
      </c>
      <c r="O15" s="94">
        <v>3.3000000000000002E-2</v>
      </c>
      <c r="P15" s="66">
        <v>4.6500000000000004</v>
      </c>
      <c r="Q15" s="64">
        <f t="shared" si="11"/>
        <v>0.11704000000000001</v>
      </c>
      <c r="R15" s="94">
        <v>0.1</v>
      </c>
      <c r="S15" s="94">
        <v>3.3000000000000002E-2</v>
      </c>
      <c r="T15" s="66">
        <v>6.51</v>
      </c>
      <c r="U15" s="64">
        <f t="shared" si="12"/>
        <v>0.12408000000000001</v>
      </c>
      <c r="V15" s="94">
        <v>0.107</v>
      </c>
      <c r="W15" s="94">
        <v>3.4000000000000002E-2</v>
      </c>
      <c r="X15" s="66">
        <v>6.51</v>
      </c>
      <c r="Y15" s="64">
        <f t="shared" si="13"/>
        <v>0.12408000000000001</v>
      </c>
      <c r="Z15" s="94">
        <v>0.107</v>
      </c>
      <c r="AA15" s="94">
        <v>3.4000000000000002E-2</v>
      </c>
      <c r="AB15" s="66">
        <v>6.51</v>
      </c>
      <c r="AC15" s="64">
        <f t="shared" si="14"/>
        <v>0.12408000000000001</v>
      </c>
      <c r="AD15" s="94">
        <v>0.107</v>
      </c>
      <c r="AE15" s="94">
        <v>3.4000000000000002E-2</v>
      </c>
      <c r="AF15" s="66">
        <v>6.51</v>
      </c>
      <c r="AG15" s="64">
        <f t="shared" si="15"/>
        <v>0.12408000000000001</v>
      </c>
      <c r="AH15" s="94">
        <v>0.107</v>
      </c>
      <c r="AI15" s="94">
        <v>3.4000000000000002E-2</v>
      </c>
    </row>
    <row r="16" spans="1:35">
      <c r="A16" s="61"/>
      <c r="B16" s="62"/>
      <c r="C16" s="49" t="s">
        <v>2030</v>
      </c>
      <c r="D16" s="63">
        <v>2.33</v>
      </c>
      <c r="E16" s="64">
        <f t="shared" si="8"/>
        <v>7.7439999999999995E-2</v>
      </c>
      <c r="F16" s="95">
        <v>6.5000000000000002E-2</v>
      </c>
      <c r="G16" s="94">
        <v>2.3E-2</v>
      </c>
      <c r="H16" s="63">
        <v>2.33</v>
      </c>
      <c r="I16" s="64">
        <f t="shared" si="9"/>
        <v>7.7439999999999995E-2</v>
      </c>
      <c r="J16" s="95">
        <v>6.5000000000000002E-2</v>
      </c>
      <c r="K16" s="94">
        <v>2.3E-2</v>
      </c>
      <c r="L16" s="66">
        <v>3.49</v>
      </c>
      <c r="M16" s="64">
        <f t="shared" si="10"/>
        <v>8.3600000000000008E-2</v>
      </c>
      <c r="N16" s="95">
        <v>7.1999999999999995E-2</v>
      </c>
      <c r="O16" s="94">
        <v>2.3E-2</v>
      </c>
      <c r="P16" s="66">
        <v>4.6500000000000004</v>
      </c>
      <c r="Q16" s="64">
        <f t="shared" si="11"/>
        <v>8.3600000000000008E-2</v>
      </c>
      <c r="R16" s="95">
        <v>7.1999999999999995E-2</v>
      </c>
      <c r="S16" s="94">
        <v>2.3E-2</v>
      </c>
      <c r="T16" s="66">
        <v>6.51</v>
      </c>
      <c r="U16" s="64">
        <f t="shared" si="12"/>
        <v>8.8880000000000001E-2</v>
      </c>
      <c r="V16" s="94">
        <v>7.6999999999999999E-2</v>
      </c>
      <c r="W16" s="94">
        <v>2.4E-2</v>
      </c>
      <c r="X16" s="66">
        <v>6.51</v>
      </c>
      <c r="Y16" s="64">
        <f t="shared" si="13"/>
        <v>8.8880000000000001E-2</v>
      </c>
      <c r="Z16" s="94">
        <v>7.6999999999999999E-2</v>
      </c>
      <c r="AA16" s="94">
        <v>2.4E-2</v>
      </c>
      <c r="AB16" s="66">
        <v>6.51</v>
      </c>
      <c r="AC16" s="64">
        <f t="shared" si="14"/>
        <v>8.8880000000000001E-2</v>
      </c>
      <c r="AD16" s="94">
        <v>7.6999999999999999E-2</v>
      </c>
      <c r="AE16" s="94">
        <v>2.4E-2</v>
      </c>
      <c r="AF16" s="66">
        <v>6.51</v>
      </c>
      <c r="AG16" s="64">
        <f t="shared" si="15"/>
        <v>8.8880000000000001E-2</v>
      </c>
      <c r="AH16" s="94">
        <v>7.6999999999999999E-2</v>
      </c>
      <c r="AI16" s="94">
        <v>2.4E-2</v>
      </c>
    </row>
    <row r="17" spans="1:35">
      <c r="A17" s="61"/>
      <c r="B17" s="62"/>
      <c r="C17" s="49" t="s">
        <v>2031</v>
      </c>
      <c r="D17" s="63">
        <v>2.33</v>
      </c>
      <c r="E17" s="64">
        <f t="shared" si="8"/>
        <v>0.14696000000000001</v>
      </c>
      <c r="F17" s="95">
        <v>0.16</v>
      </c>
      <c r="G17" s="94">
        <v>7.0000000000000001E-3</v>
      </c>
      <c r="H17" s="63">
        <v>2.33</v>
      </c>
      <c r="I17" s="64">
        <f t="shared" si="9"/>
        <v>0.14696000000000001</v>
      </c>
      <c r="J17" s="95">
        <v>0.16</v>
      </c>
      <c r="K17" s="94">
        <v>7.0000000000000001E-3</v>
      </c>
      <c r="L17" s="66">
        <v>3.49</v>
      </c>
      <c r="M17" s="64">
        <f t="shared" si="10"/>
        <v>0.16544</v>
      </c>
      <c r="N17" s="95">
        <v>0.184</v>
      </c>
      <c r="O17" s="94">
        <v>4.0000000000000001E-3</v>
      </c>
      <c r="P17" s="66">
        <v>4.6500000000000004</v>
      </c>
      <c r="Q17" s="64">
        <f t="shared" si="11"/>
        <v>0.16544</v>
      </c>
      <c r="R17" s="95">
        <v>0.184</v>
      </c>
      <c r="S17" s="94">
        <v>4.0000000000000001E-3</v>
      </c>
      <c r="T17" s="66">
        <v>6.51</v>
      </c>
      <c r="U17" s="64">
        <f t="shared" si="12"/>
        <v>0.18128</v>
      </c>
      <c r="V17" s="95">
        <v>0.20399999999999999</v>
      </c>
      <c r="W17" s="94">
        <v>2E-3</v>
      </c>
      <c r="X17" s="66">
        <v>6.51</v>
      </c>
      <c r="Y17" s="64">
        <f t="shared" si="13"/>
        <v>0.18128</v>
      </c>
      <c r="Z17" s="95">
        <v>0.20399999999999999</v>
      </c>
      <c r="AA17" s="94">
        <v>2E-3</v>
      </c>
      <c r="AB17" s="66">
        <v>6.51</v>
      </c>
      <c r="AC17" s="64">
        <f t="shared" si="14"/>
        <v>0.18128</v>
      </c>
      <c r="AD17" s="95">
        <v>0.20399999999999999</v>
      </c>
      <c r="AE17" s="94">
        <v>2E-3</v>
      </c>
      <c r="AF17" s="66">
        <v>6.51</v>
      </c>
      <c r="AG17" s="64">
        <f t="shared" si="15"/>
        <v>0.18128</v>
      </c>
      <c r="AH17" s="95">
        <v>0.20399999999999999</v>
      </c>
      <c r="AI17" s="94">
        <v>2E-3</v>
      </c>
    </row>
    <row r="18" spans="1:35">
      <c r="A18" s="47"/>
      <c r="B18" s="48" t="s">
        <v>2022</v>
      </c>
      <c r="C18" s="49" t="s">
        <v>2014</v>
      </c>
      <c r="D18" s="54" t="s">
        <v>2032</v>
      </c>
      <c r="E18" s="54"/>
      <c r="F18" s="55"/>
      <c r="G18" s="56"/>
      <c r="H18" s="54" t="s">
        <v>2032</v>
      </c>
      <c r="I18" s="54"/>
      <c r="J18" s="58"/>
      <c r="K18" s="56"/>
      <c r="L18" s="54" t="s">
        <v>2032</v>
      </c>
      <c r="M18" s="54"/>
      <c r="N18" s="58"/>
      <c r="O18" s="56"/>
      <c r="P18" s="57"/>
      <c r="Q18" s="54" t="s">
        <v>2015</v>
      </c>
      <c r="R18" s="58"/>
      <c r="S18" s="56"/>
      <c r="T18" s="57"/>
      <c r="U18" s="54" t="s">
        <v>2016</v>
      </c>
      <c r="V18" s="58"/>
      <c r="W18" s="56"/>
      <c r="X18" s="57"/>
      <c r="Y18" s="54" t="s">
        <v>2016</v>
      </c>
      <c r="Z18" s="55"/>
      <c r="AA18" s="56"/>
      <c r="AB18" s="57"/>
      <c r="AC18" s="54" t="s">
        <v>2016</v>
      </c>
      <c r="AD18" s="55"/>
      <c r="AE18" s="56"/>
      <c r="AF18" s="57"/>
      <c r="AG18" s="59" t="s">
        <v>2017</v>
      </c>
      <c r="AH18" s="60"/>
      <c r="AI18" s="56"/>
    </row>
    <row r="19" spans="1:35">
      <c r="A19" s="61"/>
      <c r="B19" s="62"/>
      <c r="C19" s="49" t="s">
        <v>2018</v>
      </c>
      <c r="D19" s="63">
        <v>2.33</v>
      </c>
      <c r="E19" s="64">
        <f t="shared" ref="E19:E24" si="16">$A$3*(F19+G19)</f>
        <v>0.748</v>
      </c>
      <c r="F19" s="65">
        <v>0.77800000000000002</v>
      </c>
      <c r="G19" s="65">
        <v>7.1999999999999995E-2</v>
      </c>
      <c r="H19" s="63">
        <v>2.33</v>
      </c>
      <c r="I19" s="64">
        <f t="shared" ref="I19:I24" si="17">$A$3*(J19+K19)</f>
        <v>0.748</v>
      </c>
      <c r="J19" s="65">
        <v>0.77800000000000002</v>
      </c>
      <c r="K19" s="65">
        <v>7.1999999999999995E-2</v>
      </c>
      <c r="L19" s="63">
        <v>2.33</v>
      </c>
      <c r="M19" s="64">
        <f t="shared" ref="M19:M24" si="18">$A$3*(N19+O19)</f>
        <v>0.748</v>
      </c>
      <c r="N19" s="65">
        <v>0.77800000000000002</v>
      </c>
      <c r="O19" s="65">
        <v>7.1999999999999995E-2</v>
      </c>
      <c r="P19" s="66">
        <v>3.49</v>
      </c>
      <c r="Q19" s="64">
        <f t="shared" ref="Q19:Q24" si="19">$A$3*(R19+S19)</f>
        <v>0.79200000000000004</v>
      </c>
      <c r="R19" s="65">
        <v>0.86899999999999999</v>
      </c>
      <c r="S19" s="65">
        <v>3.1E-2</v>
      </c>
      <c r="T19" s="66">
        <v>4.6500000000000004</v>
      </c>
      <c r="U19" s="64">
        <f t="shared" ref="U19:U24" si="20">$A$3*(V19+W19)</f>
        <v>0.79200000000000004</v>
      </c>
      <c r="V19" s="65">
        <v>0.86899999999999999</v>
      </c>
      <c r="W19" s="65">
        <v>3.1E-2</v>
      </c>
      <c r="X19" s="66">
        <v>4.6500000000000004</v>
      </c>
      <c r="Y19" s="64">
        <f t="shared" ref="Y19:Y24" si="21">$A$3*(Z19+AA19)</f>
        <v>0.79200000000000004</v>
      </c>
      <c r="Z19" s="65">
        <v>0.86899999999999999</v>
      </c>
      <c r="AA19" s="65">
        <v>3.1E-2</v>
      </c>
      <c r="AB19" s="66">
        <v>4.6500000000000004</v>
      </c>
      <c r="AC19" s="64">
        <f t="shared" ref="AC19:AC24" si="22">$A$3*(AD19+AE19)</f>
        <v>0.79200000000000004</v>
      </c>
      <c r="AD19" s="65">
        <v>0.86899999999999999</v>
      </c>
      <c r="AE19" s="65">
        <v>3.1E-2</v>
      </c>
      <c r="AF19" s="66">
        <v>6.51</v>
      </c>
      <c r="AG19" s="64">
        <f t="shared" ref="AG19:AG24" si="23">$A$3*(AH19+AI19)</f>
        <v>0.88</v>
      </c>
      <c r="AH19" s="65">
        <v>0.98599999999999999</v>
      </c>
      <c r="AI19" s="65">
        <v>1.4E-2</v>
      </c>
    </row>
    <row r="20" spans="1:35">
      <c r="A20" s="61"/>
      <c r="B20" s="62"/>
      <c r="C20" s="49" t="s">
        <v>2019</v>
      </c>
      <c r="D20" s="63">
        <v>2.33</v>
      </c>
      <c r="E20" s="64">
        <f t="shared" si="16"/>
        <v>0.47344000000000003</v>
      </c>
      <c r="F20" s="65">
        <v>0.40100000000000002</v>
      </c>
      <c r="G20" s="65">
        <v>0.13700000000000001</v>
      </c>
      <c r="H20" s="63">
        <v>2.33</v>
      </c>
      <c r="I20" s="64">
        <f t="shared" si="17"/>
        <v>0.47344000000000003</v>
      </c>
      <c r="J20" s="65">
        <v>0.40100000000000002</v>
      </c>
      <c r="K20" s="65">
        <v>0.13700000000000001</v>
      </c>
      <c r="L20" s="63">
        <v>2.33</v>
      </c>
      <c r="M20" s="64">
        <f t="shared" si="18"/>
        <v>0.47344000000000003</v>
      </c>
      <c r="N20" s="65">
        <v>0.40100000000000002</v>
      </c>
      <c r="O20" s="65">
        <v>0.13700000000000001</v>
      </c>
      <c r="P20" s="66">
        <v>3.49</v>
      </c>
      <c r="Q20" s="64">
        <f t="shared" si="19"/>
        <v>0.51216000000000006</v>
      </c>
      <c r="R20" s="65">
        <v>0.44600000000000001</v>
      </c>
      <c r="S20" s="65">
        <v>0.13600000000000001</v>
      </c>
      <c r="T20" s="66">
        <v>4.6500000000000004</v>
      </c>
      <c r="U20" s="64">
        <f t="shared" si="20"/>
        <v>0.51216000000000006</v>
      </c>
      <c r="V20" s="65">
        <v>0.44600000000000001</v>
      </c>
      <c r="W20" s="65">
        <v>0.13600000000000001</v>
      </c>
      <c r="X20" s="66">
        <v>4.6500000000000004</v>
      </c>
      <c r="Y20" s="64">
        <f t="shared" si="21"/>
        <v>0.51216000000000006</v>
      </c>
      <c r="Z20" s="65">
        <v>0.44600000000000001</v>
      </c>
      <c r="AA20" s="65">
        <v>0.13600000000000001</v>
      </c>
      <c r="AB20" s="66">
        <v>4.6500000000000004</v>
      </c>
      <c r="AC20" s="64">
        <f t="shared" si="22"/>
        <v>0.51216000000000006</v>
      </c>
      <c r="AD20" s="65">
        <v>0.44600000000000001</v>
      </c>
      <c r="AE20" s="65">
        <v>0.13600000000000001</v>
      </c>
      <c r="AF20" s="66">
        <v>6.51</v>
      </c>
      <c r="AG20" s="64">
        <f t="shared" si="23"/>
        <v>0.5544</v>
      </c>
      <c r="AH20" s="65">
        <v>0.49099999999999999</v>
      </c>
      <c r="AI20" s="65">
        <v>0.13900000000000001</v>
      </c>
    </row>
    <row r="21" spans="1:35">
      <c r="A21" s="61"/>
      <c r="B21" s="62"/>
      <c r="C21" s="49" t="s">
        <v>2020</v>
      </c>
      <c r="D21" s="63">
        <v>2.33</v>
      </c>
      <c r="E21" s="64">
        <f t="shared" si="16"/>
        <v>0.33176</v>
      </c>
      <c r="F21" s="65">
        <v>0.28599999999999998</v>
      </c>
      <c r="G21" s="65">
        <v>9.0999999999999998E-2</v>
      </c>
      <c r="H21" s="63">
        <v>2.33</v>
      </c>
      <c r="I21" s="64">
        <f t="shared" si="17"/>
        <v>0.33176</v>
      </c>
      <c r="J21" s="65">
        <v>0.28599999999999998</v>
      </c>
      <c r="K21" s="65">
        <v>9.0999999999999998E-2</v>
      </c>
      <c r="L21" s="63">
        <v>2.33</v>
      </c>
      <c r="M21" s="64">
        <f t="shared" si="18"/>
        <v>0.33176</v>
      </c>
      <c r="N21" s="65">
        <v>0.28599999999999998</v>
      </c>
      <c r="O21" s="65">
        <v>9.0999999999999998E-2</v>
      </c>
      <c r="P21" s="66">
        <v>3.49</v>
      </c>
      <c r="Q21" s="64">
        <f t="shared" si="19"/>
        <v>0.35552</v>
      </c>
      <c r="R21" s="65">
        <v>0.316</v>
      </c>
      <c r="S21" s="65">
        <v>8.7999999999999995E-2</v>
      </c>
      <c r="T21" s="66">
        <v>4.6500000000000004</v>
      </c>
      <c r="U21" s="64">
        <f t="shared" si="20"/>
        <v>0.35552</v>
      </c>
      <c r="V21" s="65">
        <v>0.316</v>
      </c>
      <c r="W21" s="65">
        <v>8.7999999999999995E-2</v>
      </c>
      <c r="X21" s="66">
        <v>4.6500000000000004</v>
      </c>
      <c r="Y21" s="64">
        <f t="shared" si="21"/>
        <v>0.35552</v>
      </c>
      <c r="Z21" s="65">
        <v>0.316</v>
      </c>
      <c r="AA21" s="65">
        <v>8.7999999999999995E-2</v>
      </c>
      <c r="AB21" s="66">
        <v>4.6500000000000004</v>
      </c>
      <c r="AC21" s="64">
        <f t="shared" si="22"/>
        <v>0.35552</v>
      </c>
      <c r="AD21" s="65">
        <v>0.316</v>
      </c>
      <c r="AE21" s="65">
        <v>8.7999999999999995E-2</v>
      </c>
      <c r="AF21" s="66">
        <v>6.51</v>
      </c>
      <c r="AG21" s="64">
        <f t="shared" si="23"/>
        <v>0.37752000000000002</v>
      </c>
      <c r="AH21" s="65">
        <v>0.34200000000000003</v>
      </c>
      <c r="AI21" s="65">
        <v>8.6999999999999994E-2</v>
      </c>
    </row>
    <row r="22" spans="1:35">
      <c r="A22" s="61"/>
      <c r="B22" s="62"/>
      <c r="C22" s="49" t="s">
        <v>2029</v>
      </c>
      <c r="D22" s="63">
        <v>2.33</v>
      </c>
      <c r="E22" s="64">
        <f t="shared" si="16"/>
        <v>0.10824</v>
      </c>
      <c r="F22" s="95">
        <v>0.09</v>
      </c>
      <c r="G22" s="94">
        <v>3.3000000000000002E-2</v>
      </c>
      <c r="H22" s="63">
        <v>2.33</v>
      </c>
      <c r="I22" s="64">
        <f t="shared" si="17"/>
        <v>0.10824</v>
      </c>
      <c r="J22" s="95">
        <v>0.09</v>
      </c>
      <c r="K22" s="94">
        <v>3.3000000000000002E-2</v>
      </c>
      <c r="L22" s="63">
        <v>2.33</v>
      </c>
      <c r="M22" s="64">
        <f t="shared" si="18"/>
        <v>0.10824</v>
      </c>
      <c r="N22" s="95">
        <v>0.09</v>
      </c>
      <c r="O22" s="94">
        <v>3.3000000000000002E-2</v>
      </c>
      <c r="P22" s="66">
        <v>3.49</v>
      </c>
      <c r="Q22" s="64">
        <f t="shared" si="19"/>
        <v>0.11704000000000001</v>
      </c>
      <c r="R22" s="94">
        <v>0.1</v>
      </c>
      <c r="S22" s="94">
        <v>3.3000000000000002E-2</v>
      </c>
      <c r="T22" s="66">
        <v>4.6500000000000004</v>
      </c>
      <c r="U22" s="64">
        <f t="shared" si="20"/>
        <v>0.11704000000000001</v>
      </c>
      <c r="V22" s="94">
        <v>0.1</v>
      </c>
      <c r="W22" s="94">
        <v>3.3000000000000002E-2</v>
      </c>
      <c r="X22" s="66">
        <v>4.6500000000000004</v>
      </c>
      <c r="Y22" s="64">
        <f t="shared" si="21"/>
        <v>0.11704000000000001</v>
      </c>
      <c r="Z22" s="94">
        <v>0.1</v>
      </c>
      <c r="AA22" s="94">
        <v>3.3000000000000002E-2</v>
      </c>
      <c r="AB22" s="66">
        <v>4.6500000000000004</v>
      </c>
      <c r="AC22" s="64">
        <f t="shared" si="22"/>
        <v>0.11704000000000001</v>
      </c>
      <c r="AD22" s="94">
        <v>0.1</v>
      </c>
      <c r="AE22" s="94">
        <v>3.3000000000000002E-2</v>
      </c>
      <c r="AF22" s="66">
        <v>6.51</v>
      </c>
      <c r="AG22" s="64">
        <f t="shared" si="23"/>
        <v>0.12408000000000001</v>
      </c>
      <c r="AH22" s="94">
        <v>0.107</v>
      </c>
      <c r="AI22" s="94">
        <v>3.4000000000000002E-2</v>
      </c>
    </row>
    <row r="23" spans="1:35">
      <c r="A23" s="61"/>
      <c r="B23" s="62"/>
      <c r="C23" s="49" t="s">
        <v>2030</v>
      </c>
      <c r="D23" s="63">
        <v>2.33</v>
      </c>
      <c r="E23" s="64">
        <f t="shared" si="16"/>
        <v>7.7439999999999995E-2</v>
      </c>
      <c r="F23" s="95">
        <v>6.5000000000000002E-2</v>
      </c>
      <c r="G23" s="94">
        <v>2.3E-2</v>
      </c>
      <c r="H23" s="63">
        <v>2.33</v>
      </c>
      <c r="I23" s="64">
        <f t="shared" si="17"/>
        <v>7.7439999999999995E-2</v>
      </c>
      <c r="J23" s="95">
        <v>6.5000000000000002E-2</v>
      </c>
      <c r="K23" s="94">
        <v>2.3E-2</v>
      </c>
      <c r="L23" s="63">
        <v>2.33</v>
      </c>
      <c r="M23" s="64">
        <f t="shared" si="18"/>
        <v>7.7439999999999995E-2</v>
      </c>
      <c r="N23" s="95">
        <v>6.5000000000000002E-2</v>
      </c>
      <c r="O23" s="94">
        <v>2.3E-2</v>
      </c>
      <c r="P23" s="66">
        <v>3.49</v>
      </c>
      <c r="Q23" s="64">
        <f t="shared" si="19"/>
        <v>8.3600000000000008E-2</v>
      </c>
      <c r="R23" s="95">
        <v>7.1999999999999995E-2</v>
      </c>
      <c r="S23" s="94">
        <v>2.3E-2</v>
      </c>
      <c r="T23" s="66">
        <v>4.6500000000000004</v>
      </c>
      <c r="U23" s="64">
        <f t="shared" si="20"/>
        <v>8.3600000000000008E-2</v>
      </c>
      <c r="V23" s="95">
        <v>7.1999999999999995E-2</v>
      </c>
      <c r="W23" s="94">
        <v>2.3E-2</v>
      </c>
      <c r="X23" s="66">
        <v>4.6500000000000004</v>
      </c>
      <c r="Y23" s="64">
        <f t="shared" si="21"/>
        <v>8.3600000000000008E-2</v>
      </c>
      <c r="Z23" s="95">
        <v>7.1999999999999995E-2</v>
      </c>
      <c r="AA23" s="94">
        <v>2.3E-2</v>
      </c>
      <c r="AB23" s="66">
        <v>4.6500000000000004</v>
      </c>
      <c r="AC23" s="64">
        <f t="shared" si="22"/>
        <v>8.3600000000000008E-2</v>
      </c>
      <c r="AD23" s="95">
        <v>7.1999999999999995E-2</v>
      </c>
      <c r="AE23" s="94">
        <v>2.3E-2</v>
      </c>
      <c r="AF23" s="66">
        <v>6.51</v>
      </c>
      <c r="AG23" s="64">
        <f t="shared" si="23"/>
        <v>8.8880000000000001E-2</v>
      </c>
      <c r="AH23" s="94">
        <v>7.6999999999999999E-2</v>
      </c>
      <c r="AI23" s="94">
        <v>2.4E-2</v>
      </c>
    </row>
    <row r="24" spans="1:35">
      <c r="A24" s="61"/>
      <c r="B24" s="62"/>
      <c r="C24" s="49" t="s">
        <v>2031</v>
      </c>
      <c r="D24" s="63">
        <v>2.33</v>
      </c>
      <c r="E24" s="64">
        <f t="shared" si="16"/>
        <v>0.14696000000000001</v>
      </c>
      <c r="F24" s="95">
        <v>0.16</v>
      </c>
      <c r="G24" s="94">
        <v>7.0000000000000001E-3</v>
      </c>
      <c r="H24" s="63">
        <v>2.33</v>
      </c>
      <c r="I24" s="64">
        <f t="shared" si="17"/>
        <v>0.14696000000000001</v>
      </c>
      <c r="J24" s="95">
        <v>0.16</v>
      </c>
      <c r="K24" s="94">
        <v>7.0000000000000001E-3</v>
      </c>
      <c r="L24" s="63">
        <v>2.33</v>
      </c>
      <c r="M24" s="64">
        <f t="shared" si="18"/>
        <v>0.14696000000000001</v>
      </c>
      <c r="N24" s="95">
        <v>0.16</v>
      </c>
      <c r="O24" s="94">
        <v>7.0000000000000001E-3</v>
      </c>
      <c r="P24" s="66">
        <v>3.49</v>
      </c>
      <c r="Q24" s="64">
        <f t="shared" si="19"/>
        <v>0.16544</v>
      </c>
      <c r="R24" s="95">
        <v>0.184</v>
      </c>
      <c r="S24" s="94">
        <v>4.0000000000000001E-3</v>
      </c>
      <c r="T24" s="66">
        <v>4.6500000000000004</v>
      </c>
      <c r="U24" s="64">
        <f t="shared" si="20"/>
        <v>0.16544</v>
      </c>
      <c r="V24" s="95">
        <v>0.184</v>
      </c>
      <c r="W24" s="94">
        <v>4.0000000000000001E-3</v>
      </c>
      <c r="X24" s="66">
        <v>4.6500000000000004</v>
      </c>
      <c r="Y24" s="64">
        <f t="shared" si="21"/>
        <v>0.16544</v>
      </c>
      <c r="Z24" s="95">
        <v>0.184</v>
      </c>
      <c r="AA24" s="94">
        <v>4.0000000000000001E-3</v>
      </c>
      <c r="AB24" s="66">
        <v>4.6500000000000004</v>
      </c>
      <c r="AC24" s="64">
        <f t="shared" si="22"/>
        <v>0.16544</v>
      </c>
      <c r="AD24" s="95">
        <v>0.184</v>
      </c>
      <c r="AE24" s="94">
        <v>4.0000000000000001E-3</v>
      </c>
      <c r="AF24" s="66">
        <v>6.51</v>
      </c>
      <c r="AG24" s="64">
        <f t="shared" si="23"/>
        <v>0.18128</v>
      </c>
      <c r="AH24" s="95">
        <v>0.20399999999999999</v>
      </c>
      <c r="AI24" s="94">
        <v>2E-3</v>
      </c>
    </row>
    <row r="25" spans="1:35">
      <c r="A25" s="47"/>
      <c r="B25" s="48" t="s">
        <v>2023</v>
      </c>
      <c r="C25" s="49" t="s">
        <v>2014</v>
      </c>
      <c r="D25" s="54" t="s">
        <v>2024</v>
      </c>
      <c r="F25" s="70"/>
      <c r="G25" s="69"/>
      <c r="H25" s="54" t="s">
        <v>2024</v>
      </c>
      <c r="J25" s="58"/>
      <c r="K25" s="56"/>
      <c r="L25" s="54" t="s">
        <v>2024</v>
      </c>
      <c r="N25" s="58"/>
      <c r="O25" s="56"/>
      <c r="P25" s="96" t="s">
        <v>2033</v>
      </c>
      <c r="R25" s="58"/>
      <c r="S25" s="56"/>
      <c r="T25" s="96" t="s">
        <v>2033</v>
      </c>
      <c r="V25" s="58"/>
      <c r="W25" s="56"/>
      <c r="X25" s="96" t="s">
        <v>2033</v>
      </c>
      <c r="Z25" s="58"/>
      <c r="AA25" s="56"/>
      <c r="AB25" s="96" t="s">
        <v>2033</v>
      </c>
      <c r="AC25" s="54"/>
      <c r="AD25" s="58"/>
      <c r="AE25" s="56"/>
      <c r="AF25" s="54" t="s">
        <v>2025</v>
      </c>
      <c r="AG25" s="54"/>
      <c r="AH25" s="58"/>
      <c r="AI25" s="56"/>
    </row>
    <row r="26" spans="1:35">
      <c r="A26" s="61"/>
      <c r="B26" s="62"/>
      <c r="C26" s="49" t="s">
        <v>2018</v>
      </c>
      <c r="D26" s="66">
        <v>1.9</v>
      </c>
      <c r="E26" s="64">
        <f t="shared" ref="E26:E31" si="24">$A$3*(F26+G26)</f>
        <v>0.748</v>
      </c>
      <c r="F26" s="65">
        <v>0.77800000000000002</v>
      </c>
      <c r="G26" s="65">
        <v>7.1999999999999995E-2</v>
      </c>
      <c r="H26" s="66">
        <v>1.9</v>
      </c>
      <c r="I26" s="64">
        <f t="shared" ref="I26:I31" si="25">$A$3*(J26+K26)</f>
        <v>0.748</v>
      </c>
      <c r="J26" s="65">
        <v>0.77800000000000002</v>
      </c>
      <c r="K26" s="65">
        <v>7.1999999999999995E-2</v>
      </c>
      <c r="L26" s="66">
        <v>1.9</v>
      </c>
      <c r="M26" s="64">
        <f t="shared" ref="M26:M31" si="26">$A$3*(N26+O26)</f>
        <v>0.748</v>
      </c>
      <c r="N26" s="65">
        <v>0.77800000000000002</v>
      </c>
      <c r="O26" s="65">
        <v>7.1999999999999995E-2</v>
      </c>
      <c r="P26" s="66">
        <v>2.91</v>
      </c>
      <c r="Q26" s="64">
        <f t="shared" ref="Q26:Q31" si="27">$A$3*(R26+S26)</f>
        <v>0.748</v>
      </c>
      <c r="R26" s="65">
        <v>0.77800000000000002</v>
      </c>
      <c r="S26" s="65">
        <v>7.1999999999999995E-2</v>
      </c>
      <c r="T26" s="66">
        <v>2.91</v>
      </c>
      <c r="U26" s="64">
        <f t="shared" ref="U26:U31" si="28">$A$3*(V26+W26)</f>
        <v>0.748</v>
      </c>
      <c r="V26" s="65">
        <v>0.77800000000000002</v>
      </c>
      <c r="W26" s="65">
        <v>7.1999999999999995E-2</v>
      </c>
      <c r="X26" s="66">
        <v>2.91</v>
      </c>
      <c r="Y26" s="64">
        <f t="shared" ref="Y26:Y31" si="29">$A$3*(Z26+AA26)</f>
        <v>0.748</v>
      </c>
      <c r="Z26" s="65">
        <v>0.77800000000000002</v>
      </c>
      <c r="AA26" s="65">
        <v>7.1999999999999995E-2</v>
      </c>
      <c r="AB26" s="66">
        <v>2.91</v>
      </c>
      <c r="AC26" s="64">
        <f t="shared" ref="AC26:AC31" si="30">$A$3*(AD26+AE26)</f>
        <v>0.748</v>
      </c>
      <c r="AD26" s="65">
        <v>0.77800000000000002</v>
      </c>
      <c r="AE26" s="65">
        <v>7.1999999999999995E-2</v>
      </c>
      <c r="AF26" s="66">
        <v>6.51</v>
      </c>
      <c r="AG26" s="64">
        <f t="shared" ref="AG26:AG31" si="31">$A$3*(AH26+AI26)</f>
        <v>0.5544</v>
      </c>
      <c r="AH26" s="94">
        <v>0.53500000000000003</v>
      </c>
      <c r="AI26" s="94">
        <v>9.5000000000000001E-2</v>
      </c>
    </row>
    <row r="27" spans="1:35">
      <c r="A27" s="61"/>
      <c r="B27" s="62"/>
      <c r="C27" s="49" t="s">
        <v>2019</v>
      </c>
      <c r="D27" s="66">
        <v>1.9</v>
      </c>
      <c r="E27" s="64">
        <f t="shared" si="24"/>
        <v>0.47344000000000003</v>
      </c>
      <c r="F27" s="65">
        <v>0.40100000000000002</v>
      </c>
      <c r="G27" s="65">
        <v>0.13700000000000001</v>
      </c>
      <c r="H27" s="66">
        <v>1.9</v>
      </c>
      <c r="I27" s="64">
        <f t="shared" si="25"/>
        <v>0.47344000000000003</v>
      </c>
      <c r="J27" s="65">
        <v>0.40100000000000002</v>
      </c>
      <c r="K27" s="65">
        <v>0.13700000000000001</v>
      </c>
      <c r="L27" s="66">
        <v>1.9</v>
      </c>
      <c r="M27" s="64">
        <f t="shared" si="26"/>
        <v>0.47344000000000003</v>
      </c>
      <c r="N27" s="65">
        <v>0.40100000000000002</v>
      </c>
      <c r="O27" s="65">
        <v>0.13700000000000001</v>
      </c>
      <c r="P27" s="66">
        <v>2.91</v>
      </c>
      <c r="Q27" s="64">
        <f t="shared" si="27"/>
        <v>0.47344000000000003</v>
      </c>
      <c r="R27" s="65">
        <v>0.40100000000000002</v>
      </c>
      <c r="S27" s="65">
        <v>0.13700000000000001</v>
      </c>
      <c r="T27" s="66">
        <v>2.91</v>
      </c>
      <c r="U27" s="64">
        <f t="shared" si="28"/>
        <v>0.47344000000000003</v>
      </c>
      <c r="V27" s="65">
        <v>0.40100000000000002</v>
      </c>
      <c r="W27" s="65">
        <v>0.13700000000000001</v>
      </c>
      <c r="X27" s="66">
        <v>2.91</v>
      </c>
      <c r="Y27" s="64">
        <f t="shared" si="29"/>
        <v>0.47344000000000003</v>
      </c>
      <c r="Z27" s="65">
        <v>0.40100000000000002</v>
      </c>
      <c r="AA27" s="65">
        <v>0.13700000000000001</v>
      </c>
      <c r="AB27" s="66">
        <v>2.91</v>
      </c>
      <c r="AC27" s="64">
        <f t="shared" si="30"/>
        <v>0.47344000000000003</v>
      </c>
      <c r="AD27" s="65">
        <v>0.40100000000000002</v>
      </c>
      <c r="AE27" s="65">
        <v>0.13700000000000001</v>
      </c>
      <c r="AF27" s="66">
        <v>6.51</v>
      </c>
      <c r="AG27" s="64">
        <f t="shared" si="31"/>
        <v>8.7120000000000003E-2</v>
      </c>
      <c r="AH27" s="94">
        <v>6.7000000000000004E-2</v>
      </c>
      <c r="AI27" s="94">
        <v>3.2000000000000001E-2</v>
      </c>
    </row>
    <row r="28" spans="1:35">
      <c r="A28" s="61"/>
      <c r="B28" s="62"/>
      <c r="C28" s="49" t="s">
        <v>2020</v>
      </c>
      <c r="D28" s="66">
        <v>1.9</v>
      </c>
      <c r="E28" s="64">
        <f t="shared" si="24"/>
        <v>0.33176</v>
      </c>
      <c r="F28" s="65">
        <v>0.28599999999999998</v>
      </c>
      <c r="G28" s="65">
        <v>9.0999999999999998E-2</v>
      </c>
      <c r="H28" s="66">
        <v>1.9</v>
      </c>
      <c r="I28" s="64">
        <f t="shared" si="25"/>
        <v>0.33176</v>
      </c>
      <c r="J28" s="65">
        <v>0.28599999999999998</v>
      </c>
      <c r="K28" s="65">
        <v>9.0999999999999998E-2</v>
      </c>
      <c r="L28" s="66">
        <v>1.9</v>
      </c>
      <c r="M28" s="64">
        <f t="shared" si="26"/>
        <v>0.33176</v>
      </c>
      <c r="N28" s="65">
        <v>0.28599999999999998</v>
      </c>
      <c r="O28" s="65">
        <v>9.0999999999999998E-2</v>
      </c>
      <c r="P28" s="66">
        <v>2.91</v>
      </c>
      <c r="Q28" s="64">
        <f t="shared" si="27"/>
        <v>0.33176</v>
      </c>
      <c r="R28" s="65">
        <v>0.28599999999999998</v>
      </c>
      <c r="S28" s="65">
        <v>9.0999999999999998E-2</v>
      </c>
      <c r="T28" s="66">
        <v>2.91</v>
      </c>
      <c r="U28" s="64">
        <f t="shared" si="28"/>
        <v>0.33176</v>
      </c>
      <c r="V28" s="65">
        <v>0.28599999999999998</v>
      </c>
      <c r="W28" s="65">
        <v>9.0999999999999998E-2</v>
      </c>
      <c r="X28" s="66">
        <v>2.91</v>
      </c>
      <c r="Y28" s="64">
        <f t="shared" si="29"/>
        <v>0.33176</v>
      </c>
      <c r="Z28" s="65">
        <v>0.28599999999999998</v>
      </c>
      <c r="AA28" s="65">
        <v>9.0999999999999998E-2</v>
      </c>
      <c r="AB28" s="66">
        <v>2.91</v>
      </c>
      <c r="AC28" s="64">
        <f t="shared" si="30"/>
        <v>0.33176</v>
      </c>
      <c r="AD28" s="65">
        <v>0.28599999999999998</v>
      </c>
      <c r="AE28" s="65">
        <v>9.0999999999999998E-2</v>
      </c>
      <c r="AF28" s="66">
        <v>6.51</v>
      </c>
      <c r="AG28" s="64">
        <f t="shared" si="31"/>
        <v>6.1600000000000009E-2</v>
      </c>
      <c r="AH28" s="94">
        <v>4.8000000000000001E-2</v>
      </c>
      <c r="AI28" s="94">
        <v>2.1999999999999999E-2</v>
      </c>
    </row>
    <row r="29" spans="1:35">
      <c r="A29" s="61"/>
      <c r="B29" s="62"/>
      <c r="C29" s="49" t="s">
        <v>2029</v>
      </c>
      <c r="D29" s="66">
        <v>1.9</v>
      </c>
      <c r="E29" s="64">
        <f t="shared" si="24"/>
        <v>0.10824</v>
      </c>
      <c r="F29" s="94">
        <v>0.09</v>
      </c>
      <c r="G29" s="94">
        <v>3.3000000000000002E-2</v>
      </c>
      <c r="H29" s="66">
        <v>1.9</v>
      </c>
      <c r="I29" s="64">
        <f t="shared" si="25"/>
        <v>0.10824</v>
      </c>
      <c r="J29" s="94">
        <v>0.09</v>
      </c>
      <c r="K29" s="94">
        <v>3.3000000000000002E-2</v>
      </c>
      <c r="L29" s="66">
        <v>1.9</v>
      </c>
      <c r="M29" s="64">
        <f t="shared" si="26"/>
        <v>0.10824</v>
      </c>
      <c r="N29" s="94">
        <v>0.09</v>
      </c>
      <c r="O29" s="94">
        <v>3.3000000000000002E-2</v>
      </c>
      <c r="P29" s="66">
        <v>2.91</v>
      </c>
      <c r="Q29" s="64">
        <f t="shared" si="27"/>
        <v>0.10824</v>
      </c>
      <c r="R29" s="94">
        <v>0.09</v>
      </c>
      <c r="S29" s="94">
        <v>3.3000000000000002E-2</v>
      </c>
      <c r="T29" s="66">
        <v>2.91</v>
      </c>
      <c r="U29" s="64">
        <f t="shared" si="28"/>
        <v>0.10824</v>
      </c>
      <c r="V29" s="94">
        <v>0.09</v>
      </c>
      <c r="W29" s="94">
        <v>3.3000000000000002E-2</v>
      </c>
      <c r="X29" s="66">
        <v>2.91</v>
      </c>
      <c r="Y29" s="64">
        <f t="shared" si="29"/>
        <v>0.10824</v>
      </c>
      <c r="Z29" s="94">
        <v>0.09</v>
      </c>
      <c r="AA29" s="94">
        <v>3.3000000000000002E-2</v>
      </c>
      <c r="AB29" s="66">
        <v>2.91</v>
      </c>
      <c r="AC29" s="64">
        <f t="shared" si="30"/>
        <v>0.10824</v>
      </c>
      <c r="AD29" s="94">
        <v>0.09</v>
      </c>
      <c r="AE29" s="94">
        <v>3.3000000000000002E-2</v>
      </c>
      <c r="AF29" s="66">
        <v>6.51</v>
      </c>
      <c r="AG29" s="64">
        <f t="shared" si="31"/>
        <v>0.5544</v>
      </c>
      <c r="AH29" s="94">
        <v>0.53500000000000003</v>
      </c>
      <c r="AI29" s="94">
        <v>9.5000000000000001E-2</v>
      </c>
    </row>
    <row r="30" spans="1:35">
      <c r="A30" s="61"/>
      <c r="B30" s="62"/>
      <c r="C30" s="49" t="s">
        <v>2030</v>
      </c>
      <c r="D30" s="66">
        <v>1.9</v>
      </c>
      <c r="E30" s="64">
        <f t="shared" si="24"/>
        <v>7.7439999999999995E-2</v>
      </c>
      <c r="F30" s="94">
        <v>6.5000000000000002E-2</v>
      </c>
      <c r="G30" s="94">
        <v>2.3E-2</v>
      </c>
      <c r="H30" s="66">
        <v>1.9</v>
      </c>
      <c r="I30" s="64">
        <f t="shared" si="25"/>
        <v>7.7439999999999995E-2</v>
      </c>
      <c r="J30" s="94">
        <v>6.5000000000000002E-2</v>
      </c>
      <c r="K30" s="94">
        <v>2.3E-2</v>
      </c>
      <c r="L30" s="66">
        <v>1.9</v>
      </c>
      <c r="M30" s="64">
        <f t="shared" si="26"/>
        <v>7.7439999999999995E-2</v>
      </c>
      <c r="N30" s="94">
        <v>6.5000000000000002E-2</v>
      </c>
      <c r="O30" s="94">
        <v>2.3E-2</v>
      </c>
      <c r="P30" s="66">
        <v>2.91</v>
      </c>
      <c r="Q30" s="64">
        <f t="shared" si="27"/>
        <v>7.7439999999999995E-2</v>
      </c>
      <c r="R30" s="95">
        <v>6.5000000000000002E-2</v>
      </c>
      <c r="S30" s="94">
        <v>2.3E-2</v>
      </c>
      <c r="T30" s="66">
        <v>2.91</v>
      </c>
      <c r="U30" s="64">
        <f t="shared" si="28"/>
        <v>7.7439999999999995E-2</v>
      </c>
      <c r="V30" s="95">
        <v>6.5000000000000002E-2</v>
      </c>
      <c r="W30" s="94">
        <v>2.3E-2</v>
      </c>
      <c r="X30" s="66">
        <v>2.91</v>
      </c>
      <c r="Y30" s="64">
        <f t="shared" si="29"/>
        <v>7.7439999999999995E-2</v>
      </c>
      <c r="Z30" s="95">
        <v>6.5000000000000002E-2</v>
      </c>
      <c r="AA30" s="94">
        <v>2.3E-2</v>
      </c>
      <c r="AB30" s="66">
        <v>2.91</v>
      </c>
      <c r="AC30" s="64">
        <f t="shared" si="30"/>
        <v>7.7439999999999995E-2</v>
      </c>
      <c r="AD30" s="95">
        <v>6.5000000000000002E-2</v>
      </c>
      <c r="AE30" s="94">
        <v>2.3E-2</v>
      </c>
      <c r="AF30" s="66">
        <v>6.51</v>
      </c>
      <c r="AG30" s="64">
        <f t="shared" si="31"/>
        <v>8.7120000000000003E-2</v>
      </c>
      <c r="AH30" s="95">
        <v>6.7000000000000004E-2</v>
      </c>
      <c r="AI30" s="94">
        <v>3.2000000000000001E-2</v>
      </c>
    </row>
    <row r="31" spans="1:35">
      <c r="A31" s="67"/>
      <c r="B31" s="68"/>
      <c r="C31" s="49" t="s">
        <v>2031</v>
      </c>
      <c r="D31" s="66">
        <v>1.9</v>
      </c>
      <c r="E31" s="64">
        <f t="shared" si="24"/>
        <v>0.14696000000000001</v>
      </c>
      <c r="F31" s="94">
        <v>0.16</v>
      </c>
      <c r="G31" s="94">
        <v>7.0000000000000001E-3</v>
      </c>
      <c r="H31" s="66">
        <v>1.9</v>
      </c>
      <c r="I31" s="64">
        <f t="shared" si="25"/>
        <v>0.14696000000000001</v>
      </c>
      <c r="J31" s="94">
        <v>0.16</v>
      </c>
      <c r="K31" s="94">
        <v>7.0000000000000001E-3</v>
      </c>
      <c r="L31" s="66">
        <v>1.9</v>
      </c>
      <c r="M31" s="64">
        <f t="shared" si="26"/>
        <v>0.14696000000000001</v>
      </c>
      <c r="N31" s="94">
        <v>0.16</v>
      </c>
      <c r="O31" s="94">
        <v>7.0000000000000001E-3</v>
      </c>
      <c r="P31" s="66">
        <v>2.91</v>
      </c>
      <c r="Q31" s="64">
        <f t="shared" si="27"/>
        <v>0.14696000000000001</v>
      </c>
      <c r="R31" s="95">
        <v>0.16</v>
      </c>
      <c r="S31" s="94">
        <v>7.0000000000000001E-3</v>
      </c>
      <c r="T31" s="66">
        <v>2.91</v>
      </c>
      <c r="U31" s="64">
        <f t="shared" si="28"/>
        <v>0.14696000000000001</v>
      </c>
      <c r="V31" s="95">
        <v>0.16</v>
      </c>
      <c r="W31" s="94">
        <v>7.0000000000000001E-3</v>
      </c>
      <c r="X31" s="66">
        <v>2.91</v>
      </c>
      <c r="Y31" s="64">
        <f t="shared" si="29"/>
        <v>0.14696000000000001</v>
      </c>
      <c r="Z31" s="95">
        <v>0.16</v>
      </c>
      <c r="AA31" s="94">
        <v>7.0000000000000001E-3</v>
      </c>
      <c r="AB31" s="66">
        <v>2.91</v>
      </c>
      <c r="AC31" s="64">
        <f t="shared" si="30"/>
        <v>0.14696000000000001</v>
      </c>
      <c r="AD31" s="95">
        <v>0.16</v>
      </c>
      <c r="AE31" s="94">
        <v>7.0000000000000001E-3</v>
      </c>
      <c r="AF31" s="66">
        <v>6.51</v>
      </c>
      <c r="AG31" s="64">
        <f t="shared" si="31"/>
        <v>6.1600000000000009E-2</v>
      </c>
      <c r="AH31" s="95">
        <v>4.8000000000000001E-2</v>
      </c>
      <c r="AI31" s="94">
        <v>2.1999999999999999E-2</v>
      </c>
    </row>
  </sheetData>
  <phoneticPr fontId="2"/>
  <pageMargins left="0.7" right="0.7" top="0.75" bottom="0.75" header="0.3" footer="0.3"/>
  <pageSetup paperSize="9" orientation="portrait" verticalDpi="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228B-E83A-44A4-BCC3-80ED0D948EBC}">
  <sheetPr codeName="Sheet19"/>
  <dimension ref="A1:X51"/>
  <sheetViews>
    <sheetView zoomScale="80" zoomScaleNormal="8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U4" sqref="U4"/>
    </sheetView>
  </sheetViews>
  <sheetFormatPr defaultRowHeight="18.75"/>
  <cols>
    <col min="3" max="3" width="16.125" customWidth="1"/>
    <col min="4" max="4" width="20.125" customWidth="1"/>
    <col min="6" max="6" width="13.75" bestFit="1" customWidth="1"/>
    <col min="7" max="7" width="17.125" bestFit="1" customWidth="1"/>
    <col min="8" max="8" width="13.375" bestFit="1" customWidth="1"/>
    <col min="14" max="15" width="27" bestFit="1" customWidth="1"/>
    <col min="16" max="16" width="14.25" bestFit="1" customWidth="1"/>
    <col min="17" max="17" width="24.25" bestFit="1" customWidth="1"/>
    <col min="18" max="19" width="27" bestFit="1" customWidth="1"/>
    <col min="20" max="20" width="24.25" bestFit="1" customWidth="1"/>
    <col min="23" max="23" width="11.875" customWidth="1"/>
    <col min="24" max="24" width="13.375" customWidth="1"/>
  </cols>
  <sheetData>
    <row r="1" spans="1:24" ht="57" thickBot="1">
      <c r="A1" t="s">
        <v>2097</v>
      </c>
      <c r="B1" t="s">
        <v>2098</v>
      </c>
      <c r="C1" s="80" t="s">
        <v>2101</v>
      </c>
      <c r="D1" s="80" t="s">
        <v>2102</v>
      </c>
      <c r="E1" t="s">
        <v>2099</v>
      </c>
      <c r="F1" t="s">
        <v>2100</v>
      </c>
      <c r="G1" s="80" t="s">
        <v>2194</v>
      </c>
      <c r="H1" s="124" t="s">
        <v>2121</v>
      </c>
      <c r="I1" s="125" t="s">
        <v>2122</v>
      </c>
      <c r="J1" s="124" t="s">
        <v>2123</v>
      </c>
      <c r="K1" s="126" t="s">
        <v>2124</v>
      </c>
      <c r="L1" s="80" t="s">
        <v>2125</v>
      </c>
      <c r="M1" s="80" t="s">
        <v>2126</v>
      </c>
      <c r="N1" s="127" t="s">
        <v>2129</v>
      </c>
      <c r="O1" s="127" t="s">
        <v>2193</v>
      </c>
      <c r="P1" s="127" t="s">
        <v>2167</v>
      </c>
      <c r="Q1" s="127" t="s">
        <v>2186</v>
      </c>
      <c r="R1" s="127" t="s">
        <v>2130</v>
      </c>
      <c r="S1" s="127" t="s">
        <v>2195</v>
      </c>
      <c r="T1" s="127" t="s">
        <v>2187</v>
      </c>
      <c r="U1" s="127" t="s">
        <v>2152</v>
      </c>
      <c r="V1" s="127" t="s">
        <v>2153</v>
      </c>
      <c r="W1" s="127" t="s">
        <v>2154</v>
      </c>
      <c r="X1" s="127" t="s">
        <v>2155</v>
      </c>
    </row>
    <row r="2" spans="1:24">
      <c r="A2" s="104" t="s">
        <v>2088</v>
      </c>
      <c r="B2" s="105" t="s">
        <v>2089</v>
      </c>
      <c r="C2" s="109" cm="1">
        <f t="array" ref="C2">_xlfn.IFS(計算条件!$F$3="寒冷地",4.73,計算条件!$F$3="温暖地",4.73)</f>
        <v>4.7300000000000004</v>
      </c>
      <c r="D2" s="113">
        <f>C2-F2</f>
        <v>4.7300000000000004</v>
      </c>
      <c r="E2" s="110" t="s">
        <v>2096</v>
      </c>
      <c r="F2" s="112" cm="1">
        <f t="array" ref="F2">_xlfn.IFS(計算条件!$F$3="寒冷地",,計算条件!$F$3="温暖地",0)</f>
        <v>0</v>
      </c>
      <c r="G2" s="145">
        <f ca="1">F2*外皮面積!$T$22</f>
        <v>0</v>
      </c>
      <c r="H2" cm="1">
        <f t="array" ref="H2">_xlfn.IFS(計算条件!$F$3="寒冷地",0,計算条件!$F$3="温暖地",0)</f>
        <v>0</v>
      </c>
      <c r="I2" cm="1">
        <f t="array" ref="I2">_xlfn.IFS(計算条件!$F$3="寒冷地",0,計算条件!$F$3="温暖地",0)</f>
        <v>0</v>
      </c>
      <c r="J2">
        <f t="shared" ref="J2:J29" si="0">H2+I2</f>
        <v>0</v>
      </c>
      <c r="K2" cm="1">
        <f t="array" ref="K2">_xlfn.IFS(計算条件!$F$3="寒冷地",0,計算条件!$F$3="温暖地",0)</f>
        <v>0</v>
      </c>
      <c r="L2">
        <f>IF(K2=0,0.93,IF(計算条件!$B$3=8,IF(E2="南",MIN(0.01*(16+19*((2*I2+H2)/K2)),0.93),MIN(0.01*(16+24*((2*I2+H2)/K2)),0.93)),IF(E2="南",MIN(0.01*(24+9*((3*I2+H2)/K2)),0.93),MIN(0.01*(16+24*((2*I2+H2)/K2)),0.93))))</f>
        <v>0.93</v>
      </c>
      <c r="M2">
        <f>IF(K2=0,0.72,IF(計算条件!$B$3&lt;&gt;8,IF(E2="南",MIN(0.01*(5+20*((3*I2+H2)/K2)),0.72),MIN(0.01*(10+15*((2*I2+H2)/K2)),0.72))))</f>
        <v>0.72</v>
      </c>
      <c r="N2">
        <f t="shared" ref="N2:N33" ca="1" si="1">F2*L2*U2</f>
        <v>0</v>
      </c>
      <c r="O2">
        <f t="shared" ref="O2:O33" ca="1" si="2">G2*L2*U2</f>
        <v>0</v>
      </c>
      <c r="P2">
        <f>VLOOKUP(B2,外皮面積!$A$3:$N$8,14,FALSE)</f>
        <v>1.8778739331911265E-2</v>
      </c>
      <c r="Q2">
        <f t="shared" ref="Q2:Q33" ca="1" si="3">D2*W2</f>
        <v>2.0528200000000001</v>
      </c>
      <c r="R2">
        <f t="shared" ref="R2:R33" ca="1" si="4">F2*M2*V2</f>
        <v>0</v>
      </c>
      <c r="S2">
        <f t="shared" ref="S2:S33" ca="1" si="5">G2*M2*V2</f>
        <v>0</v>
      </c>
      <c r="T2">
        <f t="shared" ref="T2:T33" ca="1" si="6">D2*X2</f>
        <v>4.4272800000000005</v>
      </c>
      <c r="U2" cm="1">
        <f t="array" aca="1" ref="U2" ca="1">OFFSET(方位係数!$B$3,VALUE(計算条件!$B$3)-1,(_xlfn.IFS(E2="南",0,E2="西",2,E2="北",4,E2="東",6,E30="水平",8)))</f>
        <v>0.434</v>
      </c>
      <c r="V2" cm="1">
        <f t="array" aca="1" ref="V2" ca="1">OFFSET(方位係数!$C$3,VALUE(計算条件!$B$3)-1,(_xlfn.IFS(E2="南",0,E2="西",2,E2="北",4,E2="東",6,E30="水平",8)))</f>
        <v>0.93600000000000005</v>
      </c>
      <c r="W2" cm="1">
        <f t="array" aca="1" ref="W2" ca="1">OFFSET(方位係数!$B$17,VALUE(計算条件!$B$3)-1,(_xlfn.IFS(E2="南",0,E2="西",2,E2="北",4,E2="東",6,E30="水平",_xlfn.IFS(B30="天井",8,OR(B30="床",B30="土間"),10))))</f>
        <v>0.434</v>
      </c>
      <c r="X2" cm="1">
        <f t="array" aca="1" ref="X2" ca="1">OFFSET(方位係数!$C$17,VALUE(計算条件!$B$3)-1,(_xlfn.IFS(E2="南",0,E2="西",2,E2="北",4,E2="東",6,E30="水平",_xlfn.IFS(B30="天井",8,OR(B30="床",B30="土間"),10))))</f>
        <v>0.93600000000000005</v>
      </c>
    </row>
    <row r="3" spans="1:24">
      <c r="A3" s="104" t="s">
        <v>2090</v>
      </c>
      <c r="B3" s="106" t="s">
        <v>2089</v>
      </c>
      <c r="C3" s="109" cm="1">
        <f t="array" ref="C3">_xlfn.IFS(計算条件!$F$3="寒冷地",10.92,計算条件!$F$3="温暖地",10.92)</f>
        <v>10.92</v>
      </c>
      <c r="D3" s="113">
        <f t="shared" ref="D3:D8" si="7">C3-F3</f>
        <v>6.33</v>
      </c>
      <c r="E3" s="111" t="s">
        <v>2096</v>
      </c>
      <c r="F3" s="122" cm="1">
        <f t="array" ref="F3">_xlfn.IFS(計算条件!$F$3="寒冷地",2.15,計算条件!$F$3="温暖地",4.59)</f>
        <v>4.59</v>
      </c>
      <c r="G3" s="146">
        <f ca="1">F3*外皮面積!$T$22</f>
        <v>4.0646552663537578</v>
      </c>
      <c r="H3" cm="1">
        <f t="array" ref="H3">_xlfn.IFS(計算条件!$F$3="寒冷地",1.3,計算条件!$F$3="温暖地",1.8)</f>
        <v>1.8</v>
      </c>
      <c r="I3" cm="1">
        <f t="array" ref="I3">_xlfn.IFS(計算条件!$F$3="寒冷地",0.06,計算条件!$F$3="温暖地",0.06)</f>
        <v>0.06</v>
      </c>
      <c r="J3">
        <f t="shared" si="0"/>
        <v>1.86</v>
      </c>
      <c r="K3" cm="1">
        <f t="array" ref="K3">_xlfn.IFS(計算条件!$F$3="寒冷地",0.3,計算条件!$F$3="温暖地",0.3)</f>
        <v>0.3</v>
      </c>
      <c r="L3">
        <f>IF(K3=0,0.93,IF(計算条件!$B$3=8,IF(E3="南",MIN(0.01*(16+19*((2*I3+H3)/K3)),0.93),MIN(0.01*(16+24*((2*I3+H3)/K3)),0.93)),IF(E3="南",MIN(0.01*(24+9*((3*I3+H3)/K3)),0.93),MIN(0.01*(16+24*((2*I3+H3)/K3)),0.93))))</f>
        <v>0.83400000000000007</v>
      </c>
      <c r="M3">
        <f>IF(K3=0,0.72,IF(計算条件!$B$3&lt;&gt;8,IF(E3="南",MIN(0.01*(5+20*((3*I3+H3)/K3)),0.72),MIN(0.01*(10+15*((2*I3+H3)/K3)),0.72))))</f>
        <v>0.72</v>
      </c>
      <c r="N3">
        <f t="shared" ca="1" si="1"/>
        <v>1.66137804</v>
      </c>
      <c r="O3">
        <f t="shared" ca="1" si="2"/>
        <v>1.471226361588341</v>
      </c>
      <c r="P3">
        <f>VLOOKUP(B3,外皮面積!$A$3:$N$8,14,FALSE)</f>
        <v>1.8778739331911265E-2</v>
      </c>
      <c r="Q3">
        <f t="shared" ca="1" si="3"/>
        <v>2.74722</v>
      </c>
      <c r="R3">
        <f t="shared" ca="1" si="4"/>
        <v>3.0932928</v>
      </c>
      <c r="S3">
        <f t="shared" ca="1" si="5"/>
        <v>2.7392524771011248</v>
      </c>
      <c r="T3">
        <f t="shared" ca="1" si="6"/>
        <v>5.9248800000000008</v>
      </c>
      <c r="U3" cm="1">
        <f t="array" aca="1" ref="U3" ca="1">OFFSET(方位係数!$B$3,VALUE(計算条件!$B$3)-1,(_xlfn.IFS(E3="南",0,E3="西",2,E3="北",4,E3="東",6,E31="水平",8)))</f>
        <v>0.434</v>
      </c>
      <c r="V3" cm="1">
        <f t="array" aca="1" ref="V3" ca="1">OFFSET(方位係数!$C$3,VALUE(計算条件!$B$3)-1,(_xlfn.IFS(E3="南",0,E3="西",2,E3="北",4,E3="東",6,E31="水平",8)))</f>
        <v>0.93600000000000005</v>
      </c>
      <c r="W3" cm="1">
        <f t="array" aca="1" ref="W3" ca="1">OFFSET(方位係数!$B$17,VALUE(計算条件!$B$3)-1,(_xlfn.IFS(E3="南",0,E3="西",2,E3="北",4,E3="東",6,E31="水平",_xlfn.IFS(B31="天井",8,OR(B31="床",B31="土間"),10))))</f>
        <v>0.434</v>
      </c>
      <c r="X3" cm="1">
        <f t="array" aca="1" ref="X3" ca="1">OFFSET(方位係数!$C$17,VALUE(計算条件!$B$3)-1,(_xlfn.IFS(E3="南",0,E3="西",2,E3="北",4,E3="東",6,E31="水平",_xlfn.IFS(B31="天井",8,OR(B31="床",B31="土間"),10))))</f>
        <v>0.93600000000000005</v>
      </c>
    </row>
    <row r="4" spans="1:24">
      <c r="A4" s="104" t="s">
        <v>2091</v>
      </c>
      <c r="B4" s="106" t="s">
        <v>2089</v>
      </c>
      <c r="C4" s="109" cm="1">
        <f t="array" ref="C4">_xlfn.IFS(計算条件!$F$3="寒冷地",7.1,計算条件!$F$3="温暖地",7.1)</f>
        <v>7.1</v>
      </c>
      <c r="D4" s="113">
        <f t="shared" si="7"/>
        <v>3.6299999999999994</v>
      </c>
      <c r="E4" s="110" t="s">
        <v>2096</v>
      </c>
      <c r="F4" s="122" cm="1">
        <f t="array" ref="F4">_xlfn.IFS(計算条件!$F$3="寒冷地",2.15,計算条件!$F$3="温暖地",3.47)</f>
        <v>3.47</v>
      </c>
      <c r="G4" s="146">
        <f ca="1">F4*外皮面積!$T$22</f>
        <v>3.0728439595310544</v>
      </c>
      <c r="H4" cm="1">
        <f t="array" ref="H4">_xlfn.IFS(計算条件!$F$3="寒冷地",1.3,計算条件!$F$3="温暖地",2.1)</f>
        <v>2.1</v>
      </c>
      <c r="I4" cm="1">
        <f t="array" ref="I4">_xlfn.IFS(計算条件!$F$3="寒冷地",1.28,計算条件!$F$3="温暖地",0.48)</f>
        <v>0.48</v>
      </c>
      <c r="J4">
        <f t="shared" si="0"/>
        <v>2.58</v>
      </c>
      <c r="K4" cm="1">
        <f t="array" ref="K4">_xlfn.IFS(計算条件!$F$3="寒冷地",0.91,計算条件!$F$3="温暖地",0.91)</f>
        <v>0.91</v>
      </c>
      <c r="L4">
        <f>IF(K4=0,0.93,IF(計算条件!$B$3=8,IF(E4="南",MIN(0.01*(16+19*((2*I4+H4)/K4)),0.93),MIN(0.01*(16+24*((2*I4+H4)/K4)),0.93)),IF(E4="南",MIN(0.01*(24+9*((3*I4+H4)/K4)),0.93),MIN(0.01*(16+24*((2*I4+H4)/K4)),0.93))))</f>
        <v>0.59010989010989012</v>
      </c>
      <c r="M4">
        <f>IF(K4=0,0.72,IF(計算条件!$B$3&lt;&gt;8,IF(E4="南",MIN(0.01*(5+20*((3*I4+H4)/K4)),0.72),MIN(0.01*(10+15*((2*I4+H4)/K4)),0.72))))</f>
        <v>0.72</v>
      </c>
      <c r="N4">
        <f t="shared" ca="1" si="1"/>
        <v>0.88869369230769246</v>
      </c>
      <c r="O4">
        <f t="shared" ca="1" si="2"/>
        <v>0.78697897529713023</v>
      </c>
      <c r="P4">
        <f>VLOOKUP(B4,外皮面積!$A$3:$N$8,14,FALSE)</f>
        <v>1.8778739331911265E-2</v>
      </c>
      <c r="Q4">
        <f t="shared" ca="1" si="3"/>
        <v>1.5754199999999998</v>
      </c>
      <c r="R4">
        <f t="shared" ca="1" si="4"/>
        <v>2.3385024000000003</v>
      </c>
      <c r="S4">
        <f t="shared" ca="1" si="5"/>
        <v>2.0708510012071684</v>
      </c>
      <c r="T4">
        <f t="shared" ca="1" si="6"/>
        <v>3.3976799999999998</v>
      </c>
      <c r="U4" cm="1">
        <f t="array" aca="1" ref="U4" ca="1">OFFSET(方位係数!$B$3,VALUE(計算条件!$B$3)-1,(_xlfn.IFS(E4="南",0,E4="西",2,E4="北",4,E4="東",6,E32="水平",8)))</f>
        <v>0.434</v>
      </c>
      <c r="V4" cm="1">
        <f t="array" aca="1" ref="V4" ca="1">OFFSET(方位係数!$C$3,VALUE(計算条件!$B$3)-1,(_xlfn.IFS(E4="南",0,E4="西",2,E4="北",4,E4="東",6,E32="水平",8)))</f>
        <v>0.93600000000000005</v>
      </c>
      <c r="W4" cm="1">
        <f t="array" aca="1" ref="W4" ca="1">OFFSET(方位係数!$B$17,VALUE(計算条件!$B$3)-1,(_xlfn.IFS(E4="南",0,E4="西",2,E4="北",4,E4="東",6,E32="水平",_xlfn.IFS(B32="天井",8,OR(B32="床",B32="土間"),10))))</f>
        <v>0.434</v>
      </c>
      <c r="X4" cm="1">
        <f t="array" aca="1" ref="X4" ca="1">OFFSET(方位係数!$C$17,VALUE(計算条件!$B$3)-1,(_xlfn.IFS(E4="南",0,E4="西",2,E4="北",4,E4="東",6,E32="水平",_xlfn.IFS(B32="天井",8,OR(B32="床",B32="土間"),10))))</f>
        <v>0.93600000000000005</v>
      </c>
    </row>
    <row r="5" spans="1:24">
      <c r="A5" s="104" t="s">
        <v>2092</v>
      </c>
      <c r="B5" s="107" t="s">
        <v>2089</v>
      </c>
      <c r="C5" s="109" cm="1">
        <f t="array" ref="C5">_xlfn.IFS(計算条件!$F$3="寒冷地",7.1,計算条件!$F$3="温暖地",7.1)</f>
        <v>7.1</v>
      </c>
      <c r="D5" s="113">
        <f t="shared" si="7"/>
        <v>3.6299999999999994</v>
      </c>
      <c r="E5" s="110" t="s">
        <v>2096</v>
      </c>
      <c r="F5" s="122" cm="1">
        <f t="array" ref="F5">_xlfn.IFS(計算条件!$F$3="寒冷地",2.97,計算条件!$F$3="温暖地",3.47)</f>
        <v>3.47</v>
      </c>
      <c r="G5" s="146">
        <f ca="1">F5*外皮面積!$T$22</f>
        <v>3.0728439595310544</v>
      </c>
      <c r="H5" cm="1">
        <f t="array" ref="H5">_xlfn.IFS(計算条件!$F$3="寒冷地",1.8,計算条件!$F$3="温暖地",2.1)</f>
        <v>2.1</v>
      </c>
      <c r="I5" cm="1">
        <f t="array" ref="I5">_xlfn.IFS(計算条件!$F$3="寒冷地",0.28,計算条件!$F$3="温暖地",0.48)</f>
        <v>0.48</v>
      </c>
      <c r="J5">
        <f t="shared" si="0"/>
        <v>2.58</v>
      </c>
      <c r="K5" cm="1">
        <f t="array" ref="K5">_xlfn.IFS(計算条件!$F$3="寒冷地",0.91,計算条件!$F$3="温暖地",0.91)</f>
        <v>0.91</v>
      </c>
      <c r="L5">
        <f>IF(K5=0,0.93,IF(計算条件!$B$3=8,IF(E5="南",MIN(0.01*(16+19*((2*I5+H5)/K5)),0.93),MIN(0.01*(16+24*((2*I5+H5)/K5)),0.93)),IF(E5="南",MIN(0.01*(24+9*((3*I5+H5)/K5)),0.93),MIN(0.01*(16+24*((2*I5+H5)/K5)),0.93))))</f>
        <v>0.59010989010989012</v>
      </c>
      <c r="M5">
        <f>IF(K5=0,0.72,IF(計算条件!$B$3&lt;&gt;8,IF(E5="南",MIN(0.01*(5+20*((3*I5+H5)/K5)),0.72),MIN(0.01*(10+15*((2*I5+H5)/K5)),0.72))))</f>
        <v>0.72</v>
      </c>
      <c r="N5">
        <f t="shared" ca="1" si="1"/>
        <v>0.88869369230769246</v>
      </c>
      <c r="O5">
        <f t="shared" ca="1" si="2"/>
        <v>0.78697897529713023</v>
      </c>
      <c r="P5">
        <f>VLOOKUP(B5,外皮面積!$A$3:$N$8,14,FALSE)</f>
        <v>1.8778739331911265E-2</v>
      </c>
      <c r="Q5">
        <f t="shared" ca="1" si="3"/>
        <v>1.5754199999999998</v>
      </c>
      <c r="R5">
        <f t="shared" ca="1" si="4"/>
        <v>2.3385024000000003</v>
      </c>
      <c r="S5">
        <f t="shared" ca="1" si="5"/>
        <v>2.0708510012071684</v>
      </c>
      <c r="T5">
        <f t="shared" ca="1" si="6"/>
        <v>3.3976799999999998</v>
      </c>
      <c r="U5" cm="1">
        <f t="array" aca="1" ref="U5" ca="1">OFFSET(方位係数!$B$3,VALUE(計算条件!$B$3)-1,(_xlfn.IFS(E5="南",0,E5="西",2,E5="北",4,E5="東",6,E33="水平",8)))</f>
        <v>0.434</v>
      </c>
      <c r="V5" cm="1">
        <f t="array" aca="1" ref="V5" ca="1">OFFSET(方位係数!$C$3,VALUE(計算条件!$B$3)-1,(_xlfn.IFS(E5="南",0,E5="西",2,E5="北",4,E5="東",6,E33="水平",8)))</f>
        <v>0.93600000000000005</v>
      </c>
      <c r="W5" cm="1">
        <f t="array" aca="1" ref="W5" ca="1">OFFSET(方位係数!$B$17,VALUE(計算条件!$B$3)-1,(_xlfn.IFS(E5="南",0,E5="西",2,E5="北",4,E5="東",6,E33="水平",_xlfn.IFS(B33="天井",8,OR(B33="床",B33="土間"),10))))</f>
        <v>0.434</v>
      </c>
      <c r="X5" cm="1">
        <f t="array" aca="1" ref="X5" ca="1">OFFSET(方位係数!$C$17,VALUE(計算条件!$B$3)-1,(_xlfn.IFS(E5="南",0,E5="西",2,E5="北",4,E5="東",6,E33="水平",_xlfn.IFS(B33="天井",8,OR(B33="床",B33="土間"),10))))</f>
        <v>0.93600000000000005</v>
      </c>
    </row>
    <row r="6" spans="1:24">
      <c r="A6" s="108" t="s">
        <v>2093</v>
      </c>
      <c r="B6" s="105" t="s">
        <v>2089</v>
      </c>
      <c r="C6" s="109" cm="1">
        <f t="array" ref="C6">_xlfn.IFS(計算条件!$F$3="寒冷地",8.74,計算条件!$F$3="温暖地",8.74)</f>
        <v>8.74</v>
      </c>
      <c r="D6" s="113">
        <f t="shared" si="7"/>
        <v>7.01</v>
      </c>
      <c r="E6" s="110" t="s">
        <v>2096</v>
      </c>
      <c r="F6" s="122" cm="1">
        <f t="array" ref="F6">_xlfn.IFS(計算条件!$F$3="寒冷地",1.82,計算条件!$F$3="温暖地",1.73)</f>
        <v>1.73</v>
      </c>
      <c r="G6" s="146">
        <f ca="1">F6*外皮面積!$T$22</f>
        <v>1.5319942507172115</v>
      </c>
      <c r="H6" cm="1">
        <f t="array" ref="H6">_xlfn.IFS(計算条件!$F$3="寒冷地",1.1,計算条件!$F$3="温暖地",1.05)</f>
        <v>1.05</v>
      </c>
      <c r="I6" cm="1">
        <f t="array" ref="I6">_xlfn.IFS(計算条件!$F$3="寒冷地",0.7,計算条件!$F$3="温暖地",0.75)</f>
        <v>0.75</v>
      </c>
      <c r="J6">
        <f t="shared" si="0"/>
        <v>1.8</v>
      </c>
      <c r="K6" cm="1">
        <f t="array" ref="K6">_xlfn.IFS(計算条件!$F$3="寒冷地",0.65,計算条件!$F$3="温暖地",0.65)</f>
        <v>0.65</v>
      </c>
      <c r="L6">
        <f>IF(K6=0,0.93,IF(計算条件!$B$3=8,IF(E6="南",MIN(0.01*(16+19*((2*I6+H6)/K6)),0.93),MIN(0.01*(16+24*((2*I6+H6)/K6)),0.93)),IF(E6="南",MIN(0.01*(24+9*((3*I6+H6)/K6)),0.93),MIN(0.01*(16+24*((2*I6+H6)/K6)),0.93))))</f>
        <v>0.69692307692307698</v>
      </c>
      <c r="M6">
        <f>IF(K6=0,0.72,IF(計算条件!$B$3&lt;&gt;8,IF(E6="南",MIN(0.01*(5+20*((3*I6+H6)/K6)),0.72),MIN(0.01*(10+15*((2*I6+H6)/K6)),0.72))))</f>
        <v>0.72</v>
      </c>
      <c r="N6">
        <f t="shared" ca="1" si="1"/>
        <v>0.52326378461538459</v>
      </c>
      <c r="O6">
        <f t="shared" ca="1" si="2"/>
        <v>0.46337405181462343</v>
      </c>
      <c r="P6">
        <f>VLOOKUP(B6,外皮面積!$A$3:$N$8,14,FALSE)</f>
        <v>1.8778739331911265E-2</v>
      </c>
      <c r="Q6">
        <f t="shared" ca="1" si="3"/>
        <v>3.0423399999999998</v>
      </c>
      <c r="R6">
        <f t="shared" ca="1" si="4"/>
        <v>1.1658816000000001</v>
      </c>
      <c r="S6">
        <f t="shared" ca="1" si="5"/>
        <v>1.0324415654433432</v>
      </c>
      <c r="T6">
        <f t="shared" ca="1" si="6"/>
        <v>6.5613600000000005</v>
      </c>
      <c r="U6" cm="1">
        <f t="array" aca="1" ref="U6" ca="1">OFFSET(方位係数!$B$3,VALUE(計算条件!$B$3)-1,(_xlfn.IFS(E6="南",0,E6="西",2,E6="北",4,E6="東",6,E34="水平",8)))</f>
        <v>0.434</v>
      </c>
      <c r="V6" cm="1">
        <f t="array" aca="1" ref="V6" ca="1">OFFSET(方位係数!$C$3,VALUE(計算条件!$B$3)-1,(_xlfn.IFS(E6="南",0,E6="西",2,E6="北",4,E6="東",6,E34="水平",8)))</f>
        <v>0.93600000000000005</v>
      </c>
      <c r="W6" cm="1">
        <f t="array" aca="1" ref="W6" ca="1">OFFSET(方位係数!$B$17,VALUE(計算条件!$B$3)-1,(_xlfn.IFS(E6="南",0,E6="西",2,E6="北",4,E6="東",6,E34="水平",_xlfn.IFS(B34="天井",8,OR(B34="床",B34="土間"),10))))</f>
        <v>0.434</v>
      </c>
      <c r="X6" cm="1">
        <f t="array" aca="1" ref="X6" ca="1">OFFSET(方位係数!$C$17,VALUE(計算条件!$B$3)-1,(_xlfn.IFS(E6="南",0,E6="西",2,E6="北",4,E6="東",6,E34="水平",_xlfn.IFS(B34="天井",8,OR(B34="床",B34="土間"),10))))</f>
        <v>0.93600000000000005</v>
      </c>
    </row>
    <row r="7" spans="1:24">
      <c r="A7" s="108" t="s">
        <v>2094</v>
      </c>
      <c r="B7" s="105" t="s">
        <v>2089</v>
      </c>
      <c r="C7" s="109" cm="1">
        <f t="array" ref="C7">_xlfn.IFS(計算条件!$F$3="寒冷地",7.1,計算条件!$F$3="温暖地",7.1)</f>
        <v>7.1</v>
      </c>
      <c r="D7" s="113">
        <f t="shared" si="7"/>
        <v>3.8799999999999994</v>
      </c>
      <c r="E7" s="110" t="s">
        <v>2096</v>
      </c>
      <c r="F7" s="122" cm="1">
        <f t="array" ref="F7">_xlfn.IFS(計算条件!$F$3="寒冷地",2.97,計算条件!$F$3="温暖地",3.22)</f>
        <v>3.22</v>
      </c>
      <c r="G7" s="146">
        <f ca="1">F7*外皮面積!$T$22</f>
        <v>2.8514575071152723</v>
      </c>
      <c r="H7" cm="1">
        <f t="array" ref="H7">_xlfn.IFS(計算条件!$F$3="寒冷地",1.8,計算条件!$F$3="温暖地",1.95)</f>
        <v>1.95</v>
      </c>
      <c r="I7" cm="1">
        <f t="array" ref="I7">_xlfn.IFS(計算条件!$F$3="寒冷地",0.9,計算条件!$F$3="温暖地",0.75)</f>
        <v>0.75</v>
      </c>
      <c r="J7">
        <f t="shared" si="0"/>
        <v>2.7</v>
      </c>
      <c r="K7" cm="1">
        <f t="array" ref="K7">_xlfn.IFS(計算条件!$F$3="寒冷地",0.65,計算条件!$F$3="温暖地",0.65)</f>
        <v>0.65</v>
      </c>
      <c r="L7">
        <f>IF(K7=0,0.93,IF(計算条件!$B$3=8,IF(E7="南",MIN(0.01*(16+19*((2*I7+H7)/K7)),0.93),MIN(0.01*(16+24*((2*I7+H7)/K7)),0.93)),IF(E7="南",MIN(0.01*(24+9*((3*I7+H7)/K7)),0.93),MIN(0.01*(16+24*((2*I7+H7)/K7)),0.93))))</f>
        <v>0.82153846153846166</v>
      </c>
      <c r="M7">
        <f>IF(K7=0,0.72,IF(計算条件!$B$3&lt;&gt;8,IF(E7="南",MIN(0.01*(5+20*((3*I7+H7)/K7)),0.72),MIN(0.01*(10+15*((2*I7+H7)/K7)),0.72))))</f>
        <v>0.72</v>
      </c>
      <c r="N7">
        <f t="shared" ca="1" si="1"/>
        <v>1.1480835692307694</v>
      </c>
      <c r="O7">
        <f t="shared" ca="1" si="2"/>
        <v>1.0166805938753956</v>
      </c>
      <c r="P7">
        <f>VLOOKUP(B7,外皮面積!$A$3:$N$8,14,FALSE)</f>
        <v>1.8778739331911265E-2</v>
      </c>
      <c r="Q7">
        <f t="shared" ca="1" si="3"/>
        <v>1.6839199999999996</v>
      </c>
      <c r="R7">
        <f t="shared" ca="1" si="4"/>
        <v>2.1700224000000001</v>
      </c>
      <c r="S7">
        <f t="shared" ca="1" si="5"/>
        <v>1.9216542431951245</v>
      </c>
      <c r="T7">
        <f t="shared" ca="1" si="6"/>
        <v>3.6316799999999998</v>
      </c>
      <c r="U7" cm="1">
        <f t="array" aca="1" ref="U7" ca="1">OFFSET(方位係数!$B$3,VALUE(計算条件!$B$3)-1,(_xlfn.IFS(E7="南",0,E7="西",2,E7="北",4,E7="東",6,E35="水平",8)))</f>
        <v>0.434</v>
      </c>
      <c r="V7" cm="1">
        <f t="array" aca="1" ref="V7" ca="1">OFFSET(方位係数!$C$3,VALUE(計算条件!$B$3)-1,(_xlfn.IFS(E7="南",0,E7="西",2,E7="北",4,E7="東",6,E35="水平",8)))</f>
        <v>0.93600000000000005</v>
      </c>
      <c r="W7" cm="1">
        <f t="array" aca="1" ref="W7" ca="1">OFFSET(方位係数!$B$17,VALUE(計算条件!$B$3)-1,(_xlfn.IFS(E7="南",0,E7="西",2,E7="北",4,E7="東",6,E35="水平",_xlfn.IFS(B35="天井",8,OR(B35="床",B35="土間"),10))))</f>
        <v>0.434</v>
      </c>
      <c r="X7" cm="1">
        <f t="array" aca="1" ref="X7" ca="1">OFFSET(方位係数!$C$17,VALUE(計算条件!$B$3)-1,(_xlfn.IFS(E7="南",0,E7="西",2,E7="北",4,E7="東",6,E35="水平",_xlfn.IFS(B35="天井",8,OR(B35="床",B35="土間"),10))))</f>
        <v>0.93600000000000005</v>
      </c>
    </row>
    <row r="8" spans="1:24">
      <c r="A8" s="108" t="s">
        <v>2095</v>
      </c>
      <c r="B8" s="105" t="s">
        <v>2089</v>
      </c>
      <c r="C8" s="109" cm="1">
        <f t="array" ref="C8">_xlfn.IFS(計算条件!$F$3="寒冷地",7.1,計算条件!$F$3="温暖地",7.1)</f>
        <v>7.1</v>
      </c>
      <c r="D8" s="113">
        <f t="shared" si="7"/>
        <v>3.8799999999999994</v>
      </c>
      <c r="E8" s="110" t="s">
        <v>2096</v>
      </c>
      <c r="F8" s="122" cm="1">
        <f t="array" ref="F8">_xlfn.IFS(計算条件!$F$3="寒冷地",2.97,計算条件!$F$3="温暖地",3.22)</f>
        <v>3.22</v>
      </c>
      <c r="G8" s="146">
        <f ca="1">F8*外皮面積!$T$22</f>
        <v>2.8514575071152723</v>
      </c>
      <c r="H8" cm="1">
        <f t="array" ref="H8">_xlfn.IFS(計算条件!$F$3="寒冷地",1.8,計算条件!$F$3="温暖地",1.95)</f>
        <v>1.95</v>
      </c>
      <c r="I8" cm="1">
        <f t="array" ref="I8">_xlfn.IFS(計算条件!$F$3="寒冷地",0.9,計算条件!$F$3="温暖地",0.75)</f>
        <v>0.75</v>
      </c>
      <c r="J8">
        <f t="shared" si="0"/>
        <v>2.7</v>
      </c>
      <c r="K8" cm="1">
        <f t="array" ref="K8">_xlfn.IFS(計算条件!$F$3="寒冷地",0.65,計算条件!$F$3="温暖地",0.65)</f>
        <v>0.65</v>
      </c>
      <c r="L8">
        <f>IF(K8=0,0.93,IF(計算条件!$B$3=8,IF(E8="南",MIN(0.01*(16+19*((2*I8+H8)/K8)),0.93),MIN(0.01*(16+24*((2*I8+H8)/K8)),0.93)),IF(E8="南",MIN(0.01*(24+9*((3*I8+H8)/K8)),0.93),MIN(0.01*(16+24*((2*I8+H8)/K8)),0.93))))</f>
        <v>0.82153846153846166</v>
      </c>
      <c r="M8">
        <f>IF(K8=0,0.72,IF(計算条件!$B$3&lt;&gt;8,IF(E8="南",MIN(0.01*(5+20*((3*I8+H8)/K8)),0.72),MIN(0.01*(10+15*((2*I8+H8)/K8)),0.72))))</f>
        <v>0.72</v>
      </c>
      <c r="N8">
        <f t="shared" ca="1" si="1"/>
        <v>1.1480835692307694</v>
      </c>
      <c r="O8">
        <f t="shared" ca="1" si="2"/>
        <v>1.0166805938753956</v>
      </c>
      <c r="P8">
        <f>VLOOKUP(B8,外皮面積!$A$3:$N$8,14,FALSE)</f>
        <v>1.8778739331911265E-2</v>
      </c>
      <c r="Q8">
        <f t="shared" ca="1" si="3"/>
        <v>1.6839199999999996</v>
      </c>
      <c r="R8">
        <f t="shared" ca="1" si="4"/>
        <v>2.1700224000000001</v>
      </c>
      <c r="S8">
        <f t="shared" ca="1" si="5"/>
        <v>1.9216542431951245</v>
      </c>
      <c r="T8">
        <f t="shared" ca="1" si="6"/>
        <v>3.6316799999999998</v>
      </c>
      <c r="U8" cm="1">
        <f t="array" aca="1" ref="U8" ca="1">OFFSET(方位係数!$B$3,VALUE(計算条件!$B$3)-1,(_xlfn.IFS(E8="南",0,E8="西",2,E8="北",4,E8="東",6,E36="水平",8)))</f>
        <v>0.434</v>
      </c>
      <c r="V8" cm="1">
        <f t="array" aca="1" ref="V8" ca="1">OFFSET(方位係数!$C$3,VALUE(計算条件!$B$3)-1,(_xlfn.IFS(E8="南",0,E8="西",2,E8="北",4,E8="東",6,E36="水平",8)))</f>
        <v>0.93600000000000005</v>
      </c>
      <c r="W8" cm="1">
        <f t="array" aca="1" ref="W8" ca="1">OFFSET(方位係数!$B$17,VALUE(計算条件!$B$3)-1,(_xlfn.IFS(E8="南",0,E8="西",2,E8="北",4,E8="東",6,E36="水平",_xlfn.IFS(B36="天井",8,OR(B36="床",B36="土間"),10))))</f>
        <v>0.434</v>
      </c>
      <c r="X8" cm="1">
        <f t="array" aca="1" ref="X8" ca="1">OFFSET(方位係数!$C$17,VALUE(計算条件!$B$3)-1,(_xlfn.IFS(E8="南",0,E8="西",2,E8="北",4,E8="東",6,E36="水平",_xlfn.IFS(B36="天井",8,OR(B36="床",B36="土間"),10))))</f>
        <v>0.93600000000000005</v>
      </c>
    </row>
    <row r="9" spans="1:24">
      <c r="A9" s="104" t="s">
        <v>2088</v>
      </c>
      <c r="B9" s="105" t="s">
        <v>2089</v>
      </c>
      <c r="C9" s="109" cm="1">
        <f t="array" ref="C9">_xlfn.IFS(計算条件!$F$3="寒冷地",2.73,計算条件!$F$3="温暖地",2.73)</f>
        <v>2.73</v>
      </c>
      <c r="D9" s="113">
        <f t="shared" ref="D9" si="8">C9-F9</f>
        <v>2.73</v>
      </c>
      <c r="E9" s="110" t="s">
        <v>2106</v>
      </c>
      <c r="F9" s="112" cm="1">
        <f t="array" ref="F9">_xlfn.IFS(計算条件!$F$3="寒冷地",0,計算条件!$F$3="温暖地",0)</f>
        <v>0</v>
      </c>
      <c r="G9" s="145">
        <f ca="1">F9*外皮面積!$T$22</f>
        <v>0</v>
      </c>
      <c r="H9" cm="1">
        <f t="array" ref="H9">_xlfn.IFS(計算条件!$F$3="寒冷地",0,計算条件!$F$3="温暖地",0)</f>
        <v>0</v>
      </c>
      <c r="I9" cm="1">
        <f t="array" ref="I9">_xlfn.IFS(計算条件!$F$3="寒冷地",0,計算条件!$F$3="温暖地",0)</f>
        <v>0</v>
      </c>
      <c r="J9">
        <f t="shared" si="0"/>
        <v>0</v>
      </c>
      <c r="K9" cm="1">
        <f t="array" ref="K9">_xlfn.IFS(計算条件!$F$3="寒冷地",0,計算条件!$F$3="温暖地",0)</f>
        <v>0</v>
      </c>
      <c r="L9">
        <f>IF(K9=0,0.93,IF(計算条件!$B$3=8,IF(E9="南",MIN(0.01*(16+19*((2*I9+H9)/K9)),0.93),MIN(0.01*(16+24*((2*I9+H9)/K9)),0.93)),IF(E9="南",MIN(0.01*(24+9*((3*I9+H9)/K9)),0.93),MIN(0.01*(16+24*((2*I9+H9)/K9)),0.93))))</f>
        <v>0.93</v>
      </c>
      <c r="M9">
        <f>IF(K9=0,0.72,IF(計算条件!$B$3&lt;&gt;8,IF(E9="南",MIN(0.01*(5+20*((3*I9+H9)/K9)),0.72),MIN(0.01*(10+15*((2*I9+H9)/K9)),0.72))))</f>
        <v>0.72</v>
      </c>
      <c r="N9">
        <f t="shared" ca="1" si="1"/>
        <v>0</v>
      </c>
      <c r="O9">
        <f t="shared" ca="1" si="2"/>
        <v>0</v>
      </c>
      <c r="P9">
        <f>VLOOKUP(B9,外皮面積!$A$3:$N$8,14,FALSE)</f>
        <v>1.8778739331911265E-2</v>
      </c>
      <c r="Q9">
        <f t="shared" ca="1" si="3"/>
        <v>1.37592</v>
      </c>
      <c r="R9">
        <f t="shared" ca="1" si="4"/>
        <v>0</v>
      </c>
      <c r="S9">
        <f t="shared" ca="1" si="5"/>
        <v>0</v>
      </c>
      <c r="T9">
        <f t="shared" ca="1" si="6"/>
        <v>1.4277900000000001</v>
      </c>
      <c r="U9" cm="1">
        <f t="array" aca="1" ref="U9" ca="1">OFFSET(方位係数!$B$3,VALUE(計算条件!$B$3)-1,(_xlfn.IFS(E9="南",0,E9="西",2,E9="北",4,E9="東",6,E37="水平",8)))</f>
        <v>0.504</v>
      </c>
      <c r="V9" cm="1">
        <f t="array" aca="1" ref="V9" ca="1">OFFSET(方位係数!$C$3,VALUE(計算条件!$B$3)-1,(_xlfn.IFS(E9="南",0,E9="西",2,E9="北",4,E9="東",6,E37="水平",8)))</f>
        <v>0.52300000000000002</v>
      </c>
      <c r="W9" cm="1">
        <f t="array" aca="1" ref="W9" ca="1">OFFSET(方位係数!$B$17,VALUE(計算条件!$B$3)-1,(_xlfn.IFS(E9="南",0,E9="西",2,E9="北",4,E9="東",6,E37="水平",_xlfn.IFS(B37="天井",8,OR(B37="床",B37="土間"),10))))</f>
        <v>0.504</v>
      </c>
      <c r="X9" cm="1">
        <f t="array" aca="1" ref="X9" ca="1">OFFSET(方位係数!$C$17,VALUE(計算条件!$B$3)-1,(_xlfn.IFS(E9="南",0,E9="西",2,E9="北",4,E9="東",6,E37="水平",_xlfn.IFS(B37="天井",8,OR(B37="床",B37="土間"),10))))</f>
        <v>0.52300000000000002</v>
      </c>
    </row>
    <row r="10" spans="1:24">
      <c r="A10" s="104" t="s">
        <v>2090</v>
      </c>
      <c r="B10" s="107" t="s">
        <v>2089</v>
      </c>
      <c r="C10" s="109" cm="1">
        <f t="array" ref="C10">_xlfn.IFS(計算条件!$F$3="寒冷地",8.74,計算条件!$F$3="温暖地",8.74)</f>
        <v>8.74</v>
      </c>
      <c r="D10" s="113">
        <f t="shared" ref="D10:D14" si="9">C10-F10</f>
        <v>8.74</v>
      </c>
      <c r="E10" s="110" t="s">
        <v>2106</v>
      </c>
      <c r="F10" s="112" cm="1">
        <f t="array" ref="F10">_xlfn.IFS(計算条件!$F$3="寒冷地",0,計算条件!$F$3="温暖地",0)</f>
        <v>0</v>
      </c>
      <c r="G10" s="145">
        <f ca="1">F10*外皮面積!$T$22</f>
        <v>0</v>
      </c>
      <c r="H10" cm="1">
        <f t="array" ref="H10">_xlfn.IFS(計算条件!$F$3="寒冷地",0,計算条件!$F$3="温暖地",0)</f>
        <v>0</v>
      </c>
      <c r="I10" cm="1">
        <f t="array" ref="I10">_xlfn.IFS(計算条件!$F$3="寒冷地",0,計算条件!$F$3="温暖地",0)</f>
        <v>0</v>
      </c>
      <c r="J10">
        <f t="shared" si="0"/>
        <v>0</v>
      </c>
      <c r="K10" cm="1">
        <f t="array" ref="K10">_xlfn.IFS(計算条件!$F$3="寒冷地",0,計算条件!$F$3="温暖地",0)</f>
        <v>0</v>
      </c>
      <c r="L10">
        <f>IF(K10=0,0.93,IF(計算条件!$B$3=8,IF(E10="南",MIN(0.01*(16+19*((2*I10+H10)/K10)),0.93),MIN(0.01*(16+24*((2*I10+H10)/K10)),0.93)),IF(E10="南",MIN(0.01*(24+9*((3*I10+H10)/K10)),0.93),MIN(0.01*(16+24*((2*I10+H10)/K10)),0.93))))</f>
        <v>0.93</v>
      </c>
      <c r="M10">
        <f>IF(K10=0,0.72,IF(計算条件!$B$3&lt;&gt;8,IF(E10="南",MIN(0.01*(5+20*((3*I10+H10)/K10)),0.72),MIN(0.01*(10+15*((2*I10+H10)/K10)),0.72))))</f>
        <v>0.72</v>
      </c>
      <c r="N10">
        <f t="shared" ca="1" si="1"/>
        <v>0</v>
      </c>
      <c r="O10">
        <f t="shared" ca="1" si="2"/>
        <v>0</v>
      </c>
      <c r="P10">
        <f>VLOOKUP(B10,外皮面積!$A$3:$N$8,14,FALSE)</f>
        <v>1.8778739331911265E-2</v>
      </c>
      <c r="Q10">
        <f t="shared" ca="1" si="3"/>
        <v>4.40496</v>
      </c>
      <c r="R10">
        <f t="shared" ca="1" si="4"/>
        <v>0</v>
      </c>
      <c r="S10">
        <f t="shared" ca="1" si="5"/>
        <v>0</v>
      </c>
      <c r="T10">
        <f t="shared" ca="1" si="6"/>
        <v>4.5710199999999999</v>
      </c>
      <c r="U10" cm="1">
        <f t="array" aca="1" ref="U10" ca="1">OFFSET(方位係数!$B$3,VALUE(計算条件!$B$3)-1,(_xlfn.IFS(E10="南",0,E10="西",2,E10="北",4,E10="東",6,E38="水平",8)))</f>
        <v>0.504</v>
      </c>
      <c r="V10" cm="1">
        <f t="array" aca="1" ref="V10" ca="1">OFFSET(方位係数!$C$3,VALUE(計算条件!$B$3)-1,(_xlfn.IFS(E10="南",0,E10="西",2,E10="北",4,E10="東",6,E38="水平",8)))</f>
        <v>0.52300000000000002</v>
      </c>
      <c r="W10" cm="1">
        <f t="array" aca="1" ref="W10" ca="1">OFFSET(方位係数!$B$17,VALUE(計算条件!$B$3)-1,(_xlfn.IFS(E10="南",0,E10="西",2,E10="北",4,E10="東",6,E38="水平",_xlfn.IFS(B38="天井",8,OR(B38="床",B38="土間"),10))))</f>
        <v>0.504</v>
      </c>
      <c r="X10" cm="1">
        <f t="array" aca="1" ref="X10" ca="1">OFFSET(方位係数!$C$17,VALUE(計算条件!$B$3)-1,(_xlfn.IFS(E10="南",0,E10="西",2,E10="北",4,E10="東",6,E38="水平",_xlfn.IFS(B38="天井",8,OR(B38="床",B38="土間"),10))))</f>
        <v>0.52300000000000002</v>
      </c>
    </row>
    <row r="11" spans="1:24">
      <c r="A11" s="114" t="s">
        <v>2103</v>
      </c>
      <c r="B11" s="105" t="s">
        <v>2089</v>
      </c>
      <c r="C11" s="109" cm="1">
        <f t="array" ref="C11">_xlfn.IFS(計算条件!$F$3="寒冷地",4.1,計算条件!$F$3="温暖地",4.1)</f>
        <v>4.0999999999999996</v>
      </c>
      <c r="D11" s="113">
        <f t="shared" si="9"/>
        <v>3.5599999999999996</v>
      </c>
      <c r="E11" s="110" t="s">
        <v>2106</v>
      </c>
      <c r="F11" s="122" cm="1">
        <f t="array" ref="F11">_xlfn.IFS(計算条件!$F$3="寒冷地",0.35,計算条件!$F$3="温暖地",0.54)</f>
        <v>0.54</v>
      </c>
      <c r="G11" s="146">
        <f ca="1">F11*外皮面積!$T$22</f>
        <v>0.47819473721808914</v>
      </c>
      <c r="H11" cm="1">
        <f t="array" ref="H11">_xlfn.IFS(計算条件!$F$3="寒冷地",0.5,計算条件!$F$3="温暖地",0.9)</f>
        <v>0.9</v>
      </c>
      <c r="I11" cm="1">
        <f t="array" ref="I11">_xlfn.IFS(計算条件!$F$3="寒冷地",0.69,計算条件!$F$3="温暖地",0.49)</f>
        <v>0.49</v>
      </c>
      <c r="J11">
        <f t="shared" si="0"/>
        <v>1.3900000000000001</v>
      </c>
      <c r="K11" cm="1">
        <f t="array" ref="K11">_xlfn.IFS(計算条件!$F$3="寒冷地",4.09,計算条件!$F$3="温暖地",4.09)</f>
        <v>4.09</v>
      </c>
      <c r="L11">
        <f>IF(K11=0,0.93,IF(計算条件!$B$3=8,IF(E11="南",MIN(0.01*(16+19*((2*I11+H11)/K11)),0.93),MIN(0.01*(16+24*((2*I11+H11)/K11)),0.93)),IF(E11="南",MIN(0.01*(24+9*((3*I11+H11)/K11)),0.93),MIN(0.01*(16+24*((2*I11+H11)/K11)),0.93))))</f>
        <v>0.27031784841075795</v>
      </c>
      <c r="M11">
        <f>IF(K11=0,0.72,IF(計算条件!$B$3&lt;&gt;8,IF(E11="南",MIN(0.01*(5+20*((3*I11+H11)/K11)),0.72),MIN(0.01*(10+15*((2*I11+H11)/K11)),0.72))))</f>
        <v>0.16894865525672373</v>
      </c>
      <c r="N11">
        <f t="shared" ca="1" si="1"/>
        <v>7.3569705623471884E-2</v>
      </c>
      <c r="O11">
        <f t="shared" ca="1" si="2"/>
        <v>6.5149344533015394E-2</v>
      </c>
      <c r="P11">
        <f>VLOOKUP(B11,外皮面積!$A$3:$N$8,14,FALSE)</f>
        <v>1.8778739331911265E-2</v>
      </c>
      <c r="Q11">
        <f t="shared" ca="1" si="3"/>
        <v>1.7942399999999998</v>
      </c>
      <c r="R11">
        <f t="shared" ca="1" si="4"/>
        <v>4.7714479217603918E-2</v>
      </c>
      <c r="S11">
        <f t="shared" ca="1" si="5"/>
        <v>4.2253357131407564E-2</v>
      </c>
      <c r="T11">
        <f t="shared" ca="1" si="6"/>
        <v>1.8618799999999998</v>
      </c>
      <c r="U11" cm="1">
        <f t="array" aca="1" ref="U11" ca="1">OFFSET(方位係数!$B$3,VALUE(計算条件!$B$3)-1,(_xlfn.IFS(E11="南",0,E11="西",2,E11="北",4,E11="東",6,E39="水平",8)))</f>
        <v>0.504</v>
      </c>
      <c r="V11" cm="1">
        <f t="array" aca="1" ref="V11" ca="1">OFFSET(方位係数!$C$3,VALUE(計算条件!$B$3)-1,(_xlfn.IFS(E11="南",0,E11="西",2,E11="北",4,E11="東",6,E39="水平",8)))</f>
        <v>0.52300000000000002</v>
      </c>
      <c r="W11" cm="1">
        <f t="array" aca="1" ref="W11" ca="1">OFFSET(方位係数!$B$17,VALUE(計算条件!$B$3)-1,(_xlfn.IFS(E11="南",0,E11="西",2,E11="北",4,E11="東",6,E39="水平",_xlfn.IFS(B39="天井",8,OR(B39="床",B39="土間"),10))))</f>
        <v>0.504</v>
      </c>
      <c r="X11" cm="1">
        <f t="array" aca="1" ref="X11" ca="1">OFFSET(方位係数!$C$17,VALUE(計算条件!$B$3)-1,(_xlfn.IFS(E11="南",0,E11="西",2,E11="北",4,E11="東",6,E39="水平",_xlfn.IFS(B39="天井",8,OR(B39="床",B39="土間"),10))))</f>
        <v>0.52300000000000002</v>
      </c>
    </row>
    <row r="12" spans="1:24">
      <c r="A12" s="108" t="s">
        <v>14</v>
      </c>
      <c r="B12" s="105" t="s">
        <v>2089</v>
      </c>
      <c r="C12" s="109" cm="1">
        <f t="array" ref="C12">_xlfn.IFS(計算条件!$F$3="寒冷地",2.84,計算条件!$F$3="温暖地",2.84)</f>
        <v>2.84</v>
      </c>
      <c r="D12" s="113">
        <f t="shared" si="9"/>
        <v>2.84</v>
      </c>
      <c r="E12" s="110" t="s">
        <v>2106</v>
      </c>
      <c r="F12" s="112" cm="1">
        <f t="array" ref="F12">_xlfn.IFS(計算条件!$F$3="寒冷地",0,計算条件!$F$3="温暖地",0)</f>
        <v>0</v>
      </c>
      <c r="G12" s="145">
        <f ca="1">F12*外皮面積!$T$22</f>
        <v>0</v>
      </c>
      <c r="H12" cm="1">
        <f t="array" ref="H12">_xlfn.IFS(計算条件!$F$3="寒冷地",0,計算条件!$F$3="温暖地",0)</f>
        <v>0</v>
      </c>
      <c r="I12" cm="1">
        <f t="array" ref="I12">_xlfn.IFS(計算条件!$F$3="寒冷地",0,計算条件!$F$3="温暖地",0)</f>
        <v>0</v>
      </c>
      <c r="J12">
        <f t="shared" si="0"/>
        <v>0</v>
      </c>
      <c r="K12" cm="1">
        <f t="array" ref="K12">_xlfn.IFS(計算条件!$F$3="寒冷地",0,計算条件!$F$3="温暖地",0)</f>
        <v>0</v>
      </c>
      <c r="L12">
        <f>IF(K12=0,0.93,IF(計算条件!$B$3=8,IF(E12="南",MIN(0.01*(16+19*((2*I12+H12)/K12)),0.93),MIN(0.01*(16+24*((2*I12+H12)/K12)),0.93)),IF(E12="南",MIN(0.01*(24+9*((3*I12+H12)/K12)),0.93),MIN(0.01*(16+24*((2*I12+H12)/K12)),0.93))))</f>
        <v>0.93</v>
      </c>
      <c r="M12">
        <f>IF(K12=0,0.72,IF(計算条件!$B$3&lt;&gt;8,IF(E12="南",MIN(0.01*(5+20*((3*I12+H12)/K12)),0.72),MIN(0.01*(10+15*((2*I12+H12)/K12)),0.72))))</f>
        <v>0.72</v>
      </c>
      <c r="N12">
        <f t="shared" ca="1" si="1"/>
        <v>0</v>
      </c>
      <c r="O12">
        <f t="shared" ca="1" si="2"/>
        <v>0</v>
      </c>
      <c r="P12">
        <f>VLOOKUP(B12,外皮面積!$A$3:$N$8,14,FALSE)</f>
        <v>1.8778739331911265E-2</v>
      </c>
      <c r="Q12">
        <f t="shared" ca="1" si="3"/>
        <v>1.43136</v>
      </c>
      <c r="R12">
        <f t="shared" ca="1" si="4"/>
        <v>0</v>
      </c>
      <c r="S12">
        <f t="shared" ca="1" si="5"/>
        <v>0</v>
      </c>
      <c r="T12">
        <f t="shared" ca="1" si="6"/>
        <v>1.48532</v>
      </c>
      <c r="U12" cm="1">
        <f t="array" aca="1" ref="U12" ca="1">OFFSET(方位係数!$B$3,VALUE(計算条件!$B$3)-1,(_xlfn.IFS(E12="南",0,E12="西",2,E12="北",4,E12="東",6,E40="水平",8)))</f>
        <v>0.504</v>
      </c>
      <c r="V12" cm="1">
        <f t="array" aca="1" ref="V12" ca="1">OFFSET(方位係数!$C$3,VALUE(計算条件!$B$3)-1,(_xlfn.IFS(E12="南",0,E12="西",2,E12="北",4,E12="東",6,E40="水平",8)))</f>
        <v>0.52300000000000002</v>
      </c>
      <c r="W12" cm="1">
        <f t="array" aca="1" ref="W12" ca="1">OFFSET(方位係数!$B$17,VALUE(計算条件!$B$3)-1,(_xlfn.IFS(E12="南",0,E12="西",2,E12="北",4,E12="東",6,E40="水平",_xlfn.IFS(B40="天井",8,OR(B40="床",B40="土間"),10))))</f>
        <v>0.504</v>
      </c>
      <c r="X12" cm="1">
        <f t="array" aca="1" ref="X12" ca="1">OFFSET(方位係数!$C$17,VALUE(計算条件!$B$3)-1,(_xlfn.IFS(E12="南",0,E12="西",2,E12="北",4,E12="東",6,E40="水平",_xlfn.IFS(B40="天井",8,OR(B40="床",B40="土間"),10))))</f>
        <v>0.52300000000000002</v>
      </c>
    </row>
    <row r="13" spans="1:24">
      <c r="A13" s="108" t="s">
        <v>2105</v>
      </c>
      <c r="B13" s="105" t="s">
        <v>2089</v>
      </c>
      <c r="C13" s="109" cm="1">
        <f t="array" ref="C13">_xlfn.IFS(計算条件!$F$3="寒冷地",4.37,計算条件!$F$3="温暖地",4.37)</f>
        <v>4.37</v>
      </c>
      <c r="D13" s="113">
        <f t="shared" si="9"/>
        <v>3.83</v>
      </c>
      <c r="E13" s="110" t="s">
        <v>2106</v>
      </c>
      <c r="F13" s="122" cm="1">
        <f t="array" ref="F13">_xlfn.IFS(計算条件!$F$3="寒冷地",0,計算条件!$F$3="温暖地",0.54)</f>
        <v>0.54</v>
      </c>
      <c r="G13" s="146">
        <f ca="1">F13*外皮面積!$T$22</f>
        <v>0.47819473721808914</v>
      </c>
      <c r="H13" cm="1">
        <f t="array" ref="H13">_xlfn.IFS(計算条件!$F$3="寒冷地",0,計算条件!$F$3="温暖地",0.9)</f>
        <v>0.9</v>
      </c>
      <c r="I13" cm="1">
        <f t="array" ref="I13">_xlfn.IFS(計算条件!$F$3="寒冷地",0,計算条件!$F$3="温暖地",0.06)</f>
        <v>0.06</v>
      </c>
      <c r="J13">
        <f t="shared" si="0"/>
        <v>0.96</v>
      </c>
      <c r="K13" cm="1">
        <f t="array" ref="K13">_xlfn.IFS(計算条件!$F$3="寒冷地",0,計算条件!$F$3="温暖地",0.3)</f>
        <v>0.3</v>
      </c>
      <c r="L13">
        <f>IF(K13=0,0.93,IF(計算条件!$B$3=8,IF(E13="南",MIN(0.01*(16+19*((2*I13+H13)/K13)),0.93),MIN(0.01*(16+24*((2*I13+H13)/K13)),0.93)),IF(E13="南",MIN(0.01*(24+9*((3*I13+H13)/K13)),0.93),MIN(0.01*(16+24*((2*I13+H13)/K13)),0.93))))</f>
        <v>0.93</v>
      </c>
      <c r="M13">
        <f>IF(K13=0,0.72,IF(計算条件!$B$3&lt;&gt;8,IF(E13="南",MIN(0.01*(5+20*((3*I13+H13)/K13)),0.72),MIN(0.01*(10+15*((2*I13+H13)/K13)),0.72))))</f>
        <v>0.6100000000000001</v>
      </c>
      <c r="N13">
        <f t="shared" ca="1" si="1"/>
        <v>0.25310880000000002</v>
      </c>
      <c r="O13">
        <f t="shared" ca="1" si="2"/>
        <v>0.22413943722886276</v>
      </c>
      <c r="P13">
        <f>VLOOKUP(B13,外皮面積!$A$3:$N$8,14,FALSE)</f>
        <v>1.8778739331911265E-2</v>
      </c>
      <c r="Q13">
        <f t="shared" ca="1" si="3"/>
        <v>1.93032</v>
      </c>
      <c r="R13">
        <f t="shared" ca="1" si="4"/>
        <v>0.17227620000000005</v>
      </c>
      <c r="S13">
        <f t="shared" ca="1" si="5"/>
        <v>0.152558467014687</v>
      </c>
      <c r="T13">
        <f t="shared" ca="1" si="6"/>
        <v>2.0030900000000003</v>
      </c>
      <c r="U13" cm="1">
        <f t="array" aca="1" ref="U13" ca="1">OFFSET(方位係数!$B$3,VALUE(計算条件!$B$3)-1,(_xlfn.IFS(E13="南",0,E13="西",2,E13="北",4,E13="東",6,E41="水平",8)))</f>
        <v>0.504</v>
      </c>
      <c r="V13" cm="1">
        <f t="array" aca="1" ref="V13" ca="1">OFFSET(方位係数!$C$3,VALUE(計算条件!$B$3)-1,(_xlfn.IFS(E13="南",0,E13="西",2,E13="北",4,E13="東",6,E41="水平",8)))</f>
        <v>0.52300000000000002</v>
      </c>
      <c r="W13" cm="1">
        <f t="array" aca="1" ref="W13" ca="1">OFFSET(方位係数!$B$17,VALUE(計算条件!$B$3)-1,(_xlfn.IFS(E13="南",0,E13="西",2,E13="北",4,E13="東",6,E41="水平",_xlfn.IFS(B41="天井",8,OR(B41="床",B41="土間"),10))))</f>
        <v>0.504</v>
      </c>
      <c r="X13" cm="1">
        <f t="array" aca="1" ref="X13" ca="1">OFFSET(方位係数!$C$17,VALUE(計算条件!$B$3)-1,(_xlfn.IFS(E13="南",0,E13="西",2,E13="北",4,E13="東",6,E41="水平",_xlfn.IFS(B41="天井",8,OR(B41="床",B41="土間"),10))))</f>
        <v>0.52300000000000002</v>
      </c>
    </row>
    <row r="14" spans="1:24">
      <c r="A14" s="108" t="s">
        <v>2093</v>
      </c>
      <c r="B14" s="105" t="s">
        <v>2089</v>
      </c>
      <c r="C14" s="109" cm="1">
        <f t="array" ref="C14">_xlfn.IFS(計算条件!$F$3="寒冷地",8.74,計算条件!$F$3="温暖地",8.74)</f>
        <v>8.74</v>
      </c>
      <c r="D14" s="113">
        <f t="shared" si="9"/>
        <v>7.75</v>
      </c>
      <c r="E14" s="110" t="s">
        <v>2106</v>
      </c>
      <c r="F14" s="122" cm="1">
        <f t="array" ref="F14">_xlfn.IFS(計算条件!$F$3="寒冷地",1.31,計算条件!$F$3="温暖地",0.99)</f>
        <v>0.99</v>
      </c>
      <c r="G14" s="146">
        <f ca="1">F14*外皮面積!$T$22</f>
        <v>0.87669035156649677</v>
      </c>
      <c r="H14" cm="1">
        <f t="array" ref="H14">_xlfn.IFS(計算条件!$F$3="寒冷地",1.1,計算条件!$F$3="温暖地",1.1)</f>
        <v>1.1000000000000001</v>
      </c>
      <c r="I14" cm="1">
        <f t="array" ref="I14">_xlfn.IFS(計算条件!$F$3="寒冷地",,計算条件!$F$3="温暖地",0)</f>
        <v>0</v>
      </c>
      <c r="J14">
        <f t="shared" si="0"/>
        <v>1.1000000000000001</v>
      </c>
      <c r="K14" cm="1">
        <f t="array" ref="K14">_xlfn.IFS(計算条件!$F$3="寒冷地",0.15,計算条件!$F$3="温暖地",0.15)</f>
        <v>0.15</v>
      </c>
      <c r="L14">
        <f>IF(K14=0,0.93,IF(計算条件!$B$3=8,IF(E14="南",MIN(0.01*(16+19*((2*I14+H14)/K14)),0.93),MIN(0.01*(16+24*((2*I14+H14)/K14)),0.93)),IF(E14="南",MIN(0.01*(24+9*((3*I14+H14)/K14)),0.93),MIN(0.01*(16+24*((2*I14+H14)/K14)),0.93))))</f>
        <v>0.93</v>
      </c>
      <c r="M14">
        <f>IF(K14=0,0.72,IF(計算条件!$B$3&lt;&gt;8,IF(E14="南",MIN(0.01*(5+20*((3*I14+H14)/K14)),0.72),MIN(0.01*(10+15*((2*I14+H14)/K14)),0.72))))</f>
        <v>0.72</v>
      </c>
      <c r="N14">
        <f t="shared" ca="1" si="1"/>
        <v>0.46403280000000002</v>
      </c>
      <c r="O14">
        <f t="shared" ca="1" si="2"/>
        <v>0.41092230158624843</v>
      </c>
      <c r="P14">
        <f>VLOOKUP(B14,外皮面積!$A$3:$N$8,14,FALSE)</f>
        <v>1.8778739331911265E-2</v>
      </c>
      <c r="Q14">
        <f t="shared" ca="1" si="3"/>
        <v>3.9060000000000001</v>
      </c>
      <c r="R14">
        <f t="shared" ca="1" si="4"/>
        <v>0.37279440000000003</v>
      </c>
      <c r="S14">
        <f t="shared" ca="1" si="5"/>
        <v>0.33012651878588006</v>
      </c>
      <c r="T14">
        <f t="shared" ca="1" si="6"/>
        <v>4.0532500000000002</v>
      </c>
      <c r="U14" cm="1">
        <f t="array" aca="1" ref="U14" ca="1">OFFSET(方位係数!$B$3,VALUE(計算条件!$B$3)-1,(_xlfn.IFS(E14="南",0,E14="西",2,E14="北",4,E14="東",6,E42="水平",8)))</f>
        <v>0.504</v>
      </c>
      <c r="V14" cm="1">
        <f t="array" aca="1" ref="V14" ca="1">OFFSET(方位係数!$C$3,VALUE(計算条件!$B$3)-1,(_xlfn.IFS(E14="南",0,E14="西",2,E14="北",4,E14="東",6,E42="水平",8)))</f>
        <v>0.52300000000000002</v>
      </c>
      <c r="W14" cm="1">
        <f t="array" aca="1" ref="W14" ca="1">OFFSET(方位係数!$B$17,VALUE(計算条件!$B$3)-1,(_xlfn.IFS(E14="南",0,E14="西",2,E14="北",4,E14="東",6,E42="水平",_xlfn.IFS(B42="天井",8,OR(B42="床",B42="土間"),10))))</f>
        <v>0.504</v>
      </c>
      <c r="X14" cm="1">
        <f t="array" aca="1" ref="X14" ca="1">OFFSET(方位係数!$C$17,VALUE(計算条件!$B$3)-1,(_xlfn.IFS(E14="南",0,E14="西",2,E14="北",4,E14="東",6,E42="水平",_xlfn.IFS(B42="天井",8,OR(B42="床",B42="土間"),10))))</f>
        <v>0.52300000000000002</v>
      </c>
    </row>
    <row r="15" spans="1:24">
      <c r="A15" s="115" t="s">
        <v>2088</v>
      </c>
      <c r="B15" s="105" t="s">
        <v>2089</v>
      </c>
      <c r="C15" s="109" cm="1">
        <f t="array" ref="C15">_xlfn.IFS(計算条件!$F$3="寒冷地",4.73,計算条件!$F$3="温暖地",4.73)</f>
        <v>4.7300000000000004</v>
      </c>
      <c r="D15" s="113">
        <f t="shared" ref="D15" si="10">C15-F15</f>
        <v>4.7300000000000004</v>
      </c>
      <c r="E15" s="110" t="s">
        <v>2113</v>
      </c>
      <c r="F15" s="112" cm="1">
        <f t="array" ref="F15">_xlfn.IFS(計算条件!$F$3="寒冷地",0,計算条件!$F$3="温暖地",0)</f>
        <v>0</v>
      </c>
      <c r="G15" s="145">
        <f ca="1">F15*外皮面積!$T$22</f>
        <v>0</v>
      </c>
      <c r="H15" cm="1">
        <f t="array" ref="H15">_xlfn.IFS(計算条件!$F$3="寒冷地",0,計算条件!$F$3="温暖地",0)</f>
        <v>0</v>
      </c>
      <c r="I15" cm="1">
        <f t="array" ref="I15">_xlfn.IFS(計算条件!$F$3="寒冷地",0,計算条件!$F$3="温暖地",0)</f>
        <v>0</v>
      </c>
      <c r="J15">
        <f t="shared" si="0"/>
        <v>0</v>
      </c>
      <c r="K15" cm="1">
        <f t="array" ref="K15">_xlfn.IFS(計算条件!$F$3="寒冷地",0,計算条件!$F$3="温暖地",0)</f>
        <v>0</v>
      </c>
      <c r="L15">
        <f>IF(K15=0,0.93,IF(計算条件!$B$3=8,IF(E15="南",MIN(0.01*(16+19*((2*I15+H15)/K15)),0.93),MIN(0.01*(16+24*((2*I15+H15)/K15)),0.93)),IF(E15="南",MIN(0.01*(24+9*((3*I15+H15)/K15)),0.93),MIN(0.01*(16+24*((2*I15+H15)/K15)),0.93))))</f>
        <v>0.93</v>
      </c>
      <c r="M15">
        <f>IF(K15=0,0.72,IF(計算条件!$B$3&lt;&gt;8,IF(E15="南",MIN(0.01*(5+20*((3*I15+H15)/K15)),0.72),MIN(0.01*(10+15*((2*I15+H15)/K15)),0.72))))</f>
        <v>0.72</v>
      </c>
      <c r="N15">
        <f t="shared" ca="1" si="1"/>
        <v>0</v>
      </c>
      <c r="O15">
        <f t="shared" ca="1" si="2"/>
        <v>0</v>
      </c>
      <c r="P15">
        <f>VLOOKUP(B15,外皮面積!$A$3:$N$8,14,FALSE)</f>
        <v>1.8778739331911265E-2</v>
      </c>
      <c r="Q15">
        <f t="shared" ca="1" si="3"/>
        <v>1.6129300000000002</v>
      </c>
      <c r="R15">
        <f t="shared" ca="1" si="4"/>
        <v>0</v>
      </c>
      <c r="S15">
        <f t="shared" ca="1" si="5"/>
        <v>0</v>
      </c>
      <c r="T15">
        <f t="shared" ca="1" si="6"/>
        <v>1.2345300000000001</v>
      </c>
      <c r="U15" cm="1">
        <f t="array" aca="1" ref="U15" ca="1">OFFSET(方位係数!$B$3,VALUE(計算条件!$B$3)-1,(_xlfn.IFS(E15="南",0,E15="西",2,E15="北",4,E15="東",6,E43="水平",8)))</f>
        <v>0.34100000000000003</v>
      </c>
      <c r="V15" cm="1">
        <f t="array" aca="1" ref="V15" ca="1">OFFSET(方位係数!$C$3,VALUE(計算条件!$B$3)-1,(_xlfn.IFS(E15="南",0,E15="西",2,E15="北",4,E15="東",6,E43="水平",8)))</f>
        <v>0.26100000000000001</v>
      </c>
      <c r="W15" cm="1">
        <f t="array" aca="1" ref="W15" ca="1">OFFSET(方位係数!$B$17,VALUE(計算条件!$B$3)-1,(_xlfn.IFS(E15="南",0,E15="西",2,E15="北",4,E15="東",6,E43="水平",_xlfn.IFS(B43="天井",8,OR(B43="床",B43="土間"),10))))</f>
        <v>0.34100000000000003</v>
      </c>
      <c r="X15" cm="1">
        <f t="array" aca="1" ref="X15" ca="1">OFFSET(方位係数!$C$17,VALUE(計算条件!$B$3)-1,(_xlfn.IFS(E15="南",0,E15="西",2,E15="北",4,E15="東",6,E43="水平",_xlfn.IFS(B43="天井",8,OR(B43="床",B43="土間"),10))))</f>
        <v>0.26100000000000001</v>
      </c>
    </row>
    <row r="16" spans="1:24">
      <c r="A16" s="114" t="s">
        <v>2107</v>
      </c>
      <c r="B16" s="105" t="s">
        <v>2089</v>
      </c>
      <c r="C16" s="109" cm="1">
        <f t="array" ref="C16">_xlfn.IFS(計算条件!$F$3="寒冷地",1.02,計算条件!$F$3="温暖地",1.02)</f>
        <v>1.02</v>
      </c>
      <c r="D16" s="113">
        <f t="shared" ref="D16:D24" si="11">C16-F16</f>
        <v>1.02</v>
      </c>
      <c r="E16" s="110" t="s">
        <v>2113</v>
      </c>
      <c r="F16" s="112" cm="1">
        <f t="array" ref="F16">_xlfn.IFS(計算条件!$F$3="寒冷地",0,計算条件!$F$3="温暖地",0)</f>
        <v>0</v>
      </c>
      <c r="G16" s="145">
        <f ca="1">F16*外皮面積!$T$22</f>
        <v>0</v>
      </c>
      <c r="H16" cm="1">
        <f t="array" ref="H16">_xlfn.IFS(計算条件!$F$3="寒冷地",0,計算条件!$F$3="温暖地",0)</f>
        <v>0</v>
      </c>
      <c r="I16" cm="1">
        <f t="array" ref="I16">_xlfn.IFS(計算条件!$F$3="寒冷地",0,計算条件!$F$3="温暖地",0)</f>
        <v>0</v>
      </c>
      <c r="J16">
        <f t="shared" si="0"/>
        <v>0</v>
      </c>
      <c r="K16" cm="1">
        <f t="array" ref="K16">_xlfn.IFS(計算条件!$F$3="寒冷地",0,計算条件!$F$3="温暖地",0)</f>
        <v>0</v>
      </c>
      <c r="L16">
        <f>IF(K16=0,0.93,IF(計算条件!$B$3=8,IF(E16="南",MIN(0.01*(16+19*((2*I16+H16)/K16)),0.93),MIN(0.01*(16+24*((2*I16+H16)/K16)),0.93)),IF(E16="南",MIN(0.01*(24+9*((3*I16+H16)/K16)),0.93),MIN(0.01*(16+24*((2*I16+H16)/K16)),0.93))))</f>
        <v>0.93</v>
      </c>
      <c r="M16">
        <f>IF(K16=0,0.72,IF(計算条件!$B$3&lt;&gt;8,IF(E16="南",MIN(0.01*(5+20*((3*I16+H16)/K16)),0.72),MIN(0.01*(10+15*((2*I16+H16)/K16)),0.72))))</f>
        <v>0.72</v>
      </c>
      <c r="N16">
        <f t="shared" ca="1" si="1"/>
        <v>0</v>
      </c>
      <c r="O16">
        <f t="shared" ca="1" si="2"/>
        <v>0</v>
      </c>
      <c r="P16">
        <f>VLOOKUP(B16,外皮面積!$A$3:$N$8,14,FALSE)</f>
        <v>1.8778739331911265E-2</v>
      </c>
      <c r="Q16">
        <f t="shared" ca="1" si="3"/>
        <v>0.34782000000000002</v>
      </c>
      <c r="R16">
        <f t="shared" ca="1" si="4"/>
        <v>0</v>
      </c>
      <c r="S16">
        <f t="shared" ca="1" si="5"/>
        <v>0</v>
      </c>
      <c r="T16">
        <f t="shared" ca="1" si="6"/>
        <v>0.26622000000000001</v>
      </c>
      <c r="U16" cm="1">
        <f t="array" aca="1" ref="U16" ca="1">OFFSET(方位係数!$B$3,VALUE(計算条件!$B$3)-1,(_xlfn.IFS(E16="南",0,E16="西",2,E16="北",4,E16="東",6,E44="水平",8)))</f>
        <v>0.34100000000000003</v>
      </c>
      <c r="V16" cm="1">
        <f t="array" aca="1" ref="V16" ca="1">OFFSET(方位係数!$C$3,VALUE(計算条件!$B$3)-1,(_xlfn.IFS(E16="南",0,E16="西",2,E16="北",4,E16="東",6,E44="水平",8)))</f>
        <v>0.26100000000000001</v>
      </c>
      <c r="W16" cm="1">
        <f t="array" aca="1" ref="W16" ca="1">OFFSET(方位係数!$B$17,VALUE(計算条件!$B$3)-1,(_xlfn.IFS(E16="南",0,E16="西",2,E16="北",4,E16="東",6,E44="水平",_xlfn.IFS(B44="天井",8,OR(B44="床",B44="土間"),10))))</f>
        <v>0.34100000000000003</v>
      </c>
      <c r="X16" cm="1">
        <f t="array" aca="1" ref="X16" ca="1">OFFSET(方位係数!$C$17,VALUE(計算条件!$B$3)-1,(_xlfn.IFS(E16="南",0,E16="西",2,E16="北",4,E16="東",6,E44="水平",_xlfn.IFS(B44="天井",8,OR(B44="床",B44="土間"),10))))</f>
        <v>0.26100000000000001</v>
      </c>
    </row>
    <row r="17" spans="1:24">
      <c r="A17" s="114" t="s">
        <v>2108</v>
      </c>
      <c r="B17" s="105" t="s">
        <v>2089</v>
      </c>
      <c r="C17" s="109" cm="1">
        <f t="array" ref="C17">_xlfn.IFS(計算条件!$F$3="寒冷地",3.77,計算条件!$F$3="温暖地",3.77)</f>
        <v>3.77</v>
      </c>
      <c r="D17" s="113">
        <f t="shared" si="11"/>
        <v>3.77</v>
      </c>
      <c r="E17" s="110" t="s">
        <v>2113</v>
      </c>
      <c r="F17" s="112" cm="1">
        <f t="array" ref="F17">_xlfn.IFS(計算条件!$F$3="寒冷地",0,計算条件!$F$3="温暖地",0)</f>
        <v>0</v>
      </c>
      <c r="G17" s="145">
        <f ca="1">F17*外皮面積!$T$22</f>
        <v>0</v>
      </c>
      <c r="H17" cm="1">
        <f t="array" ref="H17">_xlfn.IFS(計算条件!$F$3="寒冷地",0,計算条件!$F$3="温暖地",0)</f>
        <v>0</v>
      </c>
      <c r="I17" cm="1">
        <f t="array" ref="I17">_xlfn.IFS(計算条件!$F$3="寒冷地",0,計算条件!$F$3="温暖地",0)</f>
        <v>0</v>
      </c>
      <c r="J17">
        <f t="shared" si="0"/>
        <v>0</v>
      </c>
      <c r="K17" cm="1">
        <f t="array" ref="K17">_xlfn.IFS(計算条件!$F$3="寒冷地",0,計算条件!$F$3="温暖地",0)</f>
        <v>0</v>
      </c>
      <c r="L17">
        <f>IF(K17=0,0.93,IF(計算条件!$B$3=8,IF(E17="南",MIN(0.01*(16+19*((2*I17+H17)/K17)),0.93),MIN(0.01*(16+24*((2*I17+H17)/K17)),0.93)),IF(E17="南",MIN(0.01*(24+9*((3*I17+H17)/K17)),0.93),MIN(0.01*(16+24*((2*I17+H17)/K17)),0.93))))</f>
        <v>0.93</v>
      </c>
      <c r="M17">
        <f>IF(K17=0,0.72,IF(計算条件!$B$3&lt;&gt;8,IF(E17="南",MIN(0.01*(5+20*((3*I17+H17)/K17)),0.72),MIN(0.01*(10+15*((2*I17+H17)/K17)),0.72))))</f>
        <v>0.72</v>
      </c>
      <c r="N17">
        <f t="shared" ca="1" si="1"/>
        <v>0</v>
      </c>
      <c r="O17">
        <f t="shared" ca="1" si="2"/>
        <v>0</v>
      </c>
      <c r="P17">
        <f>VLOOKUP(B17,外皮面積!$A$3:$N$8,14,FALSE)</f>
        <v>1.8778739331911265E-2</v>
      </c>
      <c r="Q17">
        <f t="shared" ca="1" si="3"/>
        <v>1.2855700000000001</v>
      </c>
      <c r="R17">
        <f t="shared" ca="1" si="4"/>
        <v>0</v>
      </c>
      <c r="S17">
        <f t="shared" ca="1" si="5"/>
        <v>0</v>
      </c>
      <c r="T17">
        <f t="shared" ca="1" si="6"/>
        <v>0.98397000000000001</v>
      </c>
      <c r="U17" cm="1">
        <f t="array" aca="1" ref="U17" ca="1">OFFSET(方位係数!$B$3,VALUE(計算条件!$B$3)-1,(_xlfn.IFS(E17="南",0,E17="西",2,E17="北",4,E17="東",6,E45="水平",8)))</f>
        <v>0.34100000000000003</v>
      </c>
      <c r="V17" cm="1">
        <f t="array" aca="1" ref="V17" ca="1">OFFSET(方位係数!$C$3,VALUE(計算条件!$B$3)-1,(_xlfn.IFS(E17="南",0,E17="西",2,E17="北",4,E17="東",6,E45="水平",8)))</f>
        <v>0.26100000000000001</v>
      </c>
      <c r="W17" cm="1">
        <f t="array" aca="1" ref="W17" ca="1">OFFSET(方位係数!$B$17,VALUE(計算条件!$B$3)-1,(_xlfn.IFS(E17="南",0,E17="西",2,E17="北",4,E17="東",6,E45="水平",_xlfn.IFS(B45="天井",8,OR(B45="床",B45="土間"),10))))</f>
        <v>0.34100000000000003</v>
      </c>
      <c r="X17" cm="1">
        <f t="array" aca="1" ref="X17" ca="1">OFFSET(方位係数!$C$17,VALUE(計算条件!$B$3)-1,(_xlfn.IFS(E17="南",0,E17="西",2,E17="北",4,E17="東",6,E45="水平",_xlfn.IFS(B45="天井",8,OR(B45="床",B45="土間"),10))))</f>
        <v>0.26100000000000001</v>
      </c>
    </row>
    <row r="18" spans="1:24">
      <c r="A18" s="114" t="s">
        <v>2103</v>
      </c>
      <c r="B18" s="105" t="s">
        <v>2089</v>
      </c>
      <c r="C18" s="109" cm="1">
        <f t="array" ref="C18">_xlfn.IFS(計算条件!$F$3="寒冷地",4.1,計算条件!$F$3="温暖地",4.1)</f>
        <v>4.0999999999999996</v>
      </c>
      <c r="D18" s="113">
        <f t="shared" si="11"/>
        <v>4.0999999999999996</v>
      </c>
      <c r="E18" s="110" t="s">
        <v>2113</v>
      </c>
      <c r="F18" s="112" cm="1">
        <f t="array" ref="F18">_xlfn.IFS(計算条件!$F$3="寒冷地",0,計算条件!$F$3="温暖地",0)</f>
        <v>0</v>
      </c>
      <c r="G18" s="145">
        <f ca="1">F18*外皮面積!$T$22</f>
        <v>0</v>
      </c>
      <c r="H18" cm="1">
        <f t="array" ref="H18">_xlfn.IFS(計算条件!$F$3="寒冷地",0,計算条件!$F$3="温暖地",0)</f>
        <v>0</v>
      </c>
      <c r="I18" cm="1">
        <f t="array" ref="I18">_xlfn.IFS(計算条件!$F$3="寒冷地",0,計算条件!$F$3="温暖地",0)</f>
        <v>0</v>
      </c>
      <c r="J18">
        <f t="shared" si="0"/>
        <v>0</v>
      </c>
      <c r="K18" cm="1">
        <f t="array" ref="K18">_xlfn.IFS(計算条件!$F$3="寒冷地",0,計算条件!$F$3="温暖地",0)</f>
        <v>0</v>
      </c>
      <c r="L18">
        <f>IF(K18=0,0.93,IF(計算条件!$B$3=8,IF(E18="南",MIN(0.01*(16+19*((2*I18+H18)/K18)),0.93),MIN(0.01*(16+24*((2*I18+H18)/K18)),0.93)),IF(E18="南",MIN(0.01*(24+9*((3*I18+H18)/K18)),0.93),MIN(0.01*(16+24*((2*I18+H18)/K18)),0.93))))</f>
        <v>0.93</v>
      </c>
      <c r="M18">
        <f>IF(K18=0,0.72,IF(計算条件!$B$3&lt;&gt;8,IF(E18="南",MIN(0.01*(5+20*((3*I18+H18)/K18)),0.72),MIN(0.01*(10+15*((2*I18+H18)/K18)),0.72))))</f>
        <v>0.72</v>
      </c>
      <c r="N18">
        <f t="shared" ca="1" si="1"/>
        <v>0</v>
      </c>
      <c r="O18">
        <f t="shared" ca="1" si="2"/>
        <v>0</v>
      </c>
      <c r="P18">
        <f>VLOOKUP(B18,外皮面積!$A$3:$N$8,14,FALSE)</f>
        <v>1.8778739331911265E-2</v>
      </c>
      <c r="Q18">
        <f t="shared" ca="1" si="3"/>
        <v>1.3980999999999999</v>
      </c>
      <c r="R18">
        <f t="shared" ca="1" si="4"/>
        <v>0</v>
      </c>
      <c r="S18">
        <f t="shared" ca="1" si="5"/>
        <v>0</v>
      </c>
      <c r="T18">
        <f t="shared" ca="1" si="6"/>
        <v>1.0701000000000001</v>
      </c>
      <c r="U18" cm="1">
        <f t="array" aca="1" ref="U18" ca="1">OFFSET(方位係数!$B$3,VALUE(計算条件!$B$3)-1,(_xlfn.IFS(E18="南",0,E18="西",2,E18="北",4,E18="東",6,E46="水平",8)))</f>
        <v>0.34100000000000003</v>
      </c>
      <c r="V18" cm="1">
        <f t="array" aca="1" ref="V18" ca="1">OFFSET(方位係数!$C$3,VALUE(計算条件!$B$3)-1,(_xlfn.IFS(E18="南",0,E18="西",2,E18="北",4,E18="東",6,E46="水平",8)))</f>
        <v>0.26100000000000001</v>
      </c>
      <c r="W18" cm="1">
        <f t="array" aca="1" ref="W18" ca="1">OFFSET(方位係数!$B$17,VALUE(計算条件!$B$3)-1,(_xlfn.IFS(E18="南",0,E18="西",2,E18="北",4,E18="東",6,E46="水平",_xlfn.IFS(B46="天井",8,OR(B46="床",B46="土間"),10))))</f>
        <v>0.34100000000000003</v>
      </c>
      <c r="X18" cm="1">
        <f t="array" aca="1" ref="X18" ca="1">OFFSET(方位係数!$C$17,VALUE(計算条件!$B$3)-1,(_xlfn.IFS(E18="南",0,E18="西",2,E18="北",4,E18="東",6,E46="水平",_xlfn.IFS(B46="天井",8,OR(B46="床",B46="土間"),10))))</f>
        <v>0.26100000000000001</v>
      </c>
    </row>
    <row r="19" spans="1:24">
      <c r="A19" s="114" t="s">
        <v>2110</v>
      </c>
      <c r="B19" s="105" t="s">
        <v>2089</v>
      </c>
      <c r="C19" s="109" cm="1">
        <f t="array" ref="C19">_xlfn.IFS(計算条件!$F$3="寒冷地",2.05,計算条件!$F$3="温暖地",2.05)</f>
        <v>2.0499999999999998</v>
      </c>
      <c r="D19" s="113">
        <f t="shared" si="11"/>
        <v>1.5099999999999998</v>
      </c>
      <c r="E19" s="110" t="s">
        <v>2113</v>
      </c>
      <c r="F19" s="122" cm="1">
        <f t="array" ref="F19">_xlfn.IFS(計算条件!$F$3="寒冷地",0.35,計算条件!$F$3="温暖地",0.54)</f>
        <v>0.54</v>
      </c>
      <c r="G19" s="146">
        <f ca="1">F19*外皮面積!$T$22</f>
        <v>0.47819473721808914</v>
      </c>
      <c r="H19" cm="1">
        <f t="array" ref="H19">_xlfn.IFS(計算条件!$F$3="寒冷地",0.5,計算条件!$F$3="温暖地",0.9)</f>
        <v>0.9</v>
      </c>
      <c r="I19" cm="1">
        <f t="array" ref="I19">_xlfn.IFS(計算条件!$F$3="寒冷地",0.69,計算条件!$F$3="温暖地",0.49)</f>
        <v>0.49</v>
      </c>
      <c r="J19">
        <f t="shared" si="0"/>
        <v>1.3900000000000001</v>
      </c>
      <c r="K19" cm="1">
        <f t="array" ref="K19">_xlfn.IFS(計算条件!$F$3="寒冷地",0.65,計算条件!$F$3="温暖地",0.65)</f>
        <v>0.65</v>
      </c>
      <c r="L19">
        <f>IF(K19=0,0.93,IF(計算条件!$B$3=8,IF(E19="南",MIN(0.01*(16+19*((2*I19+H19)/K19)),0.93),MIN(0.01*(16+24*((2*I19+H19)/K19)),0.93)),IF(E19="南",MIN(0.01*(24+9*((3*I19+H19)/K19)),0.93),MIN(0.01*(16+24*((2*I19+H19)/K19)),0.93))))</f>
        <v>0.85415384615384615</v>
      </c>
      <c r="M19">
        <f>IF(K19=0,0.72,IF(計算条件!$B$3&lt;&gt;8,IF(E19="南",MIN(0.01*(5+20*((3*I19+H19)/K19)),0.72),MIN(0.01*(10+15*((2*I19+H19)/K19)),0.72))))</f>
        <v>0.53384615384615386</v>
      </c>
      <c r="N19">
        <f t="shared" ca="1" si="1"/>
        <v>0.15728388923076927</v>
      </c>
      <c r="O19">
        <f t="shared" ca="1" si="2"/>
        <v>0.13928208903582728</v>
      </c>
      <c r="P19">
        <f>VLOOKUP(B19,外皮面積!$A$3:$N$8,14,FALSE)</f>
        <v>1.8778739331911265E-2</v>
      </c>
      <c r="Q19">
        <f t="shared" ca="1" si="3"/>
        <v>0.51490999999999998</v>
      </c>
      <c r="R19">
        <f t="shared" ca="1" si="4"/>
        <v>7.5240276923076929E-2</v>
      </c>
      <c r="S19">
        <f t="shared" ca="1" si="5"/>
        <v>6.6628711947124136E-2</v>
      </c>
      <c r="T19">
        <f t="shared" ca="1" si="6"/>
        <v>0.39410999999999996</v>
      </c>
      <c r="U19" cm="1">
        <f t="array" aca="1" ref="U19" ca="1">OFFSET(方位係数!$B$3,VALUE(計算条件!$B$3)-1,(_xlfn.IFS(E19="南",0,E19="西",2,E19="北",4,E19="東",6,E47="水平",8)))</f>
        <v>0.34100000000000003</v>
      </c>
      <c r="V19" cm="1">
        <f t="array" aca="1" ref="V19" ca="1">OFFSET(方位係数!$C$3,VALUE(計算条件!$B$3)-1,(_xlfn.IFS(E19="南",0,E19="西",2,E19="北",4,E19="東",6,E47="水平",8)))</f>
        <v>0.26100000000000001</v>
      </c>
      <c r="W19" cm="1">
        <f t="array" aca="1" ref="W19" ca="1">OFFSET(方位係数!$B$17,VALUE(計算条件!$B$3)-1,(_xlfn.IFS(E19="南",0,E19="西",2,E19="北",4,E19="東",6,E47="水平",_xlfn.IFS(B47="天井",8,OR(B47="床",B47="土間"),10))))</f>
        <v>0.34100000000000003</v>
      </c>
      <c r="X19" cm="1">
        <f t="array" aca="1" ref="X19" ca="1">OFFSET(方位係数!$C$17,VALUE(計算条件!$B$3)-1,(_xlfn.IFS(E19="南",0,E19="西",2,E19="北",4,E19="東",6,E47="水平",_xlfn.IFS(B47="天井",8,OR(B47="床",B47="土間"),10))))</f>
        <v>0.26100000000000001</v>
      </c>
    </row>
    <row r="20" spans="1:24">
      <c r="A20" s="114" t="s">
        <v>2111</v>
      </c>
      <c r="B20" s="105" t="s">
        <v>2089</v>
      </c>
      <c r="C20" s="109" cm="1">
        <f t="array" ref="C20">_xlfn.IFS(計算条件!$F$3="寒冷地",2.05,計算条件!$F$3="温暖地",2.05)</f>
        <v>2.0499999999999998</v>
      </c>
      <c r="D20" s="113">
        <f t="shared" si="11"/>
        <v>1.5099999999999998</v>
      </c>
      <c r="E20" s="110" t="s">
        <v>2113</v>
      </c>
      <c r="F20" s="122" cm="1">
        <f t="array" ref="F20">_xlfn.IFS(計算条件!$F$3="寒冷地",0.35,計算条件!$F$3="温暖地",0.54)</f>
        <v>0.54</v>
      </c>
      <c r="G20" s="146">
        <f ca="1">F20*外皮面積!$T$22</f>
        <v>0.47819473721808914</v>
      </c>
      <c r="H20" cm="1">
        <f t="array" ref="H20">_xlfn.IFS(計算条件!$F$3="寒冷地",0.5,計算条件!$F$3="温暖地",0.9)</f>
        <v>0.9</v>
      </c>
      <c r="I20" cm="1">
        <f t="array" ref="I20">_xlfn.IFS(計算条件!$F$3="寒冷地",0.69,計算条件!$F$3="温暖地",0.49)</f>
        <v>0.49</v>
      </c>
      <c r="J20">
        <f t="shared" si="0"/>
        <v>1.3900000000000001</v>
      </c>
      <c r="K20" cm="1">
        <f t="array" ref="K20">_xlfn.IFS(計算条件!$F$3="寒冷地",0.65,計算条件!$F$3="温暖地",0.65)</f>
        <v>0.65</v>
      </c>
      <c r="L20">
        <f>IF(K20=0,0.93,IF(計算条件!$B$3=8,IF(E20="南",MIN(0.01*(16+19*((2*I20+H20)/K20)),0.93),MIN(0.01*(16+24*((2*I20+H20)/K20)),0.93)),IF(E20="南",MIN(0.01*(24+9*((3*I20+H20)/K20)),0.93),MIN(0.01*(16+24*((2*I20+H20)/K20)),0.93))))</f>
        <v>0.85415384615384615</v>
      </c>
      <c r="M20">
        <f>IF(K20=0,0.72,IF(計算条件!$B$3&lt;&gt;8,IF(E20="南",MIN(0.01*(5+20*((3*I20+H20)/K20)),0.72),MIN(0.01*(10+15*((2*I20+H20)/K20)),0.72))))</f>
        <v>0.53384615384615386</v>
      </c>
      <c r="N20">
        <f t="shared" ca="1" si="1"/>
        <v>0.15728388923076927</v>
      </c>
      <c r="O20">
        <f t="shared" ca="1" si="2"/>
        <v>0.13928208903582728</v>
      </c>
      <c r="P20">
        <f>VLOOKUP(B20,外皮面積!$A$3:$N$8,14,FALSE)</f>
        <v>1.8778739331911265E-2</v>
      </c>
      <c r="Q20">
        <f t="shared" ca="1" si="3"/>
        <v>0.51490999999999998</v>
      </c>
      <c r="R20">
        <f t="shared" ca="1" si="4"/>
        <v>7.5240276923076929E-2</v>
      </c>
      <c r="S20">
        <f t="shared" ca="1" si="5"/>
        <v>6.6628711947124136E-2</v>
      </c>
      <c r="T20">
        <f t="shared" ca="1" si="6"/>
        <v>0.39410999999999996</v>
      </c>
      <c r="U20" cm="1">
        <f t="array" aca="1" ref="U20" ca="1">OFFSET(方位係数!$B$3,VALUE(計算条件!$B$3)-1,(_xlfn.IFS(E20="南",0,E20="西",2,E20="北",4,E20="東",6,E48="水平",8)))</f>
        <v>0.34100000000000003</v>
      </c>
      <c r="V20" cm="1">
        <f t="array" aca="1" ref="V20" ca="1">OFFSET(方位係数!$C$3,VALUE(計算条件!$B$3)-1,(_xlfn.IFS(E20="南",0,E20="西",2,E20="北",4,E20="東",6,E48="水平",8)))</f>
        <v>0.26100000000000001</v>
      </c>
      <c r="W20" cm="1">
        <f t="array" aca="1" ref="W20" ca="1">OFFSET(方位係数!$B$17,VALUE(計算条件!$B$3)-1,(_xlfn.IFS(E20="南",0,E20="西",2,E20="北",4,E20="東",6,E48="水平",_xlfn.IFS(B48="天井",8,OR(B48="床",B48="土間"),10))))</f>
        <v>0.34100000000000003</v>
      </c>
      <c r="X20" cm="1">
        <f t="array" aca="1" ref="X20" ca="1">OFFSET(方位係数!$C$17,VALUE(計算条件!$B$3)-1,(_xlfn.IFS(E20="南",0,E20="西",2,E20="北",4,E20="東",6,E48="水平",_xlfn.IFS(B48="天井",8,OR(B48="床",B48="土間"),10))))</f>
        <v>0.26100000000000001</v>
      </c>
    </row>
    <row r="21" spans="1:24">
      <c r="A21" s="108" t="s">
        <v>14</v>
      </c>
      <c r="B21" s="105" t="s">
        <v>2089</v>
      </c>
      <c r="C21" s="109" cm="1">
        <f t="array" ref="C21">_xlfn.IFS(計算条件!$F$3="寒冷地",6.55,計算条件!$F$3="温暖地",6.55)</f>
        <v>6.55</v>
      </c>
      <c r="D21" s="113">
        <f t="shared" si="11"/>
        <v>6.01</v>
      </c>
      <c r="E21" s="110" t="s">
        <v>2113</v>
      </c>
      <c r="F21" s="122" cm="1">
        <f t="array" ref="F21">_xlfn.IFS(計算条件!$F$3="寒冷地",0.35,計算条件!$F$3="温暖地",0.54)</f>
        <v>0.54</v>
      </c>
      <c r="G21" s="146">
        <f ca="1">F21*外皮面積!$T$22</f>
        <v>0.47819473721808914</v>
      </c>
      <c r="H21" cm="1">
        <f t="array" ref="H21">_xlfn.IFS(計算条件!$F$3="寒冷地",0.5,計算条件!$F$3="温暖地",0.9)</f>
        <v>0.9</v>
      </c>
      <c r="I21" cm="1">
        <f t="array" ref="I21">_xlfn.IFS(計算条件!$F$3="寒冷地",0.69,計算条件!$F$3="温暖地",0.49)</f>
        <v>0.49</v>
      </c>
      <c r="J21">
        <f t="shared" si="0"/>
        <v>1.3900000000000001</v>
      </c>
      <c r="K21" cm="1">
        <f t="array" ref="K21">_xlfn.IFS(計算条件!$F$3="寒冷地",0.65,計算条件!$F$3="温暖地",0.65)</f>
        <v>0.65</v>
      </c>
      <c r="L21">
        <f>IF(K21=0,0.93,IF(計算条件!$B$3=8,IF(E21="南",MIN(0.01*(16+19*((2*I21+H21)/K21)),0.93),MIN(0.01*(16+24*((2*I21+H21)/K21)),0.93)),IF(E21="南",MIN(0.01*(24+9*((3*I21+H21)/K21)),0.93),MIN(0.01*(16+24*((2*I21+H21)/K21)),0.93))))</f>
        <v>0.85415384615384615</v>
      </c>
      <c r="M21">
        <f>IF(K21=0,0.72,IF(計算条件!$B$3&lt;&gt;8,IF(E21="南",MIN(0.01*(5+20*((3*I21+H21)/K21)),0.72),MIN(0.01*(10+15*((2*I21+H21)/K21)),0.72))))</f>
        <v>0.53384615384615386</v>
      </c>
      <c r="N21">
        <f t="shared" ca="1" si="1"/>
        <v>0.15728388923076927</v>
      </c>
      <c r="O21">
        <f t="shared" ca="1" si="2"/>
        <v>0.13928208903582728</v>
      </c>
      <c r="P21">
        <f>VLOOKUP(B21,外皮面積!$A$3:$N$8,14,FALSE)</f>
        <v>1.8778739331911265E-2</v>
      </c>
      <c r="Q21">
        <f t="shared" ca="1" si="3"/>
        <v>2.04941</v>
      </c>
      <c r="R21">
        <f t="shared" ca="1" si="4"/>
        <v>7.5240276923076929E-2</v>
      </c>
      <c r="S21">
        <f t="shared" ca="1" si="5"/>
        <v>6.6628711947124136E-2</v>
      </c>
      <c r="T21">
        <f t="shared" ca="1" si="6"/>
        <v>1.5686100000000001</v>
      </c>
      <c r="U21" cm="1">
        <f t="array" aca="1" ref="U21" ca="1">OFFSET(方位係数!$B$3,VALUE(計算条件!$B$3)-1,(_xlfn.IFS(E21="南",0,E21="西",2,E21="北",4,E21="東",6,E49="水平",8)))</f>
        <v>0.34100000000000003</v>
      </c>
      <c r="V21" cm="1">
        <f t="array" aca="1" ref="V21" ca="1">OFFSET(方位係数!$C$3,VALUE(計算条件!$B$3)-1,(_xlfn.IFS(E21="南",0,E21="西",2,E21="北",4,E21="東",6,E49="水平",8)))</f>
        <v>0.26100000000000001</v>
      </c>
      <c r="W21" cm="1">
        <f t="array" aca="1" ref="W21" ca="1">OFFSET(方位係数!$B$17,VALUE(計算条件!$B$3)-1,(_xlfn.IFS(E21="南",0,E21="西",2,E21="北",4,E21="東",6,E49="水平",_xlfn.IFS(B49="天井",8,OR(B49="床",B49="土間"),10))))</f>
        <v>0.34100000000000003</v>
      </c>
      <c r="X21" cm="1">
        <f t="array" aca="1" ref="X21" ca="1">OFFSET(方位係数!$C$17,VALUE(計算条件!$B$3)-1,(_xlfn.IFS(E21="南",0,E21="西",2,E21="北",4,E21="東",6,E49="水平",_xlfn.IFS(B49="天井",8,OR(B49="床",B49="土間"),10))))</f>
        <v>0.26100000000000001</v>
      </c>
    </row>
    <row r="22" spans="1:24">
      <c r="A22" s="108" t="s">
        <v>2105</v>
      </c>
      <c r="B22" s="105" t="s">
        <v>2089</v>
      </c>
      <c r="C22" s="109" cm="1">
        <f t="array" ref="C22">_xlfn.IFS(計算条件!$F$3="寒冷地",6.55,計算条件!$F$3="温暖地",6.55)</f>
        <v>6.55</v>
      </c>
      <c r="D22" s="113">
        <f t="shared" si="11"/>
        <v>6.55</v>
      </c>
      <c r="E22" s="110" t="s">
        <v>2113</v>
      </c>
      <c r="F22" s="112" cm="1">
        <f t="array" ref="F22">_xlfn.IFS(計算条件!$F$3="寒冷地",0,計算条件!$F$3="温暖地",0)</f>
        <v>0</v>
      </c>
      <c r="G22" s="145">
        <f ca="1">F22*外皮面積!$T$22</f>
        <v>0</v>
      </c>
      <c r="H22" cm="1">
        <f t="array" ref="H22">_xlfn.IFS(計算条件!$F$3="寒冷地",0,計算条件!$F$3="温暖地",0)</f>
        <v>0</v>
      </c>
      <c r="I22" cm="1">
        <f t="array" ref="I22">_xlfn.IFS(計算条件!$F$3="寒冷地",0,計算条件!$F$3="温暖地",0)</f>
        <v>0</v>
      </c>
      <c r="J22">
        <f t="shared" si="0"/>
        <v>0</v>
      </c>
      <c r="K22" cm="1">
        <f t="array" ref="K22">_xlfn.IFS(計算条件!$F$3="寒冷地",0,計算条件!$F$3="温暖地",0)</f>
        <v>0</v>
      </c>
      <c r="L22">
        <f>IF(K22=0,0.93,IF(計算条件!$B$3=8,IF(E22="南",MIN(0.01*(16+19*((2*I22+H22)/K22)),0.93),MIN(0.01*(16+24*((2*I22+H22)/K22)),0.93)),IF(E22="南",MIN(0.01*(24+9*((3*I22+H22)/K22)),0.93),MIN(0.01*(16+24*((2*I22+H22)/K22)),0.93))))</f>
        <v>0.93</v>
      </c>
      <c r="M22">
        <f>IF(K22=0,0.72,IF(計算条件!$B$3&lt;&gt;8,IF(E22="南",MIN(0.01*(5+20*((3*I22+H22)/K22)),0.72),MIN(0.01*(10+15*((2*I22+H22)/K22)),0.72))))</f>
        <v>0.72</v>
      </c>
      <c r="N22">
        <f t="shared" ca="1" si="1"/>
        <v>0</v>
      </c>
      <c r="O22">
        <f t="shared" ca="1" si="2"/>
        <v>0</v>
      </c>
      <c r="P22">
        <f>VLOOKUP(B22,外皮面積!$A$3:$N$8,14,FALSE)</f>
        <v>1.8778739331911265E-2</v>
      </c>
      <c r="Q22">
        <f t="shared" ca="1" si="3"/>
        <v>2.2335500000000001</v>
      </c>
      <c r="R22">
        <f t="shared" ca="1" si="4"/>
        <v>0</v>
      </c>
      <c r="S22">
        <f t="shared" ca="1" si="5"/>
        <v>0</v>
      </c>
      <c r="T22">
        <f t="shared" ca="1" si="6"/>
        <v>1.7095500000000001</v>
      </c>
      <c r="U22" cm="1">
        <f t="array" aca="1" ref="U22" ca="1">OFFSET(方位係数!$B$3,VALUE(計算条件!$B$3)-1,(_xlfn.IFS(E22="南",0,E22="西",2,E22="北",4,E22="東",6,E50="水平",8)))</f>
        <v>0.34100000000000003</v>
      </c>
      <c r="V22" cm="1">
        <f t="array" aca="1" ref="V22" ca="1">OFFSET(方位係数!$C$3,VALUE(計算条件!$B$3)-1,(_xlfn.IFS(E22="南",0,E22="西",2,E22="北",4,E22="東",6,E50="水平",8)))</f>
        <v>0.26100000000000001</v>
      </c>
      <c r="W22" cm="1">
        <f t="array" aca="1" ref="W22" ca="1">OFFSET(方位係数!$B$17,VALUE(計算条件!$B$3)-1,(_xlfn.IFS(E22="南",0,E22="西",2,E22="北",4,E22="東",6,E50="水平",_xlfn.IFS(B50="天井",8,OR(B50="床",B50="土間"),10))))</f>
        <v>0.34100000000000003</v>
      </c>
      <c r="X22" cm="1">
        <f t="array" aca="1" ref="X22" ca="1">OFFSET(方位係数!$C$17,VALUE(計算条件!$B$3)-1,(_xlfn.IFS(E22="南",0,E22="西",2,E22="北",4,E22="東",6,E50="水平",_xlfn.IFS(B50="天井",8,OR(B50="床",B50="土間"),10))))</f>
        <v>0.26100000000000001</v>
      </c>
    </row>
    <row r="23" spans="1:24">
      <c r="A23" s="108" t="s">
        <v>19</v>
      </c>
      <c r="B23" s="116" t="s">
        <v>2089</v>
      </c>
      <c r="C23" s="109" cm="1">
        <f t="array" ref="C23">_xlfn.IFS(計算条件!$F$3="寒冷地",12.01,計算条件!$F$3="温暖地",12.01)</f>
        <v>12.01</v>
      </c>
      <c r="D23" s="113">
        <f t="shared" si="11"/>
        <v>11.02</v>
      </c>
      <c r="E23" s="110" t="s">
        <v>2113</v>
      </c>
      <c r="F23" s="122" cm="1">
        <f t="array" ref="F23">_xlfn.IFS(計算条件!$F$3="寒冷地",0.84,計算条件!$F$3="温暖地",0.99)</f>
        <v>0.99</v>
      </c>
      <c r="G23" s="146">
        <f ca="1">F23*外皮面積!$T$22</f>
        <v>0.87669035156649677</v>
      </c>
      <c r="H23" cm="1">
        <f t="array" ref="H23">_xlfn.IFS(計算条件!$F$3="寒冷地",0.7,計算条件!$F$3="温暖地",1.1)</f>
        <v>1.1000000000000001</v>
      </c>
      <c r="I23" cm="1">
        <f t="array" ref="I23">_xlfn.IFS(計算条件!$F$3="寒冷地",0.9,計算条件!$F$3="温暖地",0.7)</f>
        <v>0.7</v>
      </c>
      <c r="J23">
        <f t="shared" si="0"/>
        <v>1.8</v>
      </c>
      <c r="K23" cm="1">
        <f t="array" ref="K23">_xlfn.IFS(計算条件!$F$3="寒冷地",0.65,計算条件!$F$3="温暖地",0.65)</f>
        <v>0.65</v>
      </c>
      <c r="L23">
        <f>IF(K23=0,0.93,IF(計算条件!$B$3=8,IF(E23="南",MIN(0.01*(16+19*((2*I23+H23)/K23)),0.93),MIN(0.01*(16+24*((2*I23+H23)/K23)),0.93)),IF(E23="南",MIN(0.01*(24+9*((3*I23+H23)/K23)),0.93),MIN(0.01*(16+24*((2*I23+H23)/K23)),0.93))))</f>
        <v>0.93</v>
      </c>
      <c r="M23">
        <f>IF(K23=0,0.72,IF(計算条件!$B$3&lt;&gt;8,IF(E23="南",MIN(0.01*(5+20*((3*I23+H23)/K23)),0.72),MIN(0.01*(10+15*((2*I23+H23)/K23)),0.72))))</f>
        <v>0.67692307692307685</v>
      </c>
      <c r="N23">
        <f t="shared" ca="1" si="1"/>
        <v>0.31395870000000003</v>
      </c>
      <c r="O23">
        <f t="shared" ca="1" si="2"/>
        <v>0.27802481119228317</v>
      </c>
      <c r="P23">
        <f>VLOOKUP(B23,外皮面積!$A$3:$N$8,14,FALSE)</f>
        <v>1.8778739331911265E-2</v>
      </c>
      <c r="Q23">
        <f t="shared" ca="1" si="3"/>
        <v>3.7578200000000002</v>
      </c>
      <c r="R23">
        <f t="shared" ca="1" si="4"/>
        <v>0.17491015384615383</v>
      </c>
      <c r="S23">
        <f t="shared" ca="1" si="5"/>
        <v>0.15489095380599457</v>
      </c>
      <c r="T23">
        <f t="shared" ca="1" si="6"/>
        <v>2.87622</v>
      </c>
      <c r="U23" cm="1">
        <f t="array" aca="1" ref="U23" ca="1">OFFSET(方位係数!$B$3,VALUE(計算条件!$B$3)-1,(_xlfn.IFS(E23="南",0,E23="西",2,E23="北",4,E23="東",6,E51="水平",8)))</f>
        <v>0.34100000000000003</v>
      </c>
      <c r="V23" cm="1">
        <f t="array" aca="1" ref="V23" ca="1">OFFSET(方位係数!$C$3,VALUE(計算条件!$B$3)-1,(_xlfn.IFS(E23="南",0,E23="西",2,E23="北",4,E23="東",6,E51="水平",8)))</f>
        <v>0.26100000000000001</v>
      </c>
      <c r="W23" cm="1">
        <f t="array" aca="1" ref="W23" ca="1">OFFSET(方位係数!$B$17,VALUE(計算条件!$B$3)-1,(_xlfn.IFS(E23="南",0,E23="西",2,E23="北",4,E23="東",6,E51="水平",_xlfn.IFS(B51="天井",8,OR(B51="床",B51="土間"),10))))</f>
        <v>0.34100000000000003</v>
      </c>
      <c r="X23" cm="1">
        <f t="array" aca="1" ref="X23" ca="1">OFFSET(方位係数!$C$17,VALUE(計算条件!$B$3)-1,(_xlfn.IFS(E23="南",0,E23="西",2,E23="北",4,E23="東",6,E51="水平",_xlfn.IFS(B51="天井",8,OR(B51="床",B51="土間"),10))))</f>
        <v>0.26100000000000001</v>
      </c>
    </row>
    <row r="24" spans="1:24">
      <c r="A24" s="108" t="s">
        <v>2112</v>
      </c>
      <c r="B24" s="105" t="s">
        <v>2089</v>
      </c>
      <c r="C24" s="109" cm="1">
        <f t="array" ref="C24">_xlfn.IFS(計算条件!$F$3="寒冷地",4.37,計算条件!$F$3="温暖地",4.37)</f>
        <v>4.37</v>
      </c>
      <c r="D24" s="113">
        <f t="shared" si="11"/>
        <v>3.83</v>
      </c>
      <c r="E24" s="110" t="s">
        <v>2113</v>
      </c>
      <c r="F24" s="122" cm="1">
        <f t="array" ref="F24">_xlfn.IFS(計算条件!$F$3="寒冷地",0.35,計算条件!$F$3="温暖地",0.54)</f>
        <v>0.54</v>
      </c>
      <c r="G24" s="146">
        <f ca="1">F24*外皮面積!$T$22</f>
        <v>0.47819473721808914</v>
      </c>
      <c r="H24" cm="1">
        <f t="array" ref="H24">_xlfn.IFS(計算条件!$F$3="寒冷地",0.5,計算条件!$F$3="温暖地",0.9)</f>
        <v>0.9</v>
      </c>
      <c r="I24" cm="1">
        <f t="array" ref="I24">_xlfn.IFS(計算条件!$F$3="寒冷地",0.69,計算条件!$F$3="温暖地",0.49)</f>
        <v>0.49</v>
      </c>
      <c r="J24">
        <f t="shared" si="0"/>
        <v>1.3900000000000001</v>
      </c>
      <c r="K24" cm="1">
        <f t="array" ref="K24">_xlfn.IFS(計算条件!$F$3="寒冷地",0.65,計算条件!$F$3="温暖地",0.65)</f>
        <v>0.65</v>
      </c>
      <c r="L24">
        <f>IF(K24=0,0.93,IF(計算条件!$B$3=8,IF(E24="南",MIN(0.01*(16+19*((2*I24+H24)/K24)),0.93),MIN(0.01*(16+24*((2*I24+H24)/K24)),0.93)),IF(E24="南",MIN(0.01*(24+9*((3*I24+H24)/K24)),0.93),MIN(0.01*(16+24*((2*I24+H24)/K24)),0.93))))</f>
        <v>0.85415384615384615</v>
      </c>
      <c r="M24">
        <f>IF(K24=0,0.72,IF(計算条件!$B$3&lt;&gt;8,IF(E24="南",MIN(0.01*(5+20*((3*I24+H24)/K24)),0.72),MIN(0.01*(10+15*((2*I24+H24)/K24)),0.72))))</f>
        <v>0.53384615384615386</v>
      </c>
      <c r="N24">
        <f t="shared" ca="1" si="1"/>
        <v>0.15728388923076927</v>
      </c>
      <c r="O24">
        <f t="shared" ca="1" si="2"/>
        <v>0.13928208903582728</v>
      </c>
      <c r="P24">
        <f>VLOOKUP(B24,外皮面積!$A$3:$N$8,14,FALSE)</f>
        <v>1.8778739331911265E-2</v>
      </c>
      <c r="Q24">
        <f t="shared" ca="1" si="3"/>
        <v>1.30603</v>
      </c>
      <c r="R24">
        <f t="shared" ca="1" si="4"/>
        <v>7.5240276923076929E-2</v>
      </c>
      <c r="S24">
        <f t="shared" ca="1" si="5"/>
        <v>6.6628711947124136E-2</v>
      </c>
      <c r="T24">
        <f t="shared" ca="1" si="6"/>
        <v>0.99963000000000002</v>
      </c>
      <c r="U24" cm="1">
        <f t="array" aca="1" ref="U24" ca="1">OFFSET(方位係数!$B$3,VALUE(計算条件!$B$3)-1,(_xlfn.IFS(E24="南",0,E24="西",2,E24="北",4,E24="東",6,E52="水平",8)))</f>
        <v>0.34100000000000003</v>
      </c>
      <c r="V24" cm="1">
        <f t="array" aca="1" ref="V24" ca="1">OFFSET(方位係数!$C$3,VALUE(計算条件!$B$3)-1,(_xlfn.IFS(E24="南",0,E24="西",2,E24="北",4,E24="東",6,E52="水平",8)))</f>
        <v>0.26100000000000001</v>
      </c>
      <c r="W24" cm="1">
        <f t="array" aca="1" ref="W24" ca="1">OFFSET(方位係数!$B$17,VALUE(計算条件!$B$3)-1,(_xlfn.IFS(E24="南",0,E24="西",2,E24="北",4,E24="東",6,E52="水平",_xlfn.IFS(B52="天井",8,OR(B52="床",B52="土間"),10))))</f>
        <v>0.34100000000000003</v>
      </c>
      <c r="X24" cm="1">
        <f t="array" aca="1" ref="X24" ca="1">OFFSET(方位係数!$C$17,VALUE(計算条件!$B$3)-1,(_xlfn.IFS(E24="南",0,E24="西",2,E24="北",4,E24="東",6,E52="水平",_xlfn.IFS(B52="天井",8,OR(B52="床",B52="土間"),10))))</f>
        <v>0.26100000000000001</v>
      </c>
    </row>
    <row r="25" spans="1:24">
      <c r="A25" s="104" t="s">
        <v>2088</v>
      </c>
      <c r="B25" s="105" t="s">
        <v>2089</v>
      </c>
      <c r="C25" s="109" cm="1">
        <f t="array" ref="C25">_xlfn.IFS(計算条件!$F$3="寒冷地",2.73,計算条件!$F$3="温暖地",2.73)</f>
        <v>2.73</v>
      </c>
      <c r="D25" s="113">
        <f t="shared" ref="D25:D30" si="12">C25-F25</f>
        <v>2.73</v>
      </c>
      <c r="E25" s="110" t="s">
        <v>2114</v>
      </c>
      <c r="F25" s="112" cm="1">
        <f t="array" ref="F25">_xlfn.IFS(計算条件!$F$3="寒冷地",0,計算条件!$F$3="温暖地",0)</f>
        <v>0</v>
      </c>
      <c r="G25" s="145">
        <f ca="1">F25*外皮面積!$T$22</f>
        <v>0</v>
      </c>
      <c r="H25" cm="1">
        <f t="array" ref="H25">_xlfn.IFS(計算条件!$F$3="寒冷地",0,計算条件!$F$3="温暖地",0)</f>
        <v>0</v>
      </c>
      <c r="I25" cm="1">
        <f t="array" ref="I25">_xlfn.IFS(計算条件!$F$3="寒冷地",0,計算条件!$F$3="温暖地",0)</f>
        <v>0</v>
      </c>
      <c r="J25">
        <f t="shared" si="0"/>
        <v>0</v>
      </c>
      <c r="K25" cm="1">
        <f t="array" ref="K25">_xlfn.IFS(計算条件!$F$3="寒冷地",0,計算条件!$F$3="温暖地",0)</f>
        <v>0</v>
      </c>
      <c r="L25">
        <f>IF(K25=0,0.93,IF(計算条件!$B$3=8,IF(E25="南",MIN(0.01*(16+19*((2*I25+H25)/K25)),0.93),MIN(0.01*(16+24*((2*I25+H25)/K25)),0.93)),IF(E25="南",MIN(0.01*(24+9*((3*I25+H25)/K25)),0.93),MIN(0.01*(16+24*((2*I25+H25)/K25)),0.93))))</f>
        <v>0.93</v>
      </c>
      <c r="M25">
        <f>IF(K25=0,0.72,IF(計算条件!$B$3&lt;&gt;8,IF(E25="南",MIN(0.01*(5+20*((3*I25+H25)/K25)),0.72),MIN(0.01*(10+15*((2*I25+H25)/K25)),0.72))))</f>
        <v>0.72</v>
      </c>
      <c r="N25">
        <f t="shared" ca="1" si="1"/>
        <v>0</v>
      </c>
      <c r="O25">
        <f t="shared" ca="1" si="2"/>
        <v>0</v>
      </c>
      <c r="P25">
        <f>VLOOKUP(B25,外皮面積!$A$3:$N$8,14,FALSE)</f>
        <v>1.8778739331911265E-2</v>
      </c>
      <c r="Q25">
        <f t="shared" ca="1" si="3"/>
        <v>1.3977600000000001</v>
      </c>
      <c r="R25">
        <f t="shared" ca="1" si="4"/>
        <v>0</v>
      </c>
      <c r="S25">
        <f t="shared" ca="1" si="5"/>
        <v>0</v>
      </c>
      <c r="T25">
        <f t="shared" ca="1" si="6"/>
        <v>1.5806699999999998</v>
      </c>
      <c r="U25" cm="1">
        <f t="array" aca="1" ref="U25" ca="1">OFFSET(方位係数!$B$3,VALUE(計算条件!$B$3)-1,(_xlfn.IFS(E25="南",0,E25="西",2,E25="北",4,E25="東",6,E53="水平",8)))</f>
        <v>0.51200000000000001</v>
      </c>
      <c r="V25" cm="1">
        <f t="array" aca="1" ref="V25" ca="1">OFFSET(方位係数!$C$3,VALUE(計算条件!$B$3)-1,(_xlfn.IFS(E25="南",0,E25="西",2,E25="北",4,E25="東",6,E53="水平",8)))</f>
        <v>0.57899999999999996</v>
      </c>
      <c r="W25" cm="1">
        <f t="array" aca="1" ref="W25" ca="1">OFFSET(方位係数!$B$17,VALUE(計算条件!$B$3)-1,(_xlfn.IFS(E25="南",0,E25="西",2,E25="北",4,E25="東",6,E53="水平",_xlfn.IFS(B53="天井",8,OR(B53="床",B53="土間"),10))))</f>
        <v>0.51200000000000001</v>
      </c>
      <c r="X25" cm="1">
        <f t="array" aca="1" ref="X25" ca="1">OFFSET(方位係数!$C$17,VALUE(計算条件!$B$3)-1,(_xlfn.IFS(E25="南",0,E25="西",2,E25="北",4,E25="東",6,E53="水平",_xlfn.IFS(B53="天井",8,OR(B53="床",B53="土間"),10))))</f>
        <v>0.57899999999999996</v>
      </c>
    </row>
    <row r="26" spans="1:24">
      <c r="A26" s="114" t="s">
        <v>2092</v>
      </c>
      <c r="B26" s="105" t="s">
        <v>2089</v>
      </c>
      <c r="C26" s="109" cm="1">
        <f t="array" ref="C26">_xlfn.IFS(計算条件!$F$3="寒冷地",8.74,計算条件!$F$3="温暖地",8.74)</f>
        <v>8.74</v>
      </c>
      <c r="D26" s="113">
        <f t="shared" si="12"/>
        <v>6.59</v>
      </c>
      <c r="E26" s="110" t="s">
        <v>2114</v>
      </c>
      <c r="F26" s="122" cm="1">
        <f t="array" ref="F26">_xlfn.IFS(計算条件!$F$3="寒冷地",2.15,計算条件!$F$3="温暖地",2.15)</f>
        <v>2.15</v>
      </c>
      <c r="G26" s="146">
        <f ca="1">F26*外皮面積!$T$22</f>
        <v>1.9039234907757252</v>
      </c>
      <c r="H26" cm="1">
        <f t="array" ref="H26">_xlfn.IFS(計算条件!$F$3="寒冷地",1.3,計算条件!$F$3="温暖地",1.3)</f>
        <v>1.3</v>
      </c>
      <c r="I26" cm="1">
        <f t="array" ref="I26">_xlfn.IFS(計算条件!$F$3="寒冷地",0,計算条件!$F$3="温暖地",0)</f>
        <v>0</v>
      </c>
      <c r="J26">
        <f t="shared" si="0"/>
        <v>1.3</v>
      </c>
      <c r="K26" cm="1">
        <f t="array" ref="K26">_xlfn.IFS(計算条件!$F$3="寒冷地",0.15,計算条件!$F$3="温暖地",0.15)</f>
        <v>0.15</v>
      </c>
      <c r="L26">
        <f>IF(K26=0,0.93,IF(計算条件!$B$3=8,IF(E26="南",MIN(0.01*(16+19*((2*I26+H26)/K26)),0.93),MIN(0.01*(16+24*((2*I26+H26)/K26)),0.93)),IF(E26="南",MIN(0.01*(24+9*((3*I26+H26)/K26)),0.93),MIN(0.01*(16+24*((2*I26+H26)/K26)),0.93))))</f>
        <v>0.93</v>
      </c>
      <c r="M26">
        <f>IF(K26=0,0.72,IF(計算条件!$B$3&lt;&gt;8,IF(E26="南",MIN(0.01*(5+20*((3*I26+H26)/K26)),0.72),MIN(0.01*(10+15*((2*I26+H26)/K26)),0.72))))</f>
        <v>0.72</v>
      </c>
      <c r="N26">
        <f t="shared" ca="1" si="1"/>
        <v>1.023744</v>
      </c>
      <c r="O26">
        <f t="shared" ca="1" si="2"/>
        <v>0.90657220936776939</v>
      </c>
      <c r="P26">
        <f>VLOOKUP(B26,外皮面積!$A$3:$N$8,14,FALSE)</f>
        <v>1.8778739331911265E-2</v>
      </c>
      <c r="Q26">
        <f t="shared" ca="1" si="3"/>
        <v>3.3740800000000002</v>
      </c>
      <c r="R26">
        <f t="shared" ca="1" si="4"/>
        <v>0.89629199999999987</v>
      </c>
      <c r="S26">
        <f t="shared" ca="1" si="5"/>
        <v>0.79370762483458435</v>
      </c>
      <c r="T26">
        <f t="shared" ca="1" si="6"/>
        <v>3.8156099999999995</v>
      </c>
      <c r="U26" cm="1">
        <f t="array" aca="1" ref="U26" ca="1">OFFSET(方位係数!$B$3,VALUE(計算条件!$B$3)-1,(_xlfn.IFS(E26="南",0,E26="西",2,E26="北",4,E26="東",6,E54="水平",8)))</f>
        <v>0.51200000000000001</v>
      </c>
      <c r="V26" cm="1">
        <f t="array" aca="1" ref="V26" ca="1">OFFSET(方位係数!$C$3,VALUE(計算条件!$B$3)-1,(_xlfn.IFS(E26="南",0,E26="西",2,E26="北",4,E26="東",6,E54="水平",8)))</f>
        <v>0.57899999999999996</v>
      </c>
      <c r="W26" cm="1">
        <f t="array" aca="1" ref="W26" ca="1">OFFSET(方位係数!$B$17,VALUE(計算条件!$B$3)-1,(_xlfn.IFS(E26="南",0,E26="西",2,E26="北",4,E26="東",6,E54="水平",_xlfn.IFS(B54="天井",8,OR(B54="床",B54="土間"),10))))</f>
        <v>0.51200000000000001</v>
      </c>
      <c r="X26" cm="1">
        <f t="array" aca="1" ref="X26" ca="1">OFFSET(方位係数!$C$17,VALUE(計算条件!$B$3)-1,(_xlfn.IFS(E26="南",0,E26="西",2,E26="北",4,E26="東",6,E54="水平",_xlfn.IFS(B54="天井",8,OR(B54="床",B54="土間"),10))))</f>
        <v>0.57899999999999996</v>
      </c>
    </row>
    <row r="27" spans="1:24">
      <c r="A27" s="114" t="s">
        <v>2108</v>
      </c>
      <c r="B27" s="117" t="s">
        <v>2089</v>
      </c>
      <c r="C27" s="109" cm="1">
        <f t="array" ref="C27">_xlfn.IFS(計算条件!$F$3="寒冷地",8.46,計算条件!$F$3="温暖地",8.46)</f>
        <v>8.4600000000000009</v>
      </c>
      <c r="D27" s="113">
        <f t="shared" si="12"/>
        <v>7.48</v>
      </c>
      <c r="E27" s="119" t="s">
        <v>2114</v>
      </c>
      <c r="F27" s="122" cm="1">
        <f t="array" ref="F27">_xlfn.IFS(計算条件!$F$3="寒冷地",0.6,計算条件!$F$3="温暖地",0.98)</f>
        <v>0.98</v>
      </c>
      <c r="G27" s="146">
        <f ca="1">F27*外皮面積!$T$22</f>
        <v>0.86783489346986542</v>
      </c>
      <c r="H27" cm="1">
        <f t="array" ref="H27">_xlfn.IFS(計算条件!$F$3="寒冷地",0.5,計算条件!$F$3="温暖地",0.7)</f>
        <v>0.7</v>
      </c>
      <c r="I27" cm="1">
        <f t="array" ref="I27">_xlfn.IFS(計算条件!$F$3="寒冷地",0,計算条件!$F$3="温暖地",0)</f>
        <v>0</v>
      </c>
      <c r="J27">
        <f t="shared" si="0"/>
        <v>0.7</v>
      </c>
      <c r="K27" cm="1">
        <f t="array" ref="K27">_xlfn.IFS(計算条件!$F$3="寒冷地",0.3,計算条件!$F$3="温暖地",0.3)</f>
        <v>0.3</v>
      </c>
      <c r="L27">
        <f>IF(K27=0,0.93,IF(計算条件!$B$3=8,IF(E27="南",MIN(0.01*(16+19*((2*I27+H27)/K27)),0.93),MIN(0.01*(16+24*((2*I27+H27)/K27)),0.93)),IF(E27="南",MIN(0.01*(24+9*((3*I27+H27)/K27)),0.93),MIN(0.01*(16+24*((2*I27+H27)/K27)),0.93))))</f>
        <v>0.72</v>
      </c>
      <c r="M27">
        <f>IF(K27=0,0.72,IF(計算条件!$B$3&lt;&gt;8,IF(E27="南",MIN(0.01*(5+20*((3*I27+H27)/K27)),0.72),MIN(0.01*(10+15*((2*I27+H27)/K27)),0.72))))</f>
        <v>0.45</v>
      </c>
      <c r="N27">
        <f t="shared" ca="1" si="1"/>
        <v>0.36126720000000001</v>
      </c>
      <c r="O27">
        <f t="shared" ca="1" si="2"/>
        <v>0.31991865512873119</v>
      </c>
      <c r="P27">
        <f>VLOOKUP(B27,外皮面積!$A$3:$N$8,14,FALSE)</f>
        <v>1.8778739331911265E-2</v>
      </c>
      <c r="Q27">
        <f t="shared" ca="1" si="3"/>
        <v>3.8297600000000003</v>
      </c>
      <c r="R27">
        <f t="shared" ca="1" si="4"/>
        <v>0.25533899999999998</v>
      </c>
      <c r="S27">
        <f t="shared" ca="1" si="5"/>
        <v>0.22611438149357341</v>
      </c>
      <c r="T27">
        <f t="shared" ca="1" si="6"/>
        <v>4.3309199999999999</v>
      </c>
      <c r="U27" cm="1">
        <f t="array" aca="1" ref="U27" ca="1">OFFSET(方位係数!$B$3,VALUE(計算条件!$B$3)-1,(_xlfn.IFS(E27="南",0,E27="西",2,E27="北",4,E27="東",6,E55="水平",8)))</f>
        <v>0.51200000000000001</v>
      </c>
      <c r="V27" cm="1">
        <f t="array" aca="1" ref="V27" ca="1">OFFSET(方位係数!$C$3,VALUE(計算条件!$B$3)-1,(_xlfn.IFS(E27="南",0,E27="西",2,E27="北",4,E27="東",6,E55="水平",8)))</f>
        <v>0.57899999999999996</v>
      </c>
      <c r="W27" cm="1">
        <f t="array" aca="1" ref="W27" ca="1">OFFSET(方位係数!$B$17,VALUE(計算条件!$B$3)-1,(_xlfn.IFS(E27="南",0,E27="西",2,E27="北",4,E27="東",6,E55="水平",_xlfn.IFS(B55="天井",8,OR(B55="床",B55="土間"),10))))</f>
        <v>0.51200000000000001</v>
      </c>
      <c r="X27" cm="1">
        <f t="array" aca="1" ref="X27" ca="1">OFFSET(方位係数!$C$17,VALUE(計算条件!$B$3)-1,(_xlfn.IFS(E27="南",0,E27="西",2,E27="北",4,E27="東",6,E55="水平",_xlfn.IFS(B55="天井",8,OR(B55="床",B55="土間"),10))))</f>
        <v>0.57899999999999996</v>
      </c>
    </row>
    <row r="28" spans="1:24">
      <c r="A28" s="118" t="s">
        <v>2095</v>
      </c>
      <c r="B28" s="117" t="s">
        <v>2089</v>
      </c>
      <c r="C28" s="109" cm="1">
        <f t="array" ref="C28">_xlfn.IFS(計算条件!$F$3="寒冷地",8.74,計算条件!$F$3="温暖地",8.74)</f>
        <v>8.74</v>
      </c>
      <c r="D28" s="113">
        <f t="shared" si="12"/>
        <v>8.08</v>
      </c>
      <c r="E28" s="119" t="s">
        <v>2114</v>
      </c>
      <c r="F28" s="122" cm="1">
        <f t="array" ref="F28">_xlfn.IFS(計算条件!$F$3="寒冷地",0.35,計算条件!$F$3="温暖地",0.66)</f>
        <v>0.66</v>
      </c>
      <c r="G28" s="146">
        <f ca="1">F28*外皮面積!$T$22</f>
        <v>0.58446023437766448</v>
      </c>
      <c r="H28" cm="1">
        <f t="array" ref="H28">_xlfn.IFS(計算条件!$F$3="寒冷地",0.5,計算条件!$F$3="温暖地",1.1)</f>
        <v>1.1000000000000001</v>
      </c>
      <c r="I28" cm="1">
        <f t="array" ref="I28">_xlfn.IFS(計算条件!$F$3="寒冷地",0.06,計算条件!$F$3="温暖地",0.06)</f>
        <v>0.06</v>
      </c>
      <c r="J28">
        <f t="shared" si="0"/>
        <v>1.1600000000000001</v>
      </c>
      <c r="K28" cm="1">
        <f t="array" ref="K28">_xlfn.IFS(計算条件!$F$3="寒冷地",0.3,計算条件!$F$3="温暖地",0.3)</f>
        <v>0.3</v>
      </c>
      <c r="L28">
        <f>IF(K28=0,0.93,IF(計算条件!$B$3=8,IF(E28="南",MIN(0.01*(16+19*((2*I28+H28)/K28)),0.93),MIN(0.01*(16+24*((2*I28+H28)/K28)),0.93)),IF(E28="南",MIN(0.01*(24+9*((3*I28+H28)/K28)),0.93),MIN(0.01*(16+24*((2*I28+H28)/K28)),0.93))))</f>
        <v>0.93</v>
      </c>
      <c r="M28">
        <f>IF(K28=0,0.72,IF(計算条件!$B$3&lt;&gt;8,IF(E28="南",MIN(0.01*(5+20*((3*I28+H28)/K28)),0.72),MIN(0.01*(10+15*((2*I28+H28)/K28)),0.72))))</f>
        <v>0.71</v>
      </c>
      <c r="N28">
        <f t="shared" ca="1" si="1"/>
        <v>0.31426560000000003</v>
      </c>
      <c r="O28">
        <f t="shared" ca="1" si="2"/>
        <v>0.27829658520126871</v>
      </c>
      <c r="P28">
        <f>VLOOKUP(B28,外皮面積!$A$3:$N$8,14,FALSE)</f>
        <v>1.8778739331911265E-2</v>
      </c>
      <c r="Q28">
        <f t="shared" ca="1" si="3"/>
        <v>4.1369600000000002</v>
      </c>
      <c r="R28">
        <f t="shared" ca="1" si="4"/>
        <v>0.27131939999999999</v>
      </c>
      <c r="S28">
        <f t="shared" ca="1" si="5"/>
        <v>0.24026575775031409</v>
      </c>
      <c r="T28">
        <f t="shared" ca="1" si="6"/>
        <v>4.6783199999999994</v>
      </c>
      <c r="U28" cm="1">
        <f t="array" aca="1" ref="U28" ca="1">OFFSET(方位係数!$B$3,VALUE(計算条件!$B$3)-1,(_xlfn.IFS(E28="南",0,E28="西",2,E28="北",4,E28="東",6,E56="水平",8)))</f>
        <v>0.51200000000000001</v>
      </c>
      <c r="V28" cm="1">
        <f t="array" aca="1" ref="V28" ca="1">OFFSET(方位係数!$C$3,VALUE(計算条件!$B$3)-1,(_xlfn.IFS(E28="南",0,E28="西",2,E28="北",4,E28="東",6,E56="水平",8)))</f>
        <v>0.57899999999999996</v>
      </c>
      <c r="W28" cm="1">
        <f t="array" aca="1" ref="W28" ca="1">OFFSET(方位係数!$B$17,VALUE(計算条件!$B$3)-1,(_xlfn.IFS(E28="南",0,E28="西",2,E28="北",4,E28="東",6,E56="水平",_xlfn.IFS(B56="天井",8,OR(B56="床",B56="土間"),10))))</f>
        <v>0.51200000000000001</v>
      </c>
      <c r="X28" cm="1">
        <f t="array" aca="1" ref="X28" ca="1">OFFSET(方位係数!$C$17,VALUE(計算条件!$B$3)-1,(_xlfn.IFS(E28="南",0,E28="西",2,E28="北",4,E28="東",6,E56="水平",_xlfn.IFS(B56="天井",8,OR(B56="床",B56="土間"),10))))</f>
        <v>0.57899999999999996</v>
      </c>
    </row>
    <row r="29" spans="1:24">
      <c r="A29" s="108" t="s">
        <v>2112</v>
      </c>
      <c r="B29" s="105" t="s">
        <v>2089</v>
      </c>
      <c r="C29" s="109" cm="1">
        <f t="array" ref="C29">_xlfn.IFS(計算条件!$F$3="寒冷地",2.18,計算条件!$F$3="温暖地",2.18)</f>
        <v>2.1800000000000002</v>
      </c>
      <c r="D29" s="113">
        <f t="shared" si="12"/>
        <v>2.1800000000000002</v>
      </c>
      <c r="E29" s="110" t="s">
        <v>2114</v>
      </c>
      <c r="F29" s="112" cm="1">
        <f t="array" ref="F29">_xlfn.IFS(計算条件!$F$3="寒冷地",0,計算条件!$F$3="温暖地",0)</f>
        <v>0</v>
      </c>
      <c r="G29" s="145">
        <f ca="1">F29*外皮面積!$T$22</f>
        <v>0</v>
      </c>
      <c r="H29" cm="1">
        <f t="array" ref="H29">_xlfn.IFS(計算条件!$F$3="寒冷地",0,計算条件!$F$3="温暖地",0)</f>
        <v>0</v>
      </c>
      <c r="I29" cm="1">
        <f t="array" ref="I29">_xlfn.IFS(計算条件!$F$3="寒冷地",0,計算条件!$F$3="温暖地",0)</f>
        <v>0</v>
      </c>
      <c r="J29">
        <f t="shared" si="0"/>
        <v>0</v>
      </c>
      <c r="K29" cm="1">
        <f t="array" ref="K29">_xlfn.IFS(計算条件!$F$3="寒冷地",0,計算条件!$F$3="温暖地",0)</f>
        <v>0</v>
      </c>
      <c r="L29">
        <f>IF(K29=0,0.93,IF(計算条件!$B$3=8,IF(E29="南",MIN(0.01*(16+19*((2*I29+H29)/K29)),0.93),MIN(0.01*(16+24*((2*I29+H29)/K29)),0.93)),IF(E29="南",MIN(0.01*(24+9*((3*I29+H29)/K29)),0.93),MIN(0.01*(16+24*((2*I29+H29)/K29)),0.93))))</f>
        <v>0.93</v>
      </c>
      <c r="M29">
        <f>IF(K29=0,0.72,IF(計算条件!$B$3&lt;&gt;8,IF(E29="南",MIN(0.01*(5+20*((3*I29+H29)/K29)),0.72),MIN(0.01*(10+15*((2*I29+H29)/K29)),0.72))))</f>
        <v>0.72</v>
      </c>
      <c r="N29">
        <f t="shared" ca="1" si="1"/>
        <v>0</v>
      </c>
      <c r="O29">
        <f t="shared" ca="1" si="2"/>
        <v>0</v>
      </c>
      <c r="P29">
        <f>VLOOKUP(B29,外皮面積!$A$3:$N$8,14,FALSE)</f>
        <v>1.8778739331911265E-2</v>
      </c>
      <c r="Q29">
        <f t="shared" ca="1" si="3"/>
        <v>1.11616</v>
      </c>
      <c r="R29">
        <f t="shared" ca="1" si="4"/>
        <v>0</v>
      </c>
      <c r="S29">
        <f t="shared" ca="1" si="5"/>
        <v>0</v>
      </c>
      <c r="T29">
        <f t="shared" ca="1" si="6"/>
        <v>1.2622199999999999</v>
      </c>
      <c r="U29" cm="1">
        <f t="array" aca="1" ref="U29" ca="1">OFFSET(方位係数!$B$3,VALUE(計算条件!$B$3)-1,(_xlfn.IFS(E29="南",0,E29="西",2,E29="北",4,E29="東",6,E57="水平",8)))</f>
        <v>0.51200000000000001</v>
      </c>
      <c r="V29" cm="1">
        <f t="array" aca="1" ref="V29" ca="1">OFFSET(方位係数!$C$3,VALUE(計算条件!$B$3)-1,(_xlfn.IFS(E29="南",0,E29="西",2,E29="北",4,E29="東",6,E57="水平",8)))</f>
        <v>0.57899999999999996</v>
      </c>
      <c r="W29" cm="1">
        <f t="array" aca="1" ref="W29" ca="1">OFFSET(方位係数!$B$17,VALUE(計算条件!$B$3)-1,(_xlfn.IFS(E29="南",0,E29="西",2,E29="北",4,E29="東",6,E57="水平",_xlfn.IFS(B57="天井",8,OR(B57="床",B57="土間"),10))))</f>
        <v>0.51200000000000001</v>
      </c>
      <c r="X29" cm="1">
        <f t="array" aca="1" ref="X29" ca="1">OFFSET(方位係数!$C$17,VALUE(計算条件!$B$3)-1,(_xlfn.IFS(E29="南",0,E29="西",2,E29="北",4,E29="東",6,E57="水平",_xlfn.IFS(B57="天井",8,OR(B57="床",B57="土間"),10))))</f>
        <v>0.57899999999999996</v>
      </c>
    </row>
    <row r="30" spans="1:24">
      <c r="A30" s="115" t="s">
        <v>2108</v>
      </c>
      <c r="B30" s="105" t="s">
        <v>2115</v>
      </c>
      <c r="C30" s="109" cm="1">
        <f t="array" ref="C30">_xlfn.IFS(計算条件!$F$3="寒冷地",4.14,計算条件!$F$3="温暖地",4.14)</f>
        <v>4.1399999999999997</v>
      </c>
      <c r="D30" s="113">
        <f t="shared" si="12"/>
        <v>4.1399999999999997</v>
      </c>
      <c r="E30" s="120" t="s">
        <v>2078</v>
      </c>
      <c r="F30" s="112" cm="1">
        <f t="array" ref="F30">_xlfn.IFS(計算条件!$F$3="寒冷地",0,計算条件!$F$3="温暖地",0)</f>
        <v>0</v>
      </c>
      <c r="G30" s="145">
        <f ca="1">F30*外皮面積!$T$22</f>
        <v>0</v>
      </c>
      <c r="H30" cm="1">
        <f t="array" ref="H30">_xlfn.IFS(計算条件!$F$3="寒冷地",0,計算条件!$F$3="温暖地",0)</f>
        <v>0</v>
      </c>
      <c r="I30" cm="1">
        <f t="array" ref="I30">_xlfn.IFS(計算条件!$F$3="寒冷地",0,計算条件!$F$3="温暖地",0)</f>
        <v>0</v>
      </c>
      <c r="J30">
        <f t="shared" ref="J30:J49" si="13">H30+I30</f>
        <v>0</v>
      </c>
      <c r="K30" cm="1">
        <f t="array" ref="K30">_xlfn.IFS(計算条件!$F$3="寒冷地",0,計算条件!$F$3="温暖地",0)</f>
        <v>0</v>
      </c>
      <c r="L30">
        <f>IF(K30=0,0.93,IF(計算条件!$B$3=8,IF(E30="南",MIN(0.01*(16+19*((2*I30+H30)/K30)),0.93),MIN(0.01*(16+24*((2*I30+H30)/K30)),0.93)),IF(E30="南",MIN(0.01*(24+9*((3*I30+H30)/K30)),0.93),MIN(0.01*(16+24*((2*I30+H30)/K30)),0.93))))</f>
        <v>0.93</v>
      </c>
      <c r="M30">
        <f>IF(K30=0,0.72,IF(計算条件!$B$3&lt;&gt;8,IF(E30="南",MIN(0.01*(5+20*((3*I30+H30)/K30)),0.72),MIN(0.01*(10+15*((2*I30+H30)/K30)),0.72))))</f>
        <v>0.72</v>
      </c>
      <c r="N30">
        <f t="shared" ca="1" si="1"/>
        <v>0</v>
      </c>
      <c r="O30">
        <f t="shared" ca="1" si="2"/>
        <v>0</v>
      </c>
      <c r="P30">
        <f>VLOOKUP(B30,外皮面積!$A$3:$N$8,14,FALSE)</f>
        <v>8.5035800748277414E-3</v>
      </c>
      <c r="Q30">
        <f t="shared" ca="1" si="3"/>
        <v>4.1399999999999997</v>
      </c>
      <c r="R30">
        <f t="shared" ca="1" si="4"/>
        <v>0</v>
      </c>
      <c r="S30">
        <f t="shared" ca="1" si="5"/>
        <v>0</v>
      </c>
      <c r="T30">
        <f t="shared" ca="1" si="6"/>
        <v>4.1399999999999997</v>
      </c>
      <c r="U30" cm="1">
        <f t="array" aca="1" ref="U30" ca="1">OFFSET(方位係数!$B$3,VALUE(計算条件!$B$3)-1,(_xlfn.IFS(E30="南",0,E30="西",2,E30="北",4,E30="東",6,E30="水平",8)))</f>
        <v>1</v>
      </c>
      <c r="V30" cm="1">
        <f t="array" aca="1" ref="V30" ca="1">OFFSET(方位係数!$C$3,VALUE(計算条件!$B$3)-1,(_xlfn.IFS(E30="南",0,E30="西",2,E30="北",4,E30="東",6,E30="水平",8)))</f>
        <v>1</v>
      </c>
      <c r="W30" cm="1">
        <f t="array" aca="1" ref="W30" ca="1">OFFSET(方位係数!$B$17,VALUE(計算条件!$B$3)-1,(_xlfn.IFS(E30="南",0,E30="西",2,E30="北",4,E30="東",6,E30="水平",_xlfn.IFS(B30="天井",8,OR(B30="床",B30="土間"),10))))</f>
        <v>1</v>
      </c>
      <c r="X30" cm="1">
        <f t="array" aca="1" ref="X30" ca="1">OFFSET(方位係数!$C$17,VALUE(計算条件!$B$3)-1,(_xlfn.IFS(E30="南",0,E30="西",2,E30="北",4,E30="東",6,E30="水平",_xlfn.IFS(B30="天井",8,OR(B30="床",B30="土間"),10))))</f>
        <v>1</v>
      </c>
    </row>
    <row r="31" spans="1:24">
      <c r="A31" s="104" t="s">
        <v>2103</v>
      </c>
      <c r="B31" s="105" t="s">
        <v>2115</v>
      </c>
      <c r="C31" s="109" cm="1">
        <f t="array" ref="C31">_xlfn.IFS(計算条件!$F$3="寒冷地",3.31,計算条件!$F$3="温暖地",3.31)</f>
        <v>3.31</v>
      </c>
      <c r="D31" s="113">
        <f t="shared" ref="D31:D41" si="14">C31-F31</f>
        <v>3.31</v>
      </c>
      <c r="E31" s="120" t="s">
        <v>2078</v>
      </c>
      <c r="F31" s="112" cm="1">
        <f t="array" ref="F31">_xlfn.IFS(計算条件!$F$3="寒冷地",0,計算条件!$F$3="温暖地",0)</f>
        <v>0</v>
      </c>
      <c r="G31" s="145">
        <f ca="1">F31*外皮面積!$T$22</f>
        <v>0</v>
      </c>
      <c r="H31" cm="1">
        <f t="array" ref="H31">_xlfn.IFS(計算条件!$F$3="寒冷地",0,計算条件!$F$3="温暖地",0)</f>
        <v>0</v>
      </c>
      <c r="I31" cm="1">
        <f t="array" ref="I31">_xlfn.IFS(計算条件!$F$3="寒冷地",0,計算条件!$F$3="温暖地",0)</f>
        <v>0</v>
      </c>
      <c r="J31">
        <f t="shared" si="13"/>
        <v>0</v>
      </c>
      <c r="K31" cm="1">
        <f t="array" ref="K31">_xlfn.IFS(計算条件!$F$3="寒冷地",0,計算条件!$F$3="温暖地",0)</f>
        <v>0</v>
      </c>
      <c r="L31">
        <f>IF(K31=0,0.93,IF(計算条件!$B$3=8,IF(E31="南",MIN(0.01*(16+19*((2*I31+H31)/K31)),0.93),MIN(0.01*(16+24*((2*I31+H31)/K31)),0.93)),IF(E31="南",MIN(0.01*(24+9*((3*I31+H31)/K31)),0.93),MIN(0.01*(16+24*((2*I31+H31)/K31)),0.93))))</f>
        <v>0.93</v>
      </c>
      <c r="M31">
        <f>IF(K31=0,0.72,IF(計算条件!$B$3&lt;&gt;8,IF(E31="南",MIN(0.01*(5+20*((3*I31+H31)/K31)),0.72),MIN(0.01*(10+15*((2*I31+H31)/K31)),0.72))))</f>
        <v>0.72</v>
      </c>
      <c r="N31">
        <f t="shared" ca="1" si="1"/>
        <v>0</v>
      </c>
      <c r="O31">
        <f t="shared" ca="1" si="2"/>
        <v>0</v>
      </c>
      <c r="P31">
        <f>VLOOKUP(B31,外皮面積!$A$3:$N$8,14,FALSE)</f>
        <v>8.5035800748277414E-3</v>
      </c>
      <c r="Q31">
        <f t="shared" ca="1" si="3"/>
        <v>3.31</v>
      </c>
      <c r="R31">
        <f t="shared" ca="1" si="4"/>
        <v>0</v>
      </c>
      <c r="S31">
        <f t="shared" ca="1" si="5"/>
        <v>0</v>
      </c>
      <c r="T31">
        <f t="shared" ca="1" si="6"/>
        <v>3.31</v>
      </c>
      <c r="U31" cm="1">
        <f t="array" aca="1" ref="U31" ca="1">OFFSET(方位係数!$B$3,VALUE(計算条件!$B$3)-1,(_xlfn.IFS(E31="南",0,E31="西",2,E31="北",4,E31="東",6,E31="水平",8)))</f>
        <v>1</v>
      </c>
      <c r="V31" cm="1">
        <f t="array" aca="1" ref="V31" ca="1">OFFSET(方位係数!$C$3,VALUE(計算条件!$B$3)-1,(_xlfn.IFS(E31="南",0,E31="西",2,E31="北",4,E31="東",6,E31="水平",8)))</f>
        <v>1</v>
      </c>
      <c r="W31" cm="1">
        <f t="array" aca="1" ref="W31" ca="1">OFFSET(方位係数!$B$17,VALUE(計算条件!$B$3)-1,(_xlfn.IFS(E31="南",0,E31="西",2,E31="北",4,E31="東",6,E31="水平",_xlfn.IFS(B31="天井",8,OR(B31="床", B31="土間"),10))))</f>
        <v>1</v>
      </c>
      <c r="X31" cm="1">
        <f t="array" aca="1" ref="X31" ca="1">OFFSET(方位係数!$C$17,VALUE(計算条件!$B$3)-1,(_xlfn.IFS(E31="南",0,E31="西",2,E31="北",4,E31="東",6,E31="水平",_xlfn.IFS(B31="天井",8,OR(B31="床",B31="土間"),10))))</f>
        <v>1</v>
      </c>
    </row>
    <row r="32" spans="1:24">
      <c r="A32" s="104" t="s">
        <v>2110</v>
      </c>
      <c r="B32" s="105" t="s">
        <v>2115</v>
      </c>
      <c r="C32" s="109" cm="1">
        <f t="array" ref="C32">_xlfn.IFS(計算条件!$F$3="寒冷地",1.66,計算条件!$F$3="温暖地",1.66)</f>
        <v>1.66</v>
      </c>
      <c r="D32" s="113">
        <f t="shared" si="14"/>
        <v>1.66</v>
      </c>
      <c r="E32" s="120" t="s">
        <v>2078</v>
      </c>
      <c r="F32" s="112" cm="1">
        <f t="array" ref="F32">_xlfn.IFS(計算条件!$F$3="寒冷地",0,計算条件!$F$3="温暖地",0)</f>
        <v>0</v>
      </c>
      <c r="G32" s="145">
        <f ca="1">F32*外皮面積!$T$22</f>
        <v>0</v>
      </c>
      <c r="H32" cm="1">
        <f t="array" ref="H32">_xlfn.IFS(計算条件!$F$3="寒冷地",0,計算条件!$F$3="温暖地",0)</f>
        <v>0</v>
      </c>
      <c r="I32" cm="1">
        <f t="array" ref="I32">_xlfn.IFS(計算条件!$F$3="寒冷地",0,計算条件!$F$3="温暖地",0)</f>
        <v>0</v>
      </c>
      <c r="J32">
        <f t="shared" si="13"/>
        <v>0</v>
      </c>
      <c r="K32" cm="1">
        <f t="array" ref="K32">_xlfn.IFS(計算条件!$F$3="寒冷地",0,計算条件!$F$3="温暖地",0)</f>
        <v>0</v>
      </c>
      <c r="L32">
        <f>IF(K32=0,0.93,IF(計算条件!$B$3=8,IF(E32="南",MIN(0.01*(16+19*((2*I32+H32)/K32)),0.93),MIN(0.01*(16+24*((2*I32+H32)/K32)),0.93)),IF(E32="南",MIN(0.01*(24+9*((3*I32+H32)/K32)),0.93),MIN(0.01*(16+24*((2*I32+H32)/K32)),0.93))))</f>
        <v>0.93</v>
      </c>
      <c r="M32">
        <f>IF(K32=0,0.72,IF(計算条件!$B$3&lt;&gt;8,IF(E32="南",MIN(0.01*(5+20*((3*I32+H32)/K32)),0.72),MIN(0.01*(10+15*((2*I32+H32)/K32)),0.72))))</f>
        <v>0.72</v>
      </c>
      <c r="N32">
        <f t="shared" ca="1" si="1"/>
        <v>0</v>
      </c>
      <c r="O32">
        <f t="shared" ca="1" si="2"/>
        <v>0</v>
      </c>
      <c r="P32">
        <f>VLOOKUP(B32,外皮面積!$A$3:$N$8,14,FALSE)</f>
        <v>8.5035800748277414E-3</v>
      </c>
      <c r="Q32">
        <f t="shared" ca="1" si="3"/>
        <v>1.66</v>
      </c>
      <c r="R32">
        <f t="shared" ca="1" si="4"/>
        <v>0</v>
      </c>
      <c r="S32">
        <f t="shared" ca="1" si="5"/>
        <v>0</v>
      </c>
      <c r="T32">
        <f t="shared" ca="1" si="6"/>
        <v>1.66</v>
      </c>
      <c r="U32" cm="1">
        <f t="array" aca="1" ref="U32" ca="1">OFFSET(方位係数!$B$3,VALUE(計算条件!$B$3)-1,(_xlfn.IFS(E32="南",0,E32="西",2,E32="北",4,E32="東",6,E32="水平",8)))</f>
        <v>1</v>
      </c>
      <c r="V32" cm="1">
        <f t="array" aca="1" ref="V32" ca="1">OFFSET(方位係数!$C$3,VALUE(計算条件!$B$3)-1,(_xlfn.IFS(E32="南",0,E32="西",2,E32="北",4,E32="東",6,E32="水平",8)))</f>
        <v>1</v>
      </c>
      <c r="W32" cm="1">
        <f t="array" aca="1" ref="W32" ca="1">OFFSET(方位係数!$B$17,VALUE(計算条件!$B$3)-1,(_xlfn.IFS(E32="南",0,E32="西",2,E32="北",4,E32="東",6,E32="水平",_xlfn.IFS(B32="天井",8,OR(B32="床", B32="土間"),10))))</f>
        <v>1</v>
      </c>
      <c r="X32" cm="1">
        <f t="array" aca="1" ref="X32" ca="1">OFFSET(方位係数!$C$17,VALUE(計算条件!$B$3)-1,(_xlfn.IFS(E32="南",0,E32="西",2,E32="北",4,E32="東",6,E32="水平",_xlfn.IFS(B32="天井",8,OR(B32="床",B32="土間"),10))))</f>
        <v>1</v>
      </c>
    </row>
    <row r="33" spans="1:24">
      <c r="A33" s="104" t="s">
        <v>2111</v>
      </c>
      <c r="B33" s="105" t="s">
        <v>2115</v>
      </c>
      <c r="C33" s="109" cm="1">
        <f t="array" ref="C33">_xlfn.IFS(計算条件!$F$3="寒冷地",3.31,計算条件!$F$3="温暖地",3.31)</f>
        <v>3.31</v>
      </c>
      <c r="D33" s="113">
        <f t="shared" si="14"/>
        <v>3.31</v>
      </c>
      <c r="E33" s="120" t="s">
        <v>2078</v>
      </c>
      <c r="F33" s="112" cm="1">
        <f t="array" ref="F33">_xlfn.IFS(計算条件!$F$3="寒冷地",0,計算条件!$F$3="温暖地",0)</f>
        <v>0</v>
      </c>
      <c r="G33" s="145">
        <f ca="1">F33*外皮面積!$T$22</f>
        <v>0</v>
      </c>
      <c r="H33" cm="1">
        <f t="array" ref="H33">_xlfn.IFS(計算条件!$F$3="寒冷地",0,計算条件!$F$3="温暖地",0)</f>
        <v>0</v>
      </c>
      <c r="I33" cm="1">
        <f t="array" ref="I33">_xlfn.IFS(計算条件!$F$3="寒冷地",0,計算条件!$F$3="温暖地",0)</f>
        <v>0</v>
      </c>
      <c r="J33">
        <f t="shared" si="13"/>
        <v>0</v>
      </c>
      <c r="K33" cm="1">
        <f t="array" ref="K33">_xlfn.IFS(計算条件!$F$3="寒冷地",0,計算条件!$F$3="温暖地",0)</f>
        <v>0</v>
      </c>
      <c r="L33">
        <f>IF(K33=0,0.93,IF(計算条件!$B$3=8,IF(E33="南",MIN(0.01*(16+19*((2*I33+H33)/K33)),0.93),MIN(0.01*(16+24*((2*I33+H33)/K33)),0.93)),IF(E33="南",MIN(0.01*(24+9*((3*I33+H33)/K33)),0.93),MIN(0.01*(16+24*((2*I33+H33)/K33)),0.93))))</f>
        <v>0.93</v>
      </c>
      <c r="M33">
        <f>IF(K33=0,0.72,IF(計算条件!$B$3&lt;&gt;8,IF(E33="南",MIN(0.01*(5+20*((3*I33+H33)/K33)),0.72),MIN(0.01*(10+15*((2*I33+H33)/K33)),0.72))))</f>
        <v>0.72</v>
      </c>
      <c r="N33">
        <f t="shared" ca="1" si="1"/>
        <v>0</v>
      </c>
      <c r="O33">
        <f t="shared" ca="1" si="2"/>
        <v>0</v>
      </c>
      <c r="P33">
        <f>VLOOKUP(B33,外皮面積!$A$3:$N$8,14,FALSE)</f>
        <v>8.5035800748277414E-3</v>
      </c>
      <c r="Q33">
        <f t="shared" ca="1" si="3"/>
        <v>3.31</v>
      </c>
      <c r="R33">
        <f t="shared" ca="1" si="4"/>
        <v>0</v>
      </c>
      <c r="S33">
        <f t="shared" ca="1" si="5"/>
        <v>0</v>
      </c>
      <c r="T33">
        <f t="shared" ca="1" si="6"/>
        <v>3.31</v>
      </c>
      <c r="U33" cm="1">
        <f t="array" aca="1" ref="U33" ca="1">OFFSET(方位係数!$B$3,VALUE(計算条件!$B$3)-1,(_xlfn.IFS(E33="南",0,E33="西",2,E33="北",4,E33="東",6,E33="水平",8)))</f>
        <v>1</v>
      </c>
      <c r="V33" cm="1">
        <f t="array" aca="1" ref="V33" ca="1">OFFSET(方位係数!$C$3,VALUE(計算条件!$B$3)-1,(_xlfn.IFS(E33="南",0,E33="西",2,E33="北",4,E33="東",6,E33="水平",8)))</f>
        <v>1</v>
      </c>
      <c r="W33" cm="1">
        <f t="array" aca="1" ref="W33" ca="1">OFFSET(方位係数!$B$17,VALUE(計算条件!$B$3)-1,(_xlfn.IFS(E33="南",0,E33="西",2,E33="北",4,E33="東",6,E33="水平",_xlfn.IFS(B33="天井",8,OR(B33="床", B33="土間"),10))))</f>
        <v>1</v>
      </c>
      <c r="X33" cm="1">
        <f t="array" aca="1" ref="X33" ca="1">OFFSET(方位係数!$C$17,VALUE(計算条件!$B$3)-1,(_xlfn.IFS(E33="南",0,E33="西",2,E33="北",4,E33="東",6,E33="水平",_xlfn.IFS(B33="天井",8,OR(B33="床",B33="土間"),10))))</f>
        <v>1</v>
      </c>
    </row>
    <row r="34" spans="1:24">
      <c r="A34" s="104" t="s">
        <v>2090</v>
      </c>
      <c r="B34" s="105" t="s">
        <v>2115</v>
      </c>
      <c r="C34" s="109" cm="1">
        <f t="array" ref="C34">_xlfn.IFS(計算条件!$F$3="寒冷地",3.31,計算条件!$F$3="温暖地",3.31)</f>
        <v>3.31</v>
      </c>
      <c r="D34" s="113">
        <f t="shared" si="14"/>
        <v>3.31</v>
      </c>
      <c r="E34" s="120" t="s">
        <v>2078</v>
      </c>
      <c r="F34" s="112" cm="1">
        <f t="array" ref="F34">_xlfn.IFS(計算条件!$F$3="寒冷地",0,計算条件!$F$3="温暖地",0)</f>
        <v>0</v>
      </c>
      <c r="G34" s="145">
        <f ca="1">F34*外皮面積!$T$22</f>
        <v>0</v>
      </c>
      <c r="H34" cm="1">
        <f t="array" ref="H34">_xlfn.IFS(計算条件!$F$3="寒冷地",0,計算条件!$F$3="温暖地",0)</f>
        <v>0</v>
      </c>
      <c r="I34" cm="1">
        <f t="array" ref="I34">_xlfn.IFS(計算条件!$F$3="寒冷地",0,計算条件!$F$3="温暖地",0)</f>
        <v>0</v>
      </c>
      <c r="J34">
        <f t="shared" si="13"/>
        <v>0</v>
      </c>
      <c r="K34" cm="1">
        <f t="array" ref="K34">_xlfn.IFS(計算条件!$F$3="寒冷地",0,計算条件!$F$3="温暖地",0)</f>
        <v>0</v>
      </c>
      <c r="L34">
        <f>IF(K34=0,0.93,IF(計算条件!$B$3=8,IF(E34="南",MIN(0.01*(16+19*((2*I34+H34)/K34)),0.93),MIN(0.01*(16+24*((2*I34+H34)/K34)),0.93)),IF(E34="南",MIN(0.01*(24+9*((3*I34+H34)/K34)),0.93),MIN(0.01*(16+24*((2*I34+H34)/K34)),0.93))))</f>
        <v>0.93</v>
      </c>
      <c r="M34">
        <f>IF(K34=0,0.72,IF(計算条件!$B$3&lt;&gt;8,IF(E34="南",MIN(0.01*(5+20*((3*I34+H34)/K34)),0.72),MIN(0.01*(10+15*((2*I34+H34)/K34)),0.72))))</f>
        <v>0.72</v>
      </c>
      <c r="N34">
        <f t="shared" ref="N34:N51" ca="1" si="15">F34*L34*U34</f>
        <v>0</v>
      </c>
      <c r="O34">
        <f t="shared" ref="O34:O51" ca="1" si="16">G34*L34*U34</f>
        <v>0</v>
      </c>
      <c r="P34">
        <f>VLOOKUP(B34,外皮面積!$A$3:$N$8,14,FALSE)</f>
        <v>8.5035800748277414E-3</v>
      </c>
      <c r="Q34">
        <f t="shared" ref="Q34:Q51" ca="1" si="17">D34*W34</f>
        <v>3.31</v>
      </c>
      <c r="R34">
        <f t="shared" ref="R34:R51" ca="1" si="18">F34*M34*V34</f>
        <v>0</v>
      </c>
      <c r="S34">
        <f t="shared" ref="S34:S51" ca="1" si="19">G34*M34*V34</f>
        <v>0</v>
      </c>
      <c r="T34">
        <f t="shared" ref="T34:T51" ca="1" si="20">D34*X34</f>
        <v>3.31</v>
      </c>
      <c r="U34" cm="1">
        <f t="array" aca="1" ref="U34" ca="1">OFFSET(方位係数!$B$3,VALUE(計算条件!$B$3)-1,(_xlfn.IFS(E34="南",0,E34="西",2,E34="北",4,E34="東",6,E34="水平",8)))</f>
        <v>1</v>
      </c>
      <c r="V34" cm="1">
        <f t="array" aca="1" ref="V34" ca="1">OFFSET(方位係数!$C$3,VALUE(計算条件!$B$3)-1,(_xlfn.IFS(E34="南",0,E34="西",2,E34="北",4,E34="東",6,E34="水平",8)))</f>
        <v>1</v>
      </c>
      <c r="W34" cm="1">
        <f t="array" aca="1" ref="W34" ca="1">OFFSET(方位係数!$B$17,VALUE(計算条件!$B$3)-1,(_xlfn.IFS(E34="南",0,E34="西",2,E34="北",4,E34="東",6,E34="水平",_xlfn.IFS(B34="天井",8,OR(B34="床", B34="土間"),10))))</f>
        <v>1</v>
      </c>
      <c r="X34" cm="1">
        <f t="array" aca="1" ref="X34" ca="1">OFFSET(方位係数!$C$17,VALUE(計算条件!$B$3)-1,(_xlfn.IFS(E34="南",0,E34="西",2,E34="北",4,E34="東",6,E34="水平",_xlfn.IFS(B34="天井",8,OR(B34="床",B34="土間"),10))))</f>
        <v>1</v>
      </c>
    </row>
    <row r="35" spans="1:24">
      <c r="A35" s="104" t="s">
        <v>2105</v>
      </c>
      <c r="B35" s="105" t="s">
        <v>2115</v>
      </c>
      <c r="C35" s="109" cm="1">
        <f t="array" ref="C35">_xlfn.IFS(計算条件!$F$3="寒冷地",4.97,計算条件!$F$3="温暖地",4.97)</f>
        <v>4.97</v>
      </c>
      <c r="D35" s="113">
        <f t="shared" si="14"/>
        <v>4.97</v>
      </c>
      <c r="E35" s="120" t="s">
        <v>2078</v>
      </c>
      <c r="F35" s="112" cm="1">
        <f t="array" ref="F35">_xlfn.IFS(計算条件!$F$3="寒冷地",0,計算条件!$F$3="温暖地",0)</f>
        <v>0</v>
      </c>
      <c r="G35" s="145">
        <f ca="1">F35*外皮面積!$T$22</f>
        <v>0</v>
      </c>
      <c r="H35" cm="1">
        <f t="array" ref="H35">_xlfn.IFS(計算条件!$F$3="寒冷地",0,計算条件!$F$3="温暖地",0)</f>
        <v>0</v>
      </c>
      <c r="I35" cm="1">
        <f t="array" ref="I35">_xlfn.IFS(計算条件!$F$3="寒冷地",0,計算条件!$F$3="温暖地",0)</f>
        <v>0</v>
      </c>
      <c r="J35">
        <f t="shared" si="13"/>
        <v>0</v>
      </c>
      <c r="K35" cm="1">
        <f t="array" ref="K35">_xlfn.IFS(計算条件!$F$3="寒冷地",0,計算条件!$F$3="温暖地",0)</f>
        <v>0</v>
      </c>
      <c r="L35">
        <f>IF(K35=0,0.93,IF(計算条件!$B$3=8,IF(E35="南",MIN(0.01*(16+19*((2*I35+H35)/K35)),0.93),MIN(0.01*(16+24*((2*I35+H35)/K35)),0.93)),IF(E35="南",MIN(0.01*(24+9*((3*I35+H35)/K35)),0.93),MIN(0.01*(16+24*((2*I35+H35)/K35)),0.93))))</f>
        <v>0.93</v>
      </c>
      <c r="M35">
        <f>IF(K35=0,0.72,IF(計算条件!$B$3&lt;&gt;8,IF(E35="南",MIN(0.01*(5+20*((3*I35+H35)/K35)),0.72),MIN(0.01*(10+15*((2*I35+H35)/K35)),0.72))))</f>
        <v>0.72</v>
      </c>
      <c r="N35">
        <f t="shared" ca="1" si="15"/>
        <v>0</v>
      </c>
      <c r="O35">
        <f t="shared" ca="1" si="16"/>
        <v>0</v>
      </c>
      <c r="P35">
        <f>VLOOKUP(B35,外皮面積!$A$3:$N$8,14,FALSE)</f>
        <v>8.5035800748277414E-3</v>
      </c>
      <c r="Q35">
        <f t="shared" ca="1" si="17"/>
        <v>4.97</v>
      </c>
      <c r="R35">
        <f t="shared" ca="1" si="18"/>
        <v>0</v>
      </c>
      <c r="S35">
        <f t="shared" ca="1" si="19"/>
        <v>0</v>
      </c>
      <c r="T35">
        <f t="shared" ca="1" si="20"/>
        <v>4.97</v>
      </c>
      <c r="U35" cm="1">
        <f t="array" aca="1" ref="U35" ca="1">OFFSET(方位係数!$B$3,VALUE(計算条件!$B$3)-1,(_xlfn.IFS(E35="南",0,E35="西",2,E35="北",4,E35="東",6,E35="水平",8)))</f>
        <v>1</v>
      </c>
      <c r="V35" cm="1">
        <f t="array" aca="1" ref="V35" ca="1">OFFSET(方位係数!$C$3,VALUE(計算条件!$B$3)-1,(_xlfn.IFS(E35="南",0,E35="西",2,E35="北",4,E35="東",6,E35="水平",8)))</f>
        <v>1</v>
      </c>
      <c r="W35" cm="1">
        <f t="array" aca="1" ref="W35" ca="1">OFFSET(方位係数!$B$17,VALUE(計算条件!$B$3)-1,(_xlfn.IFS(E35="南",0,E35="西",2,E35="北",4,E35="東",6,E35="水平",_xlfn.IFS(B35="天井",8,OR(B35="床", B35="土間"),10))))</f>
        <v>1</v>
      </c>
      <c r="X35" cm="1">
        <f t="array" aca="1" ref="X35" ca="1">OFFSET(方位係数!$C$17,VALUE(計算条件!$B$3)-1,(_xlfn.IFS(E35="南",0,E35="西",2,E35="北",4,E35="東",6,E35="水平",_xlfn.IFS(B35="天井",8,OR(B35="床",B35="土間"),10))))</f>
        <v>1</v>
      </c>
    </row>
    <row r="36" spans="1:24">
      <c r="A36" s="104" t="s">
        <v>2093</v>
      </c>
      <c r="B36" s="107" t="s">
        <v>2115</v>
      </c>
      <c r="C36" s="109" cm="1">
        <f t="array" ref="C36">_xlfn.IFS(計算条件!$F$3="寒冷地",13.25,計算条件!$F$3="温暖地",13.25)</f>
        <v>13.25</v>
      </c>
      <c r="D36" s="113">
        <f t="shared" si="14"/>
        <v>13.25</v>
      </c>
      <c r="E36" s="120" t="s">
        <v>2078</v>
      </c>
      <c r="F36" s="112" cm="1">
        <f t="array" ref="F36">_xlfn.IFS(計算条件!$F$3="寒冷地",0,計算条件!$F$3="温暖地",0)</f>
        <v>0</v>
      </c>
      <c r="G36" s="145">
        <f ca="1">F36*外皮面積!$T$22</f>
        <v>0</v>
      </c>
      <c r="H36" cm="1">
        <f t="array" ref="H36">_xlfn.IFS(計算条件!$F$3="寒冷地",0,計算条件!$F$3="温暖地",0)</f>
        <v>0</v>
      </c>
      <c r="I36" cm="1">
        <f t="array" ref="I36">_xlfn.IFS(計算条件!$F$3="寒冷地",0,計算条件!$F$3="温暖地",0)</f>
        <v>0</v>
      </c>
      <c r="J36">
        <f t="shared" si="13"/>
        <v>0</v>
      </c>
      <c r="K36" cm="1">
        <f t="array" ref="K36">_xlfn.IFS(計算条件!$F$3="寒冷地",0,計算条件!$F$3="温暖地",0)</f>
        <v>0</v>
      </c>
      <c r="L36">
        <f>IF(K36=0,0.93,IF(計算条件!$B$3=8,IF(E36="南",MIN(0.01*(16+19*((2*I36+H36)/K36)),0.93),MIN(0.01*(16+24*((2*I36+H36)/K36)),0.93)),IF(E36="南",MIN(0.01*(24+9*((3*I36+H36)/K36)),0.93),MIN(0.01*(16+24*((2*I36+H36)/K36)),0.93))))</f>
        <v>0.93</v>
      </c>
      <c r="M36">
        <f>IF(K36=0,0.72,IF(計算条件!$B$3&lt;&gt;8,IF(E36="南",MIN(0.01*(5+20*((3*I36+H36)/K36)),0.72),MIN(0.01*(10+15*((2*I36+H36)/K36)),0.72))))</f>
        <v>0.72</v>
      </c>
      <c r="N36">
        <f t="shared" ca="1" si="15"/>
        <v>0</v>
      </c>
      <c r="O36">
        <f t="shared" ca="1" si="16"/>
        <v>0</v>
      </c>
      <c r="P36">
        <f>VLOOKUP(B36,外皮面積!$A$3:$N$8,14,FALSE)</f>
        <v>8.5035800748277414E-3</v>
      </c>
      <c r="Q36">
        <f t="shared" ca="1" si="17"/>
        <v>13.25</v>
      </c>
      <c r="R36">
        <f t="shared" ca="1" si="18"/>
        <v>0</v>
      </c>
      <c r="S36">
        <f t="shared" ca="1" si="19"/>
        <v>0</v>
      </c>
      <c r="T36">
        <f t="shared" ca="1" si="20"/>
        <v>13.25</v>
      </c>
      <c r="U36" cm="1">
        <f t="array" aca="1" ref="U36" ca="1">OFFSET(方位係数!$B$3,VALUE(計算条件!$B$3)-1,(_xlfn.IFS(E36="南",0,E36="西",2,E36="北",4,E36="東",6,E36="水平",8)))</f>
        <v>1</v>
      </c>
      <c r="V36" cm="1">
        <f t="array" aca="1" ref="V36" ca="1">OFFSET(方位係数!$C$3,VALUE(計算条件!$B$3)-1,(_xlfn.IFS(E36="南",0,E36="西",2,E36="北",4,E36="東",6,E36="水平",8)))</f>
        <v>1</v>
      </c>
      <c r="W36" cm="1">
        <f t="array" aca="1" ref="W36" ca="1">OFFSET(方位係数!$B$17,VALUE(計算条件!$B$3)-1,(_xlfn.IFS(E36="南",0,E36="西",2,E36="北",4,E36="東",6,E36="水平",_xlfn.IFS(B36="天井",8,OR(B36="床", B36="土間"),10))))</f>
        <v>1</v>
      </c>
      <c r="X36" cm="1">
        <f t="array" aca="1" ref="X36" ca="1">OFFSET(方位係数!$C$17,VALUE(計算条件!$B$3)-1,(_xlfn.IFS(E36="南",0,E36="西",2,E36="北",4,E36="東",6,E36="水平",_xlfn.IFS(B36="天井",8,OR(B36="床",B36="土間"),10))))</f>
        <v>1</v>
      </c>
    </row>
    <row r="37" spans="1:24">
      <c r="A37" s="104" t="s">
        <v>2094</v>
      </c>
      <c r="B37" s="107" t="s">
        <v>2115</v>
      </c>
      <c r="C37" s="109" cm="1">
        <f t="array" ref="C37">_xlfn.IFS(計算条件!$F$3="寒冷地",10.77,計算条件!$F$3="温暖地",10.77)</f>
        <v>10.77</v>
      </c>
      <c r="D37" s="113">
        <f t="shared" si="14"/>
        <v>10.77</v>
      </c>
      <c r="E37" s="120" t="s">
        <v>2078</v>
      </c>
      <c r="F37" s="112" cm="1">
        <f t="array" ref="F37">_xlfn.IFS(計算条件!$F$3="寒冷地",0,計算条件!$F$3="温暖地",0)</f>
        <v>0</v>
      </c>
      <c r="G37" s="145">
        <f ca="1">F37*外皮面積!$T$22</f>
        <v>0</v>
      </c>
      <c r="H37" cm="1">
        <f t="array" ref="H37">_xlfn.IFS(計算条件!$F$3="寒冷地",0,計算条件!$F$3="温暖地",0)</f>
        <v>0</v>
      </c>
      <c r="I37" cm="1">
        <f t="array" ref="I37">_xlfn.IFS(計算条件!$F$3="寒冷地",0,計算条件!$F$3="温暖地",0)</f>
        <v>0</v>
      </c>
      <c r="J37">
        <f t="shared" si="13"/>
        <v>0</v>
      </c>
      <c r="K37" cm="1">
        <f t="array" ref="K37">_xlfn.IFS(計算条件!$F$3="寒冷地",0,計算条件!$F$3="温暖地",0)</f>
        <v>0</v>
      </c>
      <c r="L37">
        <f>IF(K37=0,0.93,IF(計算条件!$B$3=8,IF(E37="南",MIN(0.01*(16+19*((2*I37+H37)/K37)),0.93),MIN(0.01*(16+24*((2*I37+H37)/K37)),0.93)),IF(E37="南",MIN(0.01*(24+9*((3*I37+H37)/K37)),0.93),MIN(0.01*(16+24*((2*I37+H37)/K37)),0.93))))</f>
        <v>0.93</v>
      </c>
      <c r="M37">
        <f>IF(K37=0,0.72,IF(計算条件!$B$3&lt;&gt;8,IF(E37="南",MIN(0.01*(5+20*((3*I37+H37)/K37)),0.72),MIN(0.01*(10+15*((2*I37+H37)/K37)),0.72))))</f>
        <v>0.72</v>
      </c>
      <c r="N37">
        <f t="shared" ca="1" si="15"/>
        <v>0</v>
      </c>
      <c r="O37">
        <f t="shared" ca="1" si="16"/>
        <v>0</v>
      </c>
      <c r="P37">
        <f>VLOOKUP(B37,外皮面積!$A$3:$N$8,14,FALSE)</f>
        <v>8.5035800748277414E-3</v>
      </c>
      <c r="Q37">
        <f t="shared" ca="1" si="17"/>
        <v>10.77</v>
      </c>
      <c r="R37">
        <f t="shared" ca="1" si="18"/>
        <v>0</v>
      </c>
      <c r="S37">
        <f t="shared" ca="1" si="19"/>
        <v>0</v>
      </c>
      <c r="T37">
        <f t="shared" ca="1" si="20"/>
        <v>10.77</v>
      </c>
      <c r="U37" cm="1">
        <f t="array" aca="1" ref="U37" ca="1">OFFSET(方位係数!$B$3,VALUE(計算条件!$B$3)-1,(_xlfn.IFS(E37="南",0,E37="西",2,E37="北",4,E37="東",6,E37="水平",8)))</f>
        <v>1</v>
      </c>
      <c r="V37" cm="1">
        <f t="array" aca="1" ref="V37" ca="1">OFFSET(方位係数!$C$3,VALUE(計算条件!$B$3)-1,(_xlfn.IFS(E37="南",0,E37="西",2,E37="北",4,E37="東",6,E37="水平",8)))</f>
        <v>1</v>
      </c>
      <c r="W37" cm="1">
        <f t="array" aca="1" ref="W37" ca="1">OFFSET(方位係数!$B$17,VALUE(計算条件!$B$3)-1,(_xlfn.IFS(E37="南",0,E37="西",2,E37="北",4,E37="東",6,E37="水平",_xlfn.IFS(B37="天井",8,OR(B37="床", B37="土間"),10))))</f>
        <v>1</v>
      </c>
      <c r="X37" cm="1">
        <f t="array" aca="1" ref="X37" ca="1">OFFSET(方位係数!$C$17,VALUE(計算条件!$B$3)-1,(_xlfn.IFS(E37="南",0,E37="西",2,E37="北",4,E37="東",6,E37="水平",_xlfn.IFS(B37="天井",8,OR(B37="床",B37="土間"),10))))</f>
        <v>1</v>
      </c>
    </row>
    <row r="38" spans="1:24">
      <c r="A38" s="104" t="s">
        <v>2095</v>
      </c>
      <c r="B38" s="106" t="s">
        <v>2115</v>
      </c>
      <c r="C38" s="109" cm="1">
        <f t="array" ref="C38">_xlfn.IFS(計算条件!$F$3="寒冷地",10.77,計算条件!$F$3="温暖地",10.77)</f>
        <v>10.77</v>
      </c>
      <c r="D38" s="113">
        <f t="shared" si="14"/>
        <v>10.77</v>
      </c>
      <c r="E38" s="120" t="s">
        <v>2078</v>
      </c>
      <c r="F38" s="112" cm="1">
        <f t="array" ref="F38">_xlfn.IFS(計算条件!$F$3="寒冷地",0,計算条件!$F$3="温暖地",0)</f>
        <v>0</v>
      </c>
      <c r="G38" s="145">
        <f ca="1">F38*外皮面積!$T$22</f>
        <v>0</v>
      </c>
      <c r="H38" cm="1">
        <f t="array" ref="H38">_xlfn.IFS(計算条件!$F$3="寒冷地",0,計算条件!$F$3="温暖地",0)</f>
        <v>0</v>
      </c>
      <c r="I38" cm="1">
        <f t="array" ref="I38">_xlfn.IFS(計算条件!$F$3="寒冷地",0,計算条件!$F$3="温暖地",0)</f>
        <v>0</v>
      </c>
      <c r="J38">
        <f t="shared" si="13"/>
        <v>0</v>
      </c>
      <c r="K38" cm="1">
        <f t="array" ref="K38">_xlfn.IFS(計算条件!$F$3="寒冷地",0,計算条件!$F$3="温暖地",0)</f>
        <v>0</v>
      </c>
      <c r="L38">
        <f>IF(K38=0,0.93,IF(計算条件!$B$3=8,IF(E38="南",MIN(0.01*(16+19*((2*I38+H38)/K38)),0.93),MIN(0.01*(16+24*((2*I38+H38)/K38)),0.93)),IF(E38="南",MIN(0.01*(24+9*((3*I38+H38)/K38)),0.93),MIN(0.01*(16+24*((2*I38+H38)/K38)),0.93))))</f>
        <v>0.93</v>
      </c>
      <c r="M38">
        <f>IF(K38=0,0.72,IF(計算条件!$B$3&lt;&gt;8,IF(E38="南",MIN(0.01*(5+20*((3*I38+H38)/K38)),0.72),MIN(0.01*(10+15*((2*I38+H38)/K38)),0.72))))</f>
        <v>0.72</v>
      </c>
      <c r="N38">
        <f t="shared" ca="1" si="15"/>
        <v>0</v>
      </c>
      <c r="O38">
        <f t="shared" ca="1" si="16"/>
        <v>0</v>
      </c>
      <c r="P38">
        <f>VLOOKUP(B38,外皮面積!$A$3:$N$8,14,FALSE)</f>
        <v>8.5035800748277414E-3</v>
      </c>
      <c r="Q38">
        <f t="shared" ca="1" si="17"/>
        <v>10.77</v>
      </c>
      <c r="R38">
        <f t="shared" ca="1" si="18"/>
        <v>0</v>
      </c>
      <c r="S38">
        <f t="shared" ca="1" si="19"/>
        <v>0</v>
      </c>
      <c r="T38">
        <f t="shared" ca="1" si="20"/>
        <v>10.77</v>
      </c>
      <c r="U38" cm="1">
        <f t="array" aca="1" ref="U38" ca="1">OFFSET(方位係数!$B$3,VALUE(計算条件!$B$3)-1,(_xlfn.IFS(E38="南",0,E38="西",2,E38="北",4,E38="東",6,E38="水平",8)))</f>
        <v>1</v>
      </c>
      <c r="V38" cm="1">
        <f t="array" aca="1" ref="V38" ca="1">OFFSET(方位係数!$C$3,VALUE(計算条件!$B$3)-1,(_xlfn.IFS(E38="南",0,E38="西",2,E38="北",4,E38="東",6,E38="水平",8)))</f>
        <v>1</v>
      </c>
      <c r="W38" cm="1">
        <f t="array" aca="1" ref="W38" ca="1">OFFSET(方位係数!$B$17,VALUE(計算条件!$B$3)-1,(_xlfn.IFS(E38="南",0,E38="西",2,E38="北",4,E38="東",6,E38="水平",_xlfn.IFS(B38="天井",8,OR(B38="床", B38="土間"),10))))</f>
        <v>1</v>
      </c>
      <c r="X38" cm="1">
        <f t="array" aca="1" ref="X38" ca="1">OFFSET(方位係数!$C$17,VALUE(計算条件!$B$3)-1,(_xlfn.IFS(E38="南",0,E38="西",2,E38="北",4,E38="東",6,E38="水平",_xlfn.IFS(B38="天井",8,OR(B38="床",B38="土間"),10))))</f>
        <v>1</v>
      </c>
    </row>
    <row r="39" spans="1:24">
      <c r="A39" s="104" t="s">
        <v>2116</v>
      </c>
      <c r="B39" s="107" t="s">
        <v>2115</v>
      </c>
      <c r="C39" s="109" cm="1">
        <f t="array" ref="C39">_xlfn.IFS(計算条件!$F$3="寒冷地",9.11,計算条件!$F$3="温暖地",9.11)</f>
        <v>9.11</v>
      </c>
      <c r="D39" s="113">
        <f t="shared" si="14"/>
        <v>9.11</v>
      </c>
      <c r="E39" s="120" t="s">
        <v>2078</v>
      </c>
      <c r="F39" s="112" cm="1">
        <f t="array" ref="F39">_xlfn.IFS(計算条件!$F$3="寒冷地",0,計算条件!$F$3="温暖地",0)</f>
        <v>0</v>
      </c>
      <c r="G39" s="145">
        <f ca="1">F39*外皮面積!$T$22</f>
        <v>0</v>
      </c>
      <c r="H39" cm="1">
        <f t="array" ref="H39">_xlfn.IFS(計算条件!$F$3="寒冷地",0,計算条件!$F$3="温暖地",0)</f>
        <v>0</v>
      </c>
      <c r="I39" cm="1">
        <f t="array" ref="I39">_xlfn.IFS(計算条件!$F$3="寒冷地",0,計算条件!$F$3="温暖地",0)</f>
        <v>0</v>
      </c>
      <c r="J39">
        <f t="shared" si="13"/>
        <v>0</v>
      </c>
      <c r="K39" cm="1">
        <f t="array" ref="K39">_xlfn.IFS(計算条件!$F$3="寒冷地",0,計算条件!$F$3="温暖地",0)</f>
        <v>0</v>
      </c>
      <c r="L39">
        <f>IF(K39=0,0.93,IF(計算条件!$B$3=8,IF(E39="南",MIN(0.01*(16+19*((2*I39+H39)/K39)),0.93),MIN(0.01*(16+24*((2*I39+H39)/K39)),0.93)),IF(E39="南",MIN(0.01*(24+9*((3*I39+H39)/K39)),0.93),MIN(0.01*(16+24*((2*I39+H39)/K39)),0.93))))</f>
        <v>0.93</v>
      </c>
      <c r="M39">
        <f>IF(K39=0,0.72,IF(計算条件!$B$3&lt;&gt;8,IF(E39="南",MIN(0.01*(5+20*((3*I39+H39)/K39)),0.72),MIN(0.01*(10+15*((2*I39+H39)/K39)),0.72))))</f>
        <v>0.72</v>
      </c>
      <c r="N39">
        <f t="shared" ca="1" si="15"/>
        <v>0</v>
      </c>
      <c r="O39">
        <f t="shared" ca="1" si="16"/>
        <v>0</v>
      </c>
      <c r="P39">
        <f>VLOOKUP(B39,外皮面積!$A$3:$N$8,14,FALSE)</f>
        <v>8.5035800748277414E-3</v>
      </c>
      <c r="Q39">
        <f t="shared" ca="1" si="17"/>
        <v>9.11</v>
      </c>
      <c r="R39">
        <f t="shared" ca="1" si="18"/>
        <v>0</v>
      </c>
      <c r="S39">
        <f t="shared" ca="1" si="19"/>
        <v>0</v>
      </c>
      <c r="T39">
        <f t="shared" ca="1" si="20"/>
        <v>9.11</v>
      </c>
      <c r="U39" cm="1">
        <f t="array" aca="1" ref="U39" ca="1">OFFSET(方位係数!$B$3,VALUE(計算条件!$B$3)-1,(_xlfn.IFS(E39="南",0,E39="西",2,E39="北",4,E39="東",6,E39="水平",8)))</f>
        <v>1</v>
      </c>
      <c r="V39" cm="1">
        <f t="array" aca="1" ref="V39" ca="1">OFFSET(方位係数!$C$3,VALUE(計算条件!$B$3)-1,(_xlfn.IFS(E39="南",0,E39="西",2,E39="北",4,E39="東",6,E39="水平",8)))</f>
        <v>1</v>
      </c>
      <c r="W39" cm="1">
        <f t="array" aca="1" ref="W39" ca="1">OFFSET(方位係数!$B$17,VALUE(計算条件!$B$3)-1,(_xlfn.IFS(E39="南",0,E39="西",2,E39="北",4,E39="東",6,E39="水平",_xlfn.IFS(B39="天井",8,OR(B39="床", B39="土間"),10))))</f>
        <v>1</v>
      </c>
      <c r="X39" cm="1">
        <f t="array" aca="1" ref="X39" ca="1">OFFSET(方位係数!$C$17,VALUE(計算条件!$B$3)-1,(_xlfn.IFS(E39="南",0,E39="西",2,E39="北",4,E39="東",6,E39="水平",_xlfn.IFS(B39="天井",8,OR(B39="床",B39="土間"),10))))</f>
        <v>1</v>
      </c>
    </row>
    <row r="40" spans="1:24">
      <c r="A40" s="104" t="s">
        <v>2117</v>
      </c>
      <c r="B40" s="106" t="s">
        <v>2115</v>
      </c>
      <c r="C40" s="109" cm="1">
        <f t="array" ref="C40">_xlfn.IFS(計算条件!$F$3="寒冷地",1.66,計算条件!$F$3="温暖地",1.66)</f>
        <v>1.66</v>
      </c>
      <c r="D40" s="113">
        <f t="shared" si="14"/>
        <v>1.66</v>
      </c>
      <c r="E40" s="120" t="s">
        <v>2078</v>
      </c>
      <c r="F40" s="112" cm="1">
        <f t="array" ref="F40">_xlfn.IFS(計算条件!$F$3="寒冷地",0,計算条件!$F$3="温暖地",0)</f>
        <v>0</v>
      </c>
      <c r="G40" s="145">
        <f ca="1">F40*外皮面積!$T$22</f>
        <v>0</v>
      </c>
      <c r="H40" cm="1">
        <f t="array" ref="H40">_xlfn.IFS(計算条件!$F$3="寒冷地",0,計算条件!$F$3="温暖地",0)</f>
        <v>0</v>
      </c>
      <c r="I40" cm="1">
        <f t="array" ref="I40">_xlfn.IFS(計算条件!$F$3="寒冷地",0,計算条件!$F$3="温暖地",0)</f>
        <v>0</v>
      </c>
      <c r="J40">
        <f t="shared" si="13"/>
        <v>0</v>
      </c>
      <c r="K40" cm="1">
        <f t="array" ref="K40">_xlfn.IFS(計算条件!$F$3="寒冷地",0,計算条件!$F$3="温暖地",0)</f>
        <v>0</v>
      </c>
      <c r="L40">
        <f>IF(K40=0,0.93,IF(計算条件!$B$3=8,IF(E40="南",MIN(0.01*(16+19*((2*I40+H40)/K40)),0.93),MIN(0.01*(16+24*((2*I40+H40)/K40)),0.93)),IF(E40="南",MIN(0.01*(24+9*((3*I40+H40)/K40)),0.93),MIN(0.01*(16+24*((2*I40+H40)/K40)),0.93))))</f>
        <v>0.93</v>
      </c>
      <c r="M40">
        <f>IF(K40=0,0.72,IF(計算条件!$B$3&lt;&gt;8,IF(E40="南",MIN(0.01*(5+20*((3*I40+H40)/K40)),0.72),MIN(0.01*(10+15*((2*I40+H40)/K40)),0.72))))</f>
        <v>0.72</v>
      </c>
      <c r="N40">
        <f t="shared" ca="1" si="15"/>
        <v>0</v>
      </c>
      <c r="O40">
        <f t="shared" ca="1" si="16"/>
        <v>0</v>
      </c>
      <c r="P40">
        <f>VLOOKUP(B40,外皮面積!$A$3:$N$8,14,FALSE)</f>
        <v>8.5035800748277414E-3</v>
      </c>
      <c r="Q40">
        <f t="shared" ca="1" si="17"/>
        <v>1.66</v>
      </c>
      <c r="R40">
        <f t="shared" ca="1" si="18"/>
        <v>0</v>
      </c>
      <c r="S40">
        <f t="shared" ca="1" si="19"/>
        <v>0</v>
      </c>
      <c r="T40">
        <f t="shared" ca="1" si="20"/>
        <v>1.66</v>
      </c>
      <c r="U40" cm="1">
        <f t="array" aca="1" ref="U40" ca="1">OFFSET(方位係数!$B$3,VALUE(計算条件!$B$3)-1,(_xlfn.IFS(E40="南",0,E40="西",2,E40="北",4,E40="東",6,E40="水平",8)))</f>
        <v>1</v>
      </c>
      <c r="V40" cm="1">
        <f t="array" aca="1" ref="V40" ca="1">OFFSET(方位係数!$C$3,VALUE(計算条件!$B$3)-1,(_xlfn.IFS(E40="南",0,E40="西",2,E40="北",4,E40="東",6,E40="水平",8)))</f>
        <v>1</v>
      </c>
      <c r="W40" cm="1">
        <f t="array" aca="1" ref="W40" ca="1">OFFSET(方位係数!$B$17,VALUE(計算条件!$B$3)-1,(_xlfn.IFS(E40="南",0,E40="西",2,E40="北",4,E40="東",6,E40="水平",_xlfn.IFS(B40="天井",8,OR(B40="床", B40="土間"),10))))</f>
        <v>1</v>
      </c>
      <c r="X40" cm="1">
        <f t="array" aca="1" ref="X40" ca="1">OFFSET(方位係数!$C$17,VALUE(計算条件!$B$3)-1,(_xlfn.IFS(E40="南",0,E40="西",2,E40="北",4,E40="東",6,E40="水平",_xlfn.IFS(B40="天井",8,OR(B40="床",B40="土間"),10))))</f>
        <v>1</v>
      </c>
    </row>
    <row r="41" spans="1:24">
      <c r="A41" s="104" t="s">
        <v>2112</v>
      </c>
      <c r="B41" s="107" t="s">
        <v>2115</v>
      </c>
      <c r="C41" s="109" cm="1">
        <f t="array" ref="C41">_xlfn.IFS(計算条件!$F$3="寒冷地",1.66,計算条件!$F$3="温暖地",1.66)</f>
        <v>1.66</v>
      </c>
      <c r="D41" s="113">
        <f t="shared" si="14"/>
        <v>1.66</v>
      </c>
      <c r="E41" s="120" t="s">
        <v>2078</v>
      </c>
      <c r="F41" s="112" cm="1">
        <f t="array" ref="F41">_xlfn.IFS(計算条件!$F$3="寒冷地",0,計算条件!$F$3="温暖地",0)</f>
        <v>0</v>
      </c>
      <c r="G41" s="145">
        <f ca="1">F41*外皮面積!$T$22</f>
        <v>0</v>
      </c>
      <c r="H41" cm="1">
        <f t="array" ref="H41">_xlfn.IFS(計算条件!$F$3="寒冷地",0,計算条件!$F$3="温暖地",0)</f>
        <v>0</v>
      </c>
      <c r="I41" cm="1">
        <f t="array" ref="I41">_xlfn.IFS(計算条件!$F$3="寒冷地",0,計算条件!$F$3="温暖地",0)</f>
        <v>0</v>
      </c>
      <c r="J41">
        <f t="shared" si="13"/>
        <v>0</v>
      </c>
      <c r="K41" cm="1">
        <f t="array" ref="K41">_xlfn.IFS(計算条件!$F$3="寒冷地",0,計算条件!$F$3="温暖地",0)</f>
        <v>0</v>
      </c>
      <c r="L41">
        <f>IF(K41=0,0.93,IF(計算条件!$B$3=8,IF(E41="南",MIN(0.01*(16+19*((2*I41+H41)/K41)),0.93),MIN(0.01*(16+24*((2*I41+H41)/K41)),0.93)),IF(E41="南",MIN(0.01*(24+9*((3*I41+H41)/K41)),0.93),MIN(0.01*(16+24*((2*I41+H41)/K41)),0.93))))</f>
        <v>0.93</v>
      </c>
      <c r="M41">
        <f>IF(K41=0,0.72,IF(計算条件!$B$3&lt;&gt;8,IF(E41="南",MIN(0.01*(5+20*((3*I41+H41)/K41)),0.72),MIN(0.01*(10+15*((2*I41+H41)/K41)),0.72))))</f>
        <v>0.72</v>
      </c>
      <c r="N41">
        <f t="shared" ca="1" si="15"/>
        <v>0</v>
      </c>
      <c r="O41">
        <f t="shared" ca="1" si="16"/>
        <v>0</v>
      </c>
      <c r="P41">
        <f>VLOOKUP(B41,外皮面積!$A$3:$N$8,14,FALSE)</f>
        <v>8.5035800748277414E-3</v>
      </c>
      <c r="Q41">
        <f t="shared" ca="1" si="17"/>
        <v>1.66</v>
      </c>
      <c r="R41">
        <f t="shared" ca="1" si="18"/>
        <v>0</v>
      </c>
      <c r="S41">
        <f t="shared" ca="1" si="19"/>
        <v>0</v>
      </c>
      <c r="T41">
        <f t="shared" ca="1" si="20"/>
        <v>1.66</v>
      </c>
      <c r="U41" cm="1">
        <f t="array" aca="1" ref="U41" ca="1">OFFSET(方位係数!$B$3,VALUE(計算条件!$B$3)-1,(_xlfn.IFS(E41="南",0,E41="西",2,E41="北",4,E41="東",6,E41="水平",8)))</f>
        <v>1</v>
      </c>
      <c r="V41" cm="1">
        <f t="array" aca="1" ref="V41" ca="1">OFFSET(方位係数!$C$3,VALUE(計算条件!$B$3)-1,(_xlfn.IFS(E41="南",0,E41="西",2,E41="北",4,E41="東",6,E41="水平",8)))</f>
        <v>1</v>
      </c>
      <c r="W41" cm="1">
        <f t="array" aca="1" ref="W41" ca="1">OFFSET(方位係数!$B$17,VALUE(計算条件!$B$3)-1,(_xlfn.IFS(E41="南",0,E41="西",2,E41="北",4,E41="東",6,E41="水平",_xlfn.IFS(B41="天井",8,OR(B41="床", B41="土間"),10))))</f>
        <v>1</v>
      </c>
      <c r="X41" cm="1">
        <f t="array" aca="1" ref="X41" ca="1">OFFSET(方位係数!$C$17,VALUE(計算条件!$B$3)-1,(_xlfn.IFS(E41="南",0,E41="西",2,E41="北",4,E41="東",6,E41="水平",_xlfn.IFS(B41="天井",8,OR(B41="床",B41="土間"),10))))</f>
        <v>1</v>
      </c>
    </row>
    <row r="42" spans="1:24">
      <c r="A42" s="123" t="s">
        <v>2090</v>
      </c>
      <c r="B42" s="105" t="s">
        <v>2118</v>
      </c>
      <c r="C42" s="109" cm="1">
        <f t="array" ref="C42">_xlfn.IFS(計算条件!$F$3="寒冷地",16.56,計算条件!$F$3="温暖地",16.56)</f>
        <v>16.559999999999999</v>
      </c>
      <c r="D42" s="113">
        <f t="shared" ref="D42:D44" si="21">C42-F42</f>
        <v>16.559999999999999</v>
      </c>
      <c r="E42" s="120" t="s">
        <v>2078</v>
      </c>
      <c r="F42" s="112" cm="1">
        <f t="array" ref="F42">_xlfn.IFS(計算条件!$F$3="寒冷地",0,計算条件!$F$3="温暖地",0)</f>
        <v>0</v>
      </c>
      <c r="G42" s="145">
        <f ca="1">F42*外皮面積!$T$22</f>
        <v>0</v>
      </c>
      <c r="H42" cm="1">
        <f t="array" ref="H42">_xlfn.IFS(計算条件!$F$3="寒冷地",0,計算条件!$F$3="温暖地",0)</f>
        <v>0</v>
      </c>
      <c r="I42" cm="1">
        <f t="array" ref="I42">_xlfn.IFS(計算条件!$F$3="寒冷地",0,計算条件!$F$3="温暖地",0)</f>
        <v>0</v>
      </c>
      <c r="J42">
        <f t="shared" si="13"/>
        <v>0</v>
      </c>
      <c r="K42" cm="1">
        <f t="array" ref="K42">_xlfn.IFS(計算条件!$F$3="寒冷地",0,計算条件!$F$3="温暖地",0)</f>
        <v>0</v>
      </c>
      <c r="L42">
        <f>IF(K42=0,0.93,IF(計算条件!$B$3=8,IF(E42="南",MIN(0.01*(16+19*((2*I42+H42)/K42)),0.93),MIN(0.01*(16+24*((2*I42+H42)/K42)),0.93)),IF(E42="南",MIN(0.01*(24+9*((3*I42+H42)/K42)),0.93),MIN(0.01*(16+24*((2*I42+H42)/K42)),0.93))))</f>
        <v>0.93</v>
      </c>
      <c r="M42">
        <f>IF(K42=0,0.72,IF(計算条件!$B$3&lt;&gt;8,IF(E42="南",MIN(0.01*(5+20*((3*I42+H42)/K42)),0.72),MIN(0.01*(10+15*((2*I42+H42)/K42)),0.72))))</f>
        <v>0.72</v>
      </c>
      <c r="N42">
        <f t="shared" ca="1" si="15"/>
        <v>0</v>
      </c>
      <c r="O42">
        <f t="shared" ca="1" si="16"/>
        <v>0</v>
      </c>
      <c r="P42">
        <f>VLOOKUP(B42,外皮面積!$A$3:$N$8,14,FALSE)</f>
        <v>1.7007160149655483E-2</v>
      </c>
      <c r="Q42">
        <f t="shared" ca="1" si="17"/>
        <v>0</v>
      </c>
      <c r="R42">
        <f t="shared" ca="1" si="18"/>
        <v>0</v>
      </c>
      <c r="S42">
        <f t="shared" ca="1" si="19"/>
        <v>0</v>
      </c>
      <c r="T42">
        <f t="shared" ca="1" si="20"/>
        <v>0</v>
      </c>
      <c r="U42" cm="1">
        <f t="array" aca="1" ref="U42" ca="1">OFFSET(方位係数!$B$3,VALUE(計算条件!$B$3)-1,(_xlfn.IFS(E42="南",0,E42="西",2,E42="北",4,E42="東",6,E42="水平",8)))</f>
        <v>1</v>
      </c>
      <c r="V42" cm="1">
        <f t="array" aca="1" ref="V42" ca="1">OFFSET(方位係数!$C$3,VALUE(計算条件!$B$3)-1,(_xlfn.IFS(E42="南",0,E42="西",2,E42="北",4,E42="東",6,E42="水平",8)))</f>
        <v>1</v>
      </c>
      <c r="W42" cm="1">
        <f t="array" aca="1" ref="W42" ca="1">OFFSET(方位係数!$B$17,VALUE(計算条件!$B$3)-1,(_xlfn.IFS(E42="南",0,E42="西",2,E42="北",4,E42="東",6,E42="水平",_xlfn.IFS(B42="天井",8,OR(B42="床", B42="土間"),10))))</f>
        <v>0</v>
      </c>
      <c r="X42" cm="1">
        <f t="array" aca="1" ref="X42" ca="1">OFFSET(方位係数!$C$17,VALUE(計算条件!$B$3)-1,(_xlfn.IFS(E42="南",0,E42="西",2,E42="北",4,E42="東",6,E42="水平",_xlfn.IFS(B42="天井",8,OR(B42="床",B42="土間"),10))))</f>
        <v>0</v>
      </c>
    </row>
    <row r="43" spans="1:24">
      <c r="A43" s="104" t="s">
        <v>9</v>
      </c>
      <c r="B43" s="105" t="s">
        <v>2118</v>
      </c>
      <c r="C43" s="109" cm="1">
        <f t="array" ref="C43">_xlfn.IFS(計算条件!$F$3="寒冷地",21.53,計算条件!$F$3="温暖地",21.53)</f>
        <v>21.53</v>
      </c>
      <c r="D43" s="113">
        <f t="shared" si="21"/>
        <v>21.53</v>
      </c>
      <c r="E43" s="120" t="s">
        <v>2078</v>
      </c>
      <c r="F43" s="112" cm="1">
        <f t="array" ref="F43">_xlfn.IFS(計算条件!$F$3="寒冷地",0,計算条件!$F$3="温暖地",0)</f>
        <v>0</v>
      </c>
      <c r="G43" s="145">
        <f ca="1">F43*外皮面積!$T$22</f>
        <v>0</v>
      </c>
      <c r="H43" cm="1">
        <f t="array" ref="H43">_xlfn.IFS(計算条件!$F$3="寒冷地",0,計算条件!$F$3="温暖地",0)</f>
        <v>0</v>
      </c>
      <c r="I43" cm="1">
        <f t="array" ref="I43">_xlfn.IFS(計算条件!$F$3="寒冷地",0,計算条件!$F$3="温暖地",0)</f>
        <v>0</v>
      </c>
      <c r="J43">
        <f t="shared" si="13"/>
        <v>0</v>
      </c>
      <c r="K43" cm="1">
        <f t="array" ref="K43">_xlfn.IFS(計算条件!$F$3="寒冷地",0,計算条件!$F$3="温暖地",0)</f>
        <v>0</v>
      </c>
      <c r="L43">
        <f>IF(K43=0,0.93,IF(計算条件!$B$3=8,IF(E43="南",MIN(0.01*(16+19*((2*I43+H43)/K43)),0.93),MIN(0.01*(16+24*((2*I43+H43)/K43)),0.93)),IF(E43="南",MIN(0.01*(24+9*((3*I43+H43)/K43)),0.93),MIN(0.01*(16+24*((2*I43+H43)/K43)),0.93))))</f>
        <v>0.93</v>
      </c>
      <c r="M43">
        <f>IF(K43=0,0.72,IF(計算条件!$B$3&lt;&gt;8,IF(E43="南",MIN(0.01*(5+20*((3*I43+H43)/K43)),0.72),MIN(0.01*(10+15*((2*I43+H43)/K43)),0.72))))</f>
        <v>0.72</v>
      </c>
      <c r="N43">
        <f t="shared" ca="1" si="15"/>
        <v>0</v>
      </c>
      <c r="O43">
        <f t="shared" ca="1" si="16"/>
        <v>0</v>
      </c>
      <c r="P43">
        <f>VLOOKUP(B43,外皮面積!$A$3:$N$8,14,FALSE)</f>
        <v>1.7007160149655483E-2</v>
      </c>
      <c r="Q43">
        <f t="shared" ca="1" si="17"/>
        <v>0</v>
      </c>
      <c r="R43">
        <f t="shared" ca="1" si="18"/>
        <v>0</v>
      </c>
      <c r="S43">
        <f t="shared" ca="1" si="19"/>
        <v>0</v>
      </c>
      <c r="T43">
        <f t="shared" ca="1" si="20"/>
        <v>0</v>
      </c>
      <c r="U43" cm="1">
        <f t="array" aca="1" ref="U43" ca="1">OFFSET(方位係数!$B$3,VALUE(計算条件!$B$3)-1,(_xlfn.IFS(E43="南",0,E43="西",2,E43="北",4,E43="東",6,E43="水平",8)))</f>
        <v>1</v>
      </c>
      <c r="V43" cm="1">
        <f t="array" aca="1" ref="V43" ca="1">OFFSET(方位係数!$C$3,VALUE(計算条件!$B$3)-1,(_xlfn.IFS(E43="南",0,E43="西",2,E43="北",4,E43="東",6,E43="水平",8)))</f>
        <v>1</v>
      </c>
      <c r="W43" cm="1">
        <f t="array" aca="1" ref="W43" ca="1">OFFSET(方位係数!$B$17,VALUE(計算条件!$B$3)-1,(_xlfn.IFS(E43="南",0,E43="西",2,E43="北",4,E43="東",6,E43="水平",_xlfn.IFS(B43="天井",8,OR(B43="床", B43="土間"),10))))</f>
        <v>0</v>
      </c>
      <c r="X43" cm="1">
        <f t="array" aca="1" ref="X43" ca="1">OFFSET(方位係数!$C$17,VALUE(計算条件!$B$3)-1,(_xlfn.IFS(E43="南",0,E43="西",2,E43="北",4,E43="東",6,E43="水平",_xlfn.IFS(B43="天井",8,OR(B43="床",B43="土間"),10))))</f>
        <v>0</v>
      </c>
    </row>
    <row r="44" spans="1:24">
      <c r="A44" s="104" t="s">
        <v>2108</v>
      </c>
      <c r="B44" s="105" t="s">
        <v>2118</v>
      </c>
      <c r="C44" s="109" cm="1">
        <f t="array" ref="C44">_xlfn.IFS(計算条件!$F$3="寒冷地",8.28,計算条件!$F$3="温暖地",8.28)</f>
        <v>8.2799999999999994</v>
      </c>
      <c r="D44" s="113">
        <f t="shared" si="21"/>
        <v>8.2799999999999994</v>
      </c>
      <c r="E44" s="120" t="s">
        <v>2078</v>
      </c>
      <c r="F44" s="112" cm="1">
        <f t="array" ref="F44">_xlfn.IFS(計算条件!$F$3="寒冷地",0,計算条件!$F$3="温暖地",0)</f>
        <v>0</v>
      </c>
      <c r="G44" s="145">
        <f ca="1">F44*外皮面積!$T$22</f>
        <v>0</v>
      </c>
      <c r="H44" cm="1">
        <f t="array" ref="H44">_xlfn.IFS(計算条件!$F$3="寒冷地",0,計算条件!$F$3="温暖地",0)</f>
        <v>0</v>
      </c>
      <c r="I44" cm="1">
        <f t="array" ref="I44">_xlfn.IFS(計算条件!$F$3="寒冷地",0,計算条件!$F$3="温暖地",0)</f>
        <v>0</v>
      </c>
      <c r="J44">
        <f t="shared" si="13"/>
        <v>0</v>
      </c>
      <c r="K44" cm="1">
        <f t="array" ref="K44">_xlfn.IFS(計算条件!$F$3="寒冷地",0,計算条件!$F$3="温暖地",0)</f>
        <v>0</v>
      </c>
      <c r="L44">
        <f>IF(K44=0,0.93,IF(計算条件!$B$3=8,IF(E44="南",MIN(0.01*(16+19*((2*I44+H44)/K44)),0.93),MIN(0.01*(16+24*((2*I44+H44)/K44)),0.93)),IF(E44="南",MIN(0.01*(24+9*((3*I44+H44)/K44)),0.93),MIN(0.01*(16+24*((2*I44+H44)/K44)),0.93))))</f>
        <v>0.93</v>
      </c>
      <c r="M44">
        <f>IF(K44=0,0.72,IF(計算条件!$B$3&lt;&gt;8,IF(E44="南",MIN(0.01*(5+20*((3*I44+H44)/K44)),0.72),MIN(0.01*(10+15*((2*I44+H44)/K44)),0.72))))</f>
        <v>0.72</v>
      </c>
      <c r="N44">
        <f t="shared" ca="1" si="15"/>
        <v>0</v>
      </c>
      <c r="O44">
        <f t="shared" ca="1" si="16"/>
        <v>0</v>
      </c>
      <c r="P44">
        <f>VLOOKUP(B44,外皮面積!$A$3:$N$8,14,FALSE)</f>
        <v>1.7007160149655483E-2</v>
      </c>
      <c r="Q44">
        <f t="shared" ca="1" si="17"/>
        <v>0</v>
      </c>
      <c r="R44">
        <f t="shared" ca="1" si="18"/>
        <v>0</v>
      </c>
      <c r="S44">
        <f t="shared" ca="1" si="19"/>
        <v>0</v>
      </c>
      <c r="T44">
        <f t="shared" ca="1" si="20"/>
        <v>0</v>
      </c>
      <c r="U44" cm="1">
        <f t="array" aca="1" ref="U44" ca="1">OFFSET(方位係数!$B$3,VALUE(計算条件!$B$3)-1,(_xlfn.IFS(E44="南",0,E44="西",2,E44="北",4,E44="東",6,E44="水平",8)))</f>
        <v>1</v>
      </c>
      <c r="V44" cm="1">
        <f t="array" aca="1" ref="V44" ca="1">OFFSET(方位係数!$C$3,VALUE(計算条件!$B$3)-1,(_xlfn.IFS(E44="南",0,E44="西",2,E44="北",4,E44="東",6,E44="水平",8)))</f>
        <v>1</v>
      </c>
      <c r="W44" cm="1">
        <f t="array" aca="1" ref="W44" ca="1">OFFSET(方位係数!$B$17,VALUE(計算条件!$B$3)-1,(_xlfn.IFS(E44="南",0,E44="西",2,E44="北",4,E44="東",6,E44="水平",_xlfn.IFS(B44="天井",8,OR(B44="床", B44="土間"),10))))</f>
        <v>0</v>
      </c>
      <c r="X44" cm="1">
        <f t="array" aca="1" ref="X44" ca="1">OFFSET(方位係数!$C$17,VALUE(計算条件!$B$3)-1,(_xlfn.IFS(E44="南",0,E44="西",2,E44="北",4,E44="東",6,E44="水平",_xlfn.IFS(B44="天井",8,OR(B44="床",B44="土間"),10))))</f>
        <v>0</v>
      </c>
    </row>
    <row r="45" spans="1:24">
      <c r="A45" s="104" t="s">
        <v>2103</v>
      </c>
      <c r="B45" s="105" t="s">
        <v>2118</v>
      </c>
      <c r="C45" s="109" cm="1">
        <f t="array" ref="C45">_xlfn.IFS(計算条件!$F$3="寒冷地",3.31,計算条件!$F$3="温暖地",3.31)</f>
        <v>3.31</v>
      </c>
      <c r="D45" s="113">
        <f t="shared" ref="D45:D48" si="22">C45-F45</f>
        <v>3.31</v>
      </c>
      <c r="E45" s="120" t="s">
        <v>2078</v>
      </c>
      <c r="F45" s="112" cm="1">
        <f t="array" ref="F45">_xlfn.IFS(計算条件!$F$3="寒冷地",0,計算条件!$F$3="温暖地",0)</f>
        <v>0</v>
      </c>
      <c r="G45" s="145">
        <f ca="1">F45*外皮面積!$T$22</f>
        <v>0</v>
      </c>
      <c r="H45" cm="1">
        <f t="array" ref="H45">_xlfn.IFS(計算条件!$F$3="寒冷地",0,計算条件!$F$3="温暖地",0)</f>
        <v>0</v>
      </c>
      <c r="I45" cm="1">
        <f t="array" ref="I45">_xlfn.IFS(計算条件!$F$3="寒冷地",0,計算条件!$F$3="温暖地",0)</f>
        <v>0</v>
      </c>
      <c r="J45">
        <f t="shared" si="13"/>
        <v>0</v>
      </c>
      <c r="K45" cm="1">
        <f t="array" ref="K45">_xlfn.IFS(計算条件!$F$3="寒冷地",0,計算条件!$F$3="温暖地",0)</f>
        <v>0</v>
      </c>
      <c r="L45">
        <f>IF(K45=0,0.93,IF(計算条件!$B$3=8,IF(E45="南",MIN(0.01*(16+19*((2*I45+H45)/K45)),0.93),MIN(0.01*(16+24*((2*I45+H45)/K45)),0.93)),IF(E45="南",MIN(0.01*(24+9*((3*I45+H45)/K45)),0.93),MIN(0.01*(16+24*((2*I45+H45)/K45)),0.93))))</f>
        <v>0.93</v>
      </c>
      <c r="M45">
        <f>IF(K45=0,0.72,IF(計算条件!$B$3&lt;&gt;8,IF(E45="南",MIN(0.01*(5+20*((3*I45+H45)/K45)),0.72),MIN(0.01*(10+15*((2*I45+H45)/K45)),0.72))))</f>
        <v>0.72</v>
      </c>
      <c r="N45">
        <f t="shared" ca="1" si="15"/>
        <v>0</v>
      </c>
      <c r="O45">
        <f t="shared" ca="1" si="16"/>
        <v>0</v>
      </c>
      <c r="P45">
        <f>VLOOKUP(B45,外皮面積!$A$3:$N$8,14,FALSE)</f>
        <v>1.7007160149655483E-2</v>
      </c>
      <c r="Q45">
        <f t="shared" ca="1" si="17"/>
        <v>0</v>
      </c>
      <c r="R45">
        <f t="shared" ca="1" si="18"/>
        <v>0</v>
      </c>
      <c r="S45">
        <f t="shared" ca="1" si="19"/>
        <v>0</v>
      </c>
      <c r="T45">
        <f t="shared" ca="1" si="20"/>
        <v>0</v>
      </c>
      <c r="U45" cm="1">
        <f t="array" aca="1" ref="U45" ca="1">OFFSET(方位係数!$B$3,VALUE(計算条件!$B$3)-1,(_xlfn.IFS(E45="南",0,E45="西",2,E45="北",4,E45="東",6,E45="水平",8)))</f>
        <v>1</v>
      </c>
      <c r="V45" cm="1">
        <f t="array" aca="1" ref="V45" ca="1">OFFSET(方位係数!$C$3,VALUE(計算条件!$B$3)-1,(_xlfn.IFS(E45="南",0,E45="西",2,E45="北",4,E45="東",6,E45="水平",8)))</f>
        <v>1</v>
      </c>
      <c r="W45" cm="1">
        <f t="array" aca="1" ref="W45" ca="1">OFFSET(方位係数!$B$17,VALUE(計算条件!$B$3)-1,(_xlfn.IFS(E45="南",0,E45="西",2,E45="北",4,E45="東",6,E45="水平",_xlfn.IFS(B45="天井",8,OR(B45="床", B45="土間"),10))))</f>
        <v>0</v>
      </c>
      <c r="X45" cm="1">
        <f t="array" aca="1" ref="X45" ca="1">OFFSET(方位係数!$C$17,VALUE(計算条件!$B$3)-1,(_xlfn.IFS(E45="南",0,E45="西",2,E45="北",4,E45="東",6,E45="水平",_xlfn.IFS(B45="天井",8,OR(B45="床",B45="土間"),10))))</f>
        <v>0</v>
      </c>
    </row>
    <row r="46" spans="1:24">
      <c r="A46" s="104" t="s">
        <v>2110</v>
      </c>
      <c r="B46" s="105" t="s">
        <v>2118</v>
      </c>
      <c r="C46" s="109" cm="1">
        <f t="array" ref="C46">_xlfn.IFS(計算条件!$F$3="寒冷地",1.66,計算条件!$F$3="温暖地",1.66)</f>
        <v>1.66</v>
      </c>
      <c r="D46" s="113">
        <f t="shared" si="22"/>
        <v>1.66</v>
      </c>
      <c r="E46" s="120" t="s">
        <v>2078</v>
      </c>
      <c r="F46" s="112" cm="1">
        <f t="array" ref="F46">_xlfn.IFS(計算条件!$F$3="寒冷地",0,計算条件!$F$3="温暖地",0)</f>
        <v>0</v>
      </c>
      <c r="G46" s="145">
        <f ca="1">F46*外皮面積!$T$22</f>
        <v>0</v>
      </c>
      <c r="H46" cm="1">
        <f t="array" ref="H46">_xlfn.IFS(計算条件!$F$3="寒冷地",0,計算条件!$F$3="温暖地",0)</f>
        <v>0</v>
      </c>
      <c r="I46" cm="1">
        <f t="array" ref="I46">_xlfn.IFS(計算条件!$F$3="寒冷地",0,計算条件!$F$3="温暖地",0)</f>
        <v>0</v>
      </c>
      <c r="J46">
        <f t="shared" si="13"/>
        <v>0</v>
      </c>
      <c r="K46" cm="1">
        <f t="array" ref="K46">_xlfn.IFS(計算条件!$F$3="寒冷地",0,計算条件!$F$3="温暖地",0)</f>
        <v>0</v>
      </c>
      <c r="L46">
        <f>IF(K46=0,0.93,IF(計算条件!$B$3=8,IF(E46="南",MIN(0.01*(16+19*((2*I46+H46)/K46)),0.93),MIN(0.01*(16+24*((2*I46+H46)/K46)),0.93)),IF(E46="南",MIN(0.01*(24+9*((3*I46+H46)/K46)),0.93),MIN(0.01*(16+24*((2*I46+H46)/K46)),0.93))))</f>
        <v>0.93</v>
      </c>
      <c r="M46">
        <f>IF(K46=0,0.72,IF(計算条件!$B$3&lt;&gt;8,IF(E46="南",MIN(0.01*(5+20*((3*I46+H46)/K46)),0.72),MIN(0.01*(10+15*((2*I46+H46)/K46)),0.72))))</f>
        <v>0.72</v>
      </c>
      <c r="N46">
        <f t="shared" ca="1" si="15"/>
        <v>0</v>
      </c>
      <c r="O46">
        <f t="shared" ca="1" si="16"/>
        <v>0</v>
      </c>
      <c r="P46">
        <f>VLOOKUP(B46,外皮面積!$A$3:$N$8,14,FALSE)</f>
        <v>1.7007160149655483E-2</v>
      </c>
      <c r="Q46">
        <f t="shared" ca="1" si="17"/>
        <v>0</v>
      </c>
      <c r="R46">
        <f t="shared" ca="1" si="18"/>
        <v>0</v>
      </c>
      <c r="S46">
        <f t="shared" ca="1" si="19"/>
        <v>0</v>
      </c>
      <c r="T46">
        <f t="shared" ca="1" si="20"/>
        <v>0</v>
      </c>
      <c r="U46" cm="1">
        <f t="array" aca="1" ref="U46" ca="1">OFFSET(方位係数!$B$3,VALUE(計算条件!$B$3)-1,(_xlfn.IFS(E46="南",0,E46="西",2,E46="北",4,E46="東",6,E46="水平",8)))</f>
        <v>1</v>
      </c>
      <c r="V46" cm="1">
        <f t="array" aca="1" ref="V46" ca="1">OFFSET(方位係数!$C$3,VALUE(計算条件!$B$3)-1,(_xlfn.IFS(E46="南",0,E46="西",2,E46="北",4,E46="東",6,E46="水平",8)))</f>
        <v>1</v>
      </c>
      <c r="W46" cm="1">
        <f t="array" aca="1" ref="W46" ca="1">OFFSET(方位係数!$B$17,VALUE(計算条件!$B$3)-1,(_xlfn.IFS(E46="南",0,E46="西",2,E46="北",4,E46="東",6,E46="水平",_xlfn.IFS(B46="天井",8,OR(B46="床", B46="土間"),10))))</f>
        <v>0</v>
      </c>
      <c r="X46" cm="1">
        <f t="array" aca="1" ref="X46" ca="1">OFFSET(方位係数!$C$17,VALUE(計算条件!$B$3)-1,(_xlfn.IFS(E46="南",0,E46="西",2,E46="北",4,E46="東",6,E46="水平",_xlfn.IFS(B46="天井",8,OR(B46="床",B46="土間"),10))))</f>
        <v>0</v>
      </c>
    </row>
    <row r="47" spans="1:24">
      <c r="A47" s="104" t="s">
        <v>2111</v>
      </c>
      <c r="B47" s="105" t="s">
        <v>2118</v>
      </c>
      <c r="C47" s="109" cm="1">
        <f t="array" ref="C47">_xlfn.IFS(計算条件!$F$3="寒冷地",3.31,計算条件!$F$3="温暖地",3.31)</f>
        <v>3.31</v>
      </c>
      <c r="D47" s="113">
        <f t="shared" si="22"/>
        <v>3.31</v>
      </c>
      <c r="E47" s="120" t="s">
        <v>2078</v>
      </c>
      <c r="F47" s="112" cm="1">
        <f t="array" ref="F47">_xlfn.IFS(計算条件!$F$3="寒冷地",0,計算条件!$F$3="温暖地",0)</f>
        <v>0</v>
      </c>
      <c r="G47" s="145">
        <f ca="1">F47*外皮面積!$T$22</f>
        <v>0</v>
      </c>
      <c r="H47" cm="1">
        <f t="array" ref="H47">_xlfn.IFS(計算条件!$F$3="寒冷地",0,計算条件!$F$3="温暖地",0)</f>
        <v>0</v>
      </c>
      <c r="I47" cm="1">
        <f t="array" ref="I47">_xlfn.IFS(計算条件!$F$3="寒冷地",0,計算条件!$F$3="温暖地",0)</f>
        <v>0</v>
      </c>
      <c r="J47">
        <f t="shared" si="13"/>
        <v>0</v>
      </c>
      <c r="K47" cm="1">
        <f t="array" ref="K47">_xlfn.IFS(計算条件!$F$3="寒冷地",0,計算条件!$F$3="温暖地",0)</f>
        <v>0</v>
      </c>
      <c r="L47">
        <f>IF(K47=0,0.93,IF(計算条件!$B$3=8,IF(E47="南",MIN(0.01*(16+19*((2*I47+H47)/K47)),0.93),MIN(0.01*(16+24*((2*I47+H47)/K47)),0.93)),IF(E47="南",MIN(0.01*(24+9*((3*I47+H47)/K47)),0.93),MIN(0.01*(16+24*((2*I47+H47)/K47)),0.93))))</f>
        <v>0.93</v>
      </c>
      <c r="M47">
        <f>IF(K47=0,0.72,IF(計算条件!$B$3&lt;&gt;8,IF(E47="南",MIN(0.01*(5+20*((3*I47+H47)/K47)),0.72),MIN(0.01*(10+15*((2*I47+H47)/K47)),0.72))))</f>
        <v>0.72</v>
      </c>
      <c r="N47">
        <f t="shared" ca="1" si="15"/>
        <v>0</v>
      </c>
      <c r="O47">
        <f t="shared" ca="1" si="16"/>
        <v>0</v>
      </c>
      <c r="P47">
        <f>VLOOKUP(B47,外皮面積!$A$3:$N$8,14,FALSE)</f>
        <v>1.7007160149655483E-2</v>
      </c>
      <c r="Q47">
        <f t="shared" ca="1" si="17"/>
        <v>0</v>
      </c>
      <c r="R47">
        <f t="shared" ca="1" si="18"/>
        <v>0</v>
      </c>
      <c r="S47">
        <f t="shared" ca="1" si="19"/>
        <v>0</v>
      </c>
      <c r="T47">
        <f t="shared" ca="1" si="20"/>
        <v>0</v>
      </c>
      <c r="U47" cm="1">
        <f t="array" aca="1" ref="U47" ca="1">OFFSET(方位係数!$B$3,VALUE(計算条件!$B$3)-1,(_xlfn.IFS(E47="南",0,E47="西",2,E47="北",4,E47="東",6,E47="水平",8)))</f>
        <v>1</v>
      </c>
      <c r="V47" cm="1">
        <f t="array" aca="1" ref="V47" ca="1">OFFSET(方位係数!$C$3,VALUE(計算条件!$B$3)-1,(_xlfn.IFS(E47="南",0,E47="西",2,E47="北",4,E47="東",6,E47="水平",8)))</f>
        <v>1</v>
      </c>
      <c r="W47" cm="1">
        <f t="array" aca="1" ref="W47" ca="1">OFFSET(方位係数!$B$17,VALUE(計算条件!$B$3)-1,(_xlfn.IFS(E47="南",0,E47="西",2,E47="北",4,E47="東",6,E47="水平",_xlfn.IFS(B47="天井",8,OR(B47="床", B47="土間"),10))))</f>
        <v>0</v>
      </c>
      <c r="X47" cm="1">
        <f t="array" aca="1" ref="X47" ca="1">OFFSET(方位係数!$C$17,VALUE(計算条件!$B$3)-1,(_xlfn.IFS(E47="南",0,E47="西",2,E47="北",4,E47="東",6,E47="水平",_xlfn.IFS(B47="天井",8,OR(B47="床",B47="土間"),10))))</f>
        <v>0</v>
      </c>
    </row>
    <row r="48" spans="1:24">
      <c r="A48" s="104" t="s">
        <v>14</v>
      </c>
      <c r="B48" s="105" t="s">
        <v>2118</v>
      </c>
      <c r="C48" s="109" cm="1">
        <f t="array" ref="C48">_xlfn.IFS(計算条件!$F$3="寒冷地",10.77,計算条件!$F$3="温暖地",10.77)</f>
        <v>10.77</v>
      </c>
      <c r="D48" s="113">
        <f t="shared" si="22"/>
        <v>10.77</v>
      </c>
      <c r="E48" s="120" t="s">
        <v>2078</v>
      </c>
      <c r="F48" s="112" cm="1">
        <f t="array" ref="F48">_xlfn.IFS(計算条件!$F$3="寒冷地",0,計算条件!$F$3="温暖地",0)</f>
        <v>0</v>
      </c>
      <c r="G48" s="145">
        <f ca="1">F48*外皮面積!$T$22</f>
        <v>0</v>
      </c>
      <c r="H48" cm="1">
        <f t="array" ref="H48">_xlfn.IFS(計算条件!$F$3="寒冷地",0,計算条件!$F$3="温暖地",0)</f>
        <v>0</v>
      </c>
      <c r="I48" cm="1">
        <f t="array" ref="I48">_xlfn.IFS(計算条件!$F$3="寒冷地",0,計算条件!$F$3="温暖地",0)</f>
        <v>0</v>
      </c>
      <c r="J48">
        <f t="shared" si="13"/>
        <v>0</v>
      </c>
      <c r="K48" cm="1">
        <f t="array" ref="K48">_xlfn.IFS(計算条件!$F$3="寒冷地",0,計算条件!$F$3="温暖地",0)</f>
        <v>0</v>
      </c>
      <c r="L48">
        <f>IF(K48=0,0.93,IF(計算条件!$B$3=8,IF(E48="南",MIN(0.01*(16+19*((2*I48+H48)/K48)),0.93),MIN(0.01*(16+24*((2*I48+H48)/K48)),0.93)),IF(E48="南",MIN(0.01*(24+9*((3*I48+H48)/K48)),0.93),MIN(0.01*(16+24*((2*I48+H48)/K48)),0.93))))</f>
        <v>0.93</v>
      </c>
      <c r="M48">
        <f>IF(K48=0,0.72,IF(計算条件!$B$3&lt;&gt;8,IF(E48="南",MIN(0.01*(5+20*((3*I48+H48)/K48)),0.72),MIN(0.01*(10+15*((2*I48+H48)/K48)),0.72))))</f>
        <v>0.72</v>
      </c>
      <c r="N48">
        <f t="shared" ca="1" si="15"/>
        <v>0</v>
      </c>
      <c r="O48">
        <f t="shared" ca="1" si="16"/>
        <v>0</v>
      </c>
      <c r="P48">
        <f>VLOOKUP(B48,外皮面積!$A$3:$N$8,14,FALSE)</f>
        <v>1.7007160149655483E-2</v>
      </c>
      <c r="Q48">
        <f t="shared" ca="1" si="17"/>
        <v>0</v>
      </c>
      <c r="R48">
        <f t="shared" ca="1" si="18"/>
        <v>0</v>
      </c>
      <c r="S48">
        <f t="shared" ca="1" si="19"/>
        <v>0</v>
      </c>
      <c r="T48">
        <f t="shared" ca="1" si="20"/>
        <v>0</v>
      </c>
      <c r="U48" cm="1">
        <f t="array" aca="1" ref="U48" ca="1">OFFSET(方位係数!$B$3,VALUE(計算条件!$B$3)-1,(_xlfn.IFS(E48="南",0,E48="西",2,E48="北",4,E48="東",6,E48="水平",8)))</f>
        <v>1</v>
      </c>
      <c r="V48" cm="1">
        <f t="array" aca="1" ref="V48" ca="1">OFFSET(方位係数!$C$3,VALUE(計算条件!$B$3)-1,(_xlfn.IFS(E48="南",0,E48="西",2,E48="北",4,E48="東",6,E48="水平",8)))</f>
        <v>1</v>
      </c>
      <c r="W48" cm="1">
        <f t="array" aca="1" ref="W48" ca="1">OFFSET(方位係数!$B$17,VALUE(計算条件!$B$3)-1,(_xlfn.IFS(E48="南",0,E48="西",2,E48="北",4,E48="東",6,E48="水平",_xlfn.IFS(B48="天井",8,OR(B48="床", B48="土間"),10))))</f>
        <v>0</v>
      </c>
      <c r="X48" cm="1">
        <f t="array" aca="1" ref="X48" ca="1">OFFSET(方位係数!$C$17,VALUE(計算条件!$B$3)-1,(_xlfn.IFS(E48="南",0,E48="西",2,E48="北",4,E48="東",6,E48="水平",_xlfn.IFS(B48="天井",8,OR(B48="床",B48="土間"),10))))</f>
        <v>0</v>
      </c>
    </row>
    <row r="49" spans="1:24">
      <c r="A49" s="104" t="s">
        <v>14</v>
      </c>
      <c r="B49" s="105" t="s">
        <v>2119</v>
      </c>
      <c r="C49" s="109" cm="1">
        <f t="array" ref="C49">_xlfn.IFS(計算条件!$F$3="寒冷地",2.48,計算条件!$F$3="温暖地",2.48)</f>
        <v>2.48</v>
      </c>
      <c r="D49" s="113">
        <f t="shared" ref="D49" si="23">C49-F49</f>
        <v>2.48</v>
      </c>
      <c r="E49" s="120" t="s">
        <v>2078</v>
      </c>
      <c r="F49" s="112" cm="1">
        <f t="array" ref="F49">_xlfn.IFS(計算条件!$F$3="寒冷地",0,計算条件!$F$3="温暖地",0)</f>
        <v>0</v>
      </c>
      <c r="G49" s="145">
        <f ca="1">F49*外皮面積!$T$22</f>
        <v>0</v>
      </c>
      <c r="H49" cm="1">
        <f t="array" ref="H49">_xlfn.IFS(計算条件!$F$3="寒冷地",0,計算条件!$F$3="温暖地",0)</f>
        <v>0</v>
      </c>
      <c r="I49" cm="1">
        <f t="array" ref="I49">_xlfn.IFS(計算条件!$F$3="寒冷地",0,計算条件!$F$3="温暖地",0)</f>
        <v>0</v>
      </c>
      <c r="J49">
        <f t="shared" si="13"/>
        <v>0</v>
      </c>
      <c r="K49" cm="1">
        <f t="array" ref="K49">_xlfn.IFS(計算条件!$F$3="寒冷地",0,計算条件!$F$3="温暖地",0)</f>
        <v>0</v>
      </c>
      <c r="L49">
        <f>IF(K49=0,0.93,IF(計算条件!$B$3=8,IF(E49="南",MIN(0.01*(16+19*((2*I49+H49)/K49)),0.93),MIN(0.01*(16+24*((2*I49+H49)/K49)),0.93)),IF(E49="南",MIN(0.01*(24+9*((3*I49+H49)/K49)),0.93),MIN(0.01*(16+24*((2*I49+H49)/K49)),0.93))))</f>
        <v>0.93</v>
      </c>
      <c r="M49">
        <f>IF(K49=0,0.72,IF(計算条件!$B$3&lt;&gt;8,IF(E49="南",MIN(0.01*(5+20*((3*I49+H49)/K49)),0.72),MIN(0.01*(10+15*((2*I49+H49)/K49)),0.72))))</f>
        <v>0.72</v>
      </c>
      <c r="N49">
        <f t="shared" ca="1" si="15"/>
        <v>0</v>
      </c>
      <c r="O49">
        <f t="shared" ca="1" si="16"/>
        <v>0</v>
      </c>
      <c r="P49">
        <f>外皮面積!N5</f>
        <v>1.7007160149655483E-2</v>
      </c>
      <c r="Q49">
        <f t="shared" ca="1" si="17"/>
        <v>0</v>
      </c>
      <c r="R49">
        <f t="shared" ca="1" si="18"/>
        <v>0</v>
      </c>
      <c r="S49">
        <f t="shared" ca="1" si="19"/>
        <v>0</v>
      </c>
      <c r="T49">
        <f t="shared" ca="1" si="20"/>
        <v>0</v>
      </c>
      <c r="U49" cm="1">
        <f t="array" aca="1" ref="U49" ca="1">OFFSET(方位係数!$B$3,VALUE(計算条件!$B$3)-1,(_xlfn.IFS(E49="南",0,E49="西",2,E49="北",4,E49="東",6,E49="水平",8)))</f>
        <v>1</v>
      </c>
      <c r="V49" cm="1">
        <f t="array" aca="1" ref="V49" ca="1">OFFSET(方位係数!$C$3,VALUE(計算条件!$B$3)-1,(_xlfn.IFS(E49="南",0,E49="西",2,E49="北",4,E49="東",6,E49="水平",8)))</f>
        <v>1</v>
      </c>
      <c r="W49" cm="1">
        <f t="array" aca="1" ref="W49" ca="1">OFFSET(方位係数!$B$17,VALUE(計算条件!$B$3)-1,(_xlfn.IFS(E49="南",0,E49="西",2,E49="北",4,E49="東",6,E49="水平",_xlfn.IFS(B49="天井",8,OR(B49="床", B49="土間"),10))))</f>
        <v>0</v>
      </c>
      <c r="X49" cm="1">
        <f t="array" aca="1" ref="X49" ca="1">OFFSET(方位係数!$C$17,VALUE(計算条件!$B$3)-1,(_xlfn.IFS(E49="南",0,E49="西",2,E49="北",4,E49="東",6,E49="水平",_xlfn.IFS(B49="天井",8,OR(B49="床",B49="土間"),10))))</f>
        <v>0</v>
      </c>
    </row>
    <row r="50" spans="1:24">
      <c r="A50" s="114" t="s">
        <v>2108</v>
      </c>
      <c r="B50" s="105" t="s">
        <v>2109</v>
      </c>
      <c r="C50" s="121" cm="1">
        <f t="array" ref="C50">_xlfn.IFS(計算条件!$F$3="寒冷地",1.35,計算条件!$F$3="温暖地",1.62)</f>
        <v>1.62</v>
      </c>
      <c r="D50" s="121" cm="1">
        <f t="array" ref="D50">_xlfn.IFS(計算条件!$F$3="寒冷地",1.35,計算条件!$F$3="温暖地",1.62)</f>
        <v>1.62</v>
      </c>
      <c r="E50" s="110" t="s">
        <v>2113</v>
      </c>
      <c r="F50" s="121">
        <v>0</v>
      </c>
      <c r="G50" s="145">
        <f ca="1">F50*外皮面積!$T$22</f>
        <v>0</v>
      </c>
      <c r="H50" cm="1">
        <f t="array" ref="H50">_xlfn.IFS(計算条件!$F$3="寒冷地",0,計算条件!$F$3="温暖地",0)</f>
        <v>0</v>
      </c>
      <c r="I50" cm="1">
        <f t="array" ref="I50">_xlfn.IFS(計算条件!$F$3="寒冷地",0,計算条件!$F$3="温暖地",0)</f>
        <v>0</v>
      </c>
      <c r="J50">
        <f>H50+I50</f>
        <v>0</v>
      </c>
      <c r="K50" cm="1">
        <f t="array" ref="K50">_xlfn.IFS(計算条件!$F$3="寒冷地",0,計算条件!$F$3="温暖地",0)</f>
        <v>0</v>
      </c>
      <c r="L50">
        <f>IF(K50=0,0.93,IF(計算条件!$B$3=8,IF(E50="南",MIN(0.01*(16+19*((2*I50+H50)/K50)),0.93),MIN(0.01*(16+24*((2*I50+H50)/K50)),0.93)),IF(E50="南",MIN(0.01*(24+9*((3*I50+H50)/K50)),0.93),MIN(0.01*(16+24*((2*I50+H50)/K50)),0.93))))</f>
        <v>0.93</v>
      </c>
      <c r="M50">
        <f>IF(K50=0,0.72,IF(計算条件!$B$3&lt;&gt;8,IF(E50="南",MIN(0.01*(5+20*((3*I50+H50)/K50)),0.72),MIN(0.01*(10+15*((2*I50+H50)/K50)),0.72))))</f>
        <v>0.72</v>
      </c>
      <c r="N50">
        <f t="shared" ca="1" si="15"/>
        <v>0</v>
      </c>
      <c r="O50">
        <f t="shared" ca="1" si="16"/>
        <v>0</v>
      </c>
      <c r="P50">
        <f>外皮面積!N7</f>
        <v>0.16652844313204329</v>
      </c>
      <c r="Q50">
        <f t="shared" ca="1" si="17"/>
        <v>0.55242000000000002</v>
      </c>
      <c r="R50">
        <f t="shared" ca="1" si="18"/>
        <v>0</v>
      </c>
      <c r="S50">
        <f t="shared" ca="1" si="19"/>
        <v>0</v>
      </c>
      <c r="T50">
        <f t="shared" ca="1" si="20"/>
        <v>0.42282000000000003</v>
      </c>
      <c r="U50" cm="1">
        <f t="array" aca="1" ref="U50" ca="1">OFFSET(方位係数!$B$3,VALUE(計算条件!$B$3)-1,(_xlfn.IFS(E50="南",0,E50="西",2,E50="北",4,E50="東",6,E50="水平",8)))</f>
        <v>0.34100000000000003</v>
      </c>
      <c r="V50" cm="1">
        <f t="array" aca="1" ref="V50" ca="1">OFFSET(方位係数!$C$3,VALUE(計算条件!$B$3)-1,(_xlfn.IFS(E50="南",0,E50="西",2,E50="北",4,E50="東",6,E50="水平",8)))</f>
        <v>0.26100000000000001</v>
      </c>
      <c r="W50" cm="1">
        <f t="array" aca="1" ref="W50" ca="1">OFFSET(方位係数!$B$17,VALUE(計算条件!$B$3)-1,(_xlfn.IFS(E50="南",0,E50="西",2,E50="北",4,E50="東",6,E50="水平",_xlfn.IFS(B50="天井",8,OR(B50="床", B50="土間"),10))))</f>
        <v>0.34100000000000003</v>
      </c>
      <c r="X50" s="144" cm="1">
        <f t="array" aca="1" ref="X50" ca="1">OFFSET(方位係数!$C$17,VALUE(計算条件!$B$3)-1,(_xlfn.IFS(E50="南",0,E50="西",2,E50="北",4,E50="東",6,E50="水平",_xlfn.IFS(B50="天井",8,OR(B50="床",B50="土間"),10))))</f>
        <v>0.26100000000000001</v>
      </c>
    </row>
    <row r="51" spans="1:24">
      <c r="A51" s="108" t="s">
        <v>14</v>
      </c>
      <c r="B51" s="105" t="s">
        <v>2104</v>
      </c>
      <c r="C51" s="121" cm="1">
        <f t="array" ref="C51">_xlfn.IFS(計算条件!$F$3="寒冷地",1.89,計算条件!$F$3="温暖地",1.89)</f>
        <v>1.89</v>
      </c>
      <c r="D51" s="121" cm="1">
        <f t="array" ref="D51">_xlfn.IFS(計算条件!$F$3="寒冷地",1.89,計算条件!$F$3="温暖地",1.89)</f>
        <v>1.89</v>
      </c>
      <c r="E51" s="110" t="s">
        <v>2106</v>
      </c>
      <c r="F51" s="121">
        <v>0</v>
      </c>
      <c r="G51" s="145">
        <f ca="1">F51*外皮面積!$T$22</f>
        <v>0</v>
      </c>
      <c r="H51" cm="1">
        <f t="array" ref="H51">_xlfn.IFS(計算条件!$F$3="寒冷地",0,計算条件!$F$3="温暖地",0)</f>
        <v>0</v>
      </c>
      <c r="I51" cm="1">
        <f t="array" ref="I51">_xlfn.IFS(計算条件!$F$3="寒冷地",0,計算条件!$F$3="温暖地",0)</f>
        <v>0</v>
      </c>
      <c r="J51">
        <f>H51+I51</f>
        <v>0</v>
      </c>
      <c r="K51" cm="1">
        <f t="array" ref="K51">_xlfn.IFS(計算条件!$F$3="寒冷地",0,計算条件!$F$3="温暖地",0)</f>
        <v>0</v>
      </c>
      <c r="L51">
        <f>IF(K51=0,0.93,IF(計算条件!$B$3=8,IF(E51="南",MIN(0.01*(16+19*((2*I51+H51)/K51)),0.93),MIN(0.01*(16+24*((2*I51+H51)/K51)),0.93)),IF(E51="南",MIN(0.01*(24+9*((3*I51+H51)/K51)),0.93),MIN(0.01*(16+24*((2*I51+H51)/K51)),0.93))))</f>
        <v>0.93</v>
      </c>
      <c r="M51">
        <f>IF(K51=0,0.72,IF(計算条件!$B$3&lt;&gt;8,IF(E51="南",MIN(0.01*(5+20*((3*I51+H51)/K51)),0.72),MIN(0.01*(10+15*((2*I51+H51)/K51)),0.72))))</f>
        <v>0.72</v>
      </c>
      <c r="N51">
        <f t="shared" ca="1" si="15"/>
        <v>0</v>
      </c>
      <c r="O51">
        <f t="shared" ca="1" si="16"/>
        <v>0</v>
      </c>
      <c r="P51">
        <f>外皮面積!N7</f>
        <v>0.16652844313204329</v>
      </c>
      <c r="Q51">
        <f t="shared" ca="1" si="17"/>
        <v>0.95255999999999996</v>
      </c>
      <c r="R51">
        <f t="shared" ca="1" si="18"/>
        <v>0</v>
      </c>
      <c r="S51">
        <f t="shared" ca="1" si="19"/>
        <v>0</v>
      </c>
      <c r="T51">
        <f t="shared" ca="1" si="20"/>
        <v>0.98846999999999996</v>
      </c>
      <c r="U51" cm="1">
        <f t="array" aca="1" ref="U51" ca="1">OFFSET(方位係数!$B$3,VALUE(計算条件!$B$3)-1,(_xlfn.IFS(E51="南",0,E51="西",2,E51="北",4,E51="東",6,E51="水平",8)))</f>
        <v>0.504</v>
      </c>
      <c r="V51" cm="1">
        <f t="array" aca="1" ref="V51" ca="1">OFFSET(方位係数!$C$3,VALUE(計算条件!$B$3)-1,(_xlfn.IFS(E51="南",0,E51="西",2,E51="北",4,E51="東",6,E51="水平",8)))</f>
        <v>0.52300000000000002</v>
      </c>
      <c r="W51" cm="1">
        <f t="array" aca="1" ref="W51" ca="1">OFFSET(方位係数!$B$17,VALUE(計算条件!$B$3)-1,(_xlfn.IFS(E51="南",0,E51="西",2,E51="北",4,E51="東",6,E51="水平",_xlfn.IFS(B51="天井",8,OR(B51="床", B51="土間"),10))))</f>
        <v>0.504</v>
      </c>
      <c r="X51" s="144" cm="1">
        <f t="array" aca="1" ref="X51" ca="1">OFFSET(方位係数!$C$17,VALUE(計算条件!$B$3)-1,(_xlfn.IFS(E51="南",0,E51="西",2,E51="北",4,E51="東",6,E51="水平",_xlfn.IFS(B51="天井",8,OR(B51="床",B51="土間"),10))))</f>
        <v>0.52300000000000002</v>
      </c>
    </row>
  </sheetData>
  <autoFilter ref="A1:F51" xr:uid="{47F9228B-E83A-44A4-BCC3-80ED0D948EBC}"/>
  <phoneticPr fontId="2"/>
  <dataValidations count="1">
    <dataValidation type="list" allowBlank="1" showInputMessage="1" showErrorMessage="1" sqref="E2:E29 E50:E51" xr:uid="{1AF612D8-014D-4493-9181-FBFC658F412B}">
      <formula1>熱的境界部位の方向</formula1>
    </dataValidation>
  </dataValidations>
  <pageMargins left="0.7" right="0.7" top="0.75" bottom="0.75" header="0.3" footer="0.3"/>
  <ignoredErrors>
    <ignoredError sqref="F11 C6 C27 C32 C45:C46 J2 J9:J10 J12 H11:H12 J50:J51 J15:J18 J22:K22 J25 J29:J31 J32:J49 I11 K11 I28" formula="1"/>
  </ignoredErrors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DBA2-667B-4640-9769-1D9E4FE77297}">
  <sheetPr codeName="Sheet20"/>
  <dimension ref="A1:Z24"/>
  <sheetViews>
    <sheetView workbookViewId="0">
      <selection activeCell="F12" sqref="F12"/>
    </sheetView>
  </sheetViews>
  <sheetFormatPr defaultRowHeight="18.75"/>
  <cols>
    <col min="1" max="1" width="17.375" bestFit="1" customWidth="1"/>
  </cols>
  <sheetData>
    <row r="1" spans="1:26">
      <c r="A1" t="s">
        <v>2077</v>
      </c>
      <c r="B1" s="101" t="s">
        <v>2063</v>
      </c>
      <c r="C1" s="101"/>
      <c r="D1" s="101" t="s">
        <v>2064</v>
      </c>
      <c r="E1" s="101"/>
      <c r="F1" s="101" t="s">
        <v>2065</v>
      </c>
      <c r="G1" s="101"/>
      <c r="H1" s="101" t="s">
        <v>2066</v>
      </c>
      <c r="I1" s="101"/>
      <c r="J1" t="s">
        <v>2078</v>
      </c>
      <c r="P1" t="s">
        <v>2077</v>
      </c>
      <c r="Q1" s="101" t="s">
        <v>2063</v>
      </c>
      <c r="R1" s="101"/>
      <c r="S1" s="101" t="s">
        <v>2064</v>
      </c>
      <c r="T1" s="101"/>
      <c r="U1" s="101" t="s">
        <v>2065</v>
      </c>
      <c r="V1" s="101"/>
      <c r="W1" s="101" t="s">
        <v>2066</v>
      </c>
      <c r="X1" s="101"/>
      <c r="Y1" t="s">
        <v>2078</v>
      </c>
    </row>
    <row r="2" spans="1:26">
      <c r="A2" t="s">
        <v>26</v>
      </c>
      <c r="B2" s="102" t="s">
        <v>2075</v>
      </c>
      <c r="C2" s="102" t="s">
        <v>2076</v>
      </c>
      <c r="D2" s="102" t="s">
        <v>2075</v>
      </c>
      <c r="E2" s="102" t="s">
        <v>2076</v>
      </c>
      <c r="F2" s="102" t="s">
        <v>2075</v>
      </c>
      <c r="G2" s="102" t="s">
        <v>2076</v>
      </c>
      <c r="H2" s="102" t="s">
        <v>2075</v>
      </c>
      <c r="I2" s="102" t="s">
        <v>2076</v>
      </c>
      <c r="J2" s="102" t="s">
        <v>2075</v>
      </c>
      <c r="K2" s="102" t="s">
        <v>2076</v>
      </c>
      <c r="P2" t="s">
        <v>26</v>
      </c>
      <c r="Q2" s="102" t="s">
        <v>2075</v>
      </c>
      <c r="R2" s="102" t="s">
        <v>2076</v>
      </c>
      <c r="S2" s="102" t="s">
        <v>2075</v>
      </c>
      <c r="T2" s="102" t="s">
        <v>2076</v>
      </c>
      <c r="U2" s="102" t="s">
        <v>2075</v>
      </c>
      <c r="V2" s="102" t="s">
        <v>2076</v>
      </c>
      <c r="W2" s="102" t="s">
        <v>2075</v>
      </c>
      <c r="X2" s="102" t="s">
        <v>2076</v>
      </c>
      <c r="Y2" s="102" t="s">
        <v>2075</v>
      </c>
      <c r="Z2" s="102" t="s">
        <v>2076</v>
      </c>
    </row>
    <row r="3" spans="1:26">
      <c r="A3">
        <v>1</v>
      </c>
      <c r="B3" s="103">
        <f t="shared" ref="B3:M3" si="0">B17</f>
        <v>0.502</v>
      </c>
      <c r="C3" s="103">
        <f t="shared" si="0"/>
        <v>0.93500000000000005</v>
      </c>
      <c r="D3" s="103">
        <f t="shared" si="0"/>
        <v>0.50800000000000001</v>
      </c>
      <c r="E3" s="103">
        <f t="shared" si="0"/>
        <v>0.53500000000000003</v>
      </c>
      <c r="F3" s="103">
        <f t="shared" si="0"/>
        <v>0.32900000000000001</v>
      </c>
      <c r="G3" s="103">
        <f t="shared" si="0"/>
        <v>0.26</v>
      </c>
      <c r="H3" s="103">
        <f t="shared" si="0"/>
        <v>0.54500000000000004</v>
      </c>
      <c r="I3" s="103">
        <f t="shared" si="0"/>
        <v>0.56399999999999995</v>
      </c>
      <c r="J3" s="143">
        <f t="shared" si="0"/>
        <v>1</v>
      </c>
      <c r="K3" s="143">
        <f t="shared" si="0"/>
        <v>1</v>
      </c>
      <c r="L3">
        <f t="shared" si="0"/>
        <v>0</v>
      </c>
      <c r="M3">
        <f t="shared" si="0"/>
        <v>0</v>
      </c>
      <c r="P3">
        <v>1</v>
      </c>
      <c r="Q3" s="103">
        <v>0.8</v>
      </c>
      <c r="R3" s="103">
        <v>0.876</v>
      </c>
      <c r="S3" s="103">
        <v>0.88500000000000001</v>
      </c>
      <c r="T3" s="103">
        <v>0.84599999999999997</v>
      </c>
      <c r="U3" s="103">
        <v>0.84699999999999998</v>
      </c>
      <c r="V3" s="103">
        <v>0.83799999999999997</v>
      </c>
      <c r="W3" s="103">
        <v>0.88800000000000001</v>
      </c>
      <c r="X3" s="103">
        <v>0.84899999999999998</v>
      </c>
      <c r="Y3" s="143">
        <v>0.89900000000000002</v>
      </c>
      <c r="Z3" s="143">
        <v>0.82499999999999996</v>
      </c>
    </row>
    <row r="4" spans="1:26">
      <c r="A4">
        <v>2</v>
      </c>
      <c r="B4" s="103">
        <f t="shared" ref="B4:M4" si="1">B18</f>
        <v>0.50700000000000001</v>
      </c>
      <c r="C4" s="103">
        <f t="shared" si="1"/>
        <v>0.85599999999999998</v>
      </c>
      <c r="D4" s="103">
        <f t="shared" si="1"/>
        <v>0.52900000000000003</v>
      </c>
      <c r="E4" s="103">
        <f t="shared" si="1"/>
        <v>0.54400000000000004</v>
      </c>
      <c r="F4" s="103">
        <f t="shared" si="1"/>
        <v>0.34100000000000003</v>
      </c>
      <c r="G4" s="103">
        <f t="shared" si="1"/>
        <v>0.26300000000000001</v>
      </c>
      <c r="H4" s="103">
        <f t="shared" si="1"/>
        <v>0.503</v>
      </c>
      <c r="I4" s="103">
        <f t="shared" si="1"/>
        <v>0.55400000000000005</v>
      </c>
      <c r="J4" s="143">
        <f t="shared" si="1"/>
        <v>1</v>
      </c>
      <c r="K4" s="143">
        <f t="shared" si="1"/>
        <v>1</v>
      </c>
      <c r="L4">
        <f t="shared" si="1"/>
        <v>0</v>
      </c>
      <c r="M4">
        <f t="shared" si="1"/>
        <v>0</v>
      </c>
      <c r="P4">
        <v>2</v>
      </c>
      <c r="Q4" s="103">
        <v>0.80500000000000005</v>
      </c>
      <c r="R4" s="103">
        <v>0.86099999999999999</v>
      </c>
      <c r="S4" s="103">
        <v>0.88300000000000001</v>
      </c>
      <c r="T4" s="103">
        <v>0.85399999999999998</v>
      </c>
      <c r="U4" s="103">
        <v>0.85299999999999998</v>
      </c>
      <c r="V4" s="103">
        <v>0.83599999999999997</v>
      </c>
      <c r="W4" s="103">
        <v>0.88200000000000001</v>
      </c>
      <c r="X4" s="103">
        <v>0.85199999999999998</v>
      </c>
      <c r="Y4" s="143">
        <v>0.9</v>
      </c>
      <c r="Z4" s="143">
        <v>0.83399999999999996</v>
      </c>
    </row>
    <row r="5" spans="1:26">
      <c r="A5">
        <v>3</v>
      </c>
      <c r="B5" s="103">
        <f t="shared" ref="B5:M5" si="2">B19</f>
        <v>0.47599999999999998</v>
      </c>
      <c r="C5" s="103">
        <f t="shared" si="2"/>
        <v>0.85099999999999998</v>
      </c>
      <c r="D5" s="103">
        <f t="shared" si="2"/>
        <v>0.55300000000000005</v>
      </c>
      <c r="E5" s="103">
        <f t="shared" si="2"/>
        <v>0.54200000000000004</v>
      </c>
      <c r="F5" s="103">
        <f t="shared" si="2"/>
        <v>0.33500000000000002</v>
      </c>
      <c r="G5" s="103">
        <f t="shared" si="2"/>
        <v>0.28399999999999997</v>
      </c>
      <c r="H5" s="103">
        <f t="shared" si="2"/>
        <v>0.46800000000000003</v>
      </c>
      <c r="I5" s="103">
        <f t="shared" si="2"/>
        <v>0.54</v>
      </c>
      <c r="J5" s="143">
        <f t="shared" si="2"/>
        <v>1</v>
      </c>
      <c r="K5" s="143">
        <f t="shared" si="2"/>
        <v>1</v>
      </c>
      <c r="L5">
        <f t="shared" si="2"/>
        <v>0</v>
      </c>
      <c r="M5">
        <f t="shared" si="2"/>
        <v>0</v>
      </c>
      <c r="P5">
        <v>3</v>
      </c>
      <c r="Q5" s="103">
        <v>0.79200000000000004</v>
      </c>
      <c r="R5" s="103">
        <v>0.86599999999999999</v>
      </c>
      <c r="S5" s="103">
        <v>0.89</v>
      </c>
      <c r="T5" s="103">
        <v>0.85</v>
      </c>
      <c r="U5" s="103">
        <v>0.84699999999999998</v>
      </c>
      <c r="V5" s="103">
        <v>0.84</v>
      </c>
      <c r="W5" s="103">
        <v>0.874</v>
      </c>
      <c r="X5" s="103">
        <v>0.84799999999999998</v>
      </c>
      <c r="Y5" s="143">
        <v>0.90300000000000002</v>
      </c>
      <c r="Z5" s="143">
        <v>0.83599999999999997</v>
      </c>
    </row>
    <row r="6" spans="1:26">
      <c r="A6">
        <v>4</v>
      </c>
      <c r="B6" s="103">
        <f t="shared" ref="B6:M6" si="3">B20</f>
        <v>0.437</v>
      </c>
      <c r="C6" s="103">
        <f t="shared" si="3"/>
        <v>0.81499999999999995</v>
      </c>
      <c r="D6" s="103">
        <f t="shared" si="3"/>
        <v>0.48099999999999998</v>
      </c>
      <c r="E6" s="103">
        <f t="shared" si="3"/>
        <v>0.52700000000000002</v>
      </c>
      <c r="F6" s="103">
        <f t="shared" si="3"/>
        <v>0.32200000000000001</v>
      </c>
      <c r="G6" s="103">
        <f t="shared" si="3"/>
        <v>0.25600000000000001</v>
      </c>
      <c r="H6" s="103">
        <f t="shared" si="3"/>
        <v>0.51800000000000002</v>
      </c>
      <c r="I6" s="103">
        <f t="shared" si="3"/>
        <v>0.53100000000000003</v>
      </c>
      <c r="J6" s="143">
        <f t="shared" si="3"/>
        <v>1</v>
      </c>
      <c r="K6" s="143">
        <f t="shared" si="3"/>
        <v>1</v>
      </c>
      <c r="L6">
        <f t="shared" si="3"/>
        <v>0</v>
      </c>
      <c r="M6">
        <f t="shared" si="3"/>
        <v>0</v>
      </c>
      <c r="P6">
        <v>4</v>
      </c>
      <c r="Q6" s="103">
        <v>0.77600000000000002</v>
      </c>
      <c r="R6" s="103">
        <v>0.85299999999999998</v>
      </c>
      <c r="S6" s="103">
        <v>0.88100000000000001</v>
      </c>
      <c r="T6" s="103">
        <v>0.85199999999999998</v>
      </c>
      <c r="U6" s="103">
        <v>0.84599999999999997</v>
      </c>
      <c r="V6" s="103">
        <v>0.83699999999999997</v>
      </c>
      <c r="W6" s="103">
        <v>0.88700000000000001</v>
      </c>
      <c r="X6" s="103">
        <v>0.85299999999999998</v>
      </c>
      <c r="Y6" s="143">
        <v>0.90800000000000003</v>
      </c>
      <c r="Z6" s="143">
        <v>0.84599999999999997</v>
      </c>
    </row>
    <row r="7" spans="1:26">
      <c r="A7">
        <v>5</v>
      </c>
      <c r="B7" s="103">
        <f t="shared" ref="B7:M7" si="4">B21</f>
        <v>0.47199999999999998</v>
      </c>
      <c r="C7" s="103">
        <f t="shared" si="4"/>
        <v>0.98299999999999998</v>
      </c>
      <c r="D7" s="103">
        <f t="shared" si="4"/>
        <v>0.51800000000000002</v>
      </c>
      <c r="E7" s="103">
        <f t="shared" si="4"/>
        <v>0.53800000000000003</v>
      </c>
      <c r="F7" s="103">
        <f t="shared" si="4"/>
        <v>0.373</v>
      </c>
      <c r="G7" s="103">
        <f t="shared" si="4"/>
        <v>0.23799999999999999</v>
      </c>
      <c r="H7" s="103">
        <f t="shared" si="4"/>
        <v>0.5</v>
      </c>
      <c r="I7" s="103">
        <f t="shared" si="4"/>
        <v>0.56799999999999995</v>
      </c>
      <c r="J7" s="143">
        <f t="shared" si="4"/>
        <v>1</v>
      </c>
      <c r="K7" s="143">
        <f t="shared" si="4"/>
        <v>1</v>
      </c>
      <c r="L7">
        <f t="shared" si="4"/>
        <v>0</v>
      </c>
      <c r="M7">
        <f t="shared" si="4"/>
        <v>0</v>
      </c>
      <c r="P7">
        <v>5</v>
      </c>
      <c r="Q7" s="103">
        <v>0.80100000000000005</v>
      </c>
      <c r="R7" s="103">
        <v>0.875</v>
      </c>
      <c r="S7" s="103">
        <v>0.88</v>
      </c>
      <c r="T7" s="103">
        <v>0.84699999999999998</v>
      </c>
      <c r="U7" s="103">
        <v>0.85699999999999998</v>
      </c>
      <c r="V7" s="103">
        <v>0.84299999999999997</v>
      </c>
      <c r="W7" s="103">
        <v>0.878</v>
      </c>
      <c r="X7" s="103">
        <v>0.85099999999999998</v>
      </c>
      <c r="Y7" s="143">
        <v>0.9</v>
      </c>
      <c r="Z7" s="143">
        <v>0.82599999999999996</v>
      </c>
    </row>
    <row r="8" spans="1:26">
      <c r="A8">
        <v>6</v>
      </c>
      <c r="B8" s="103">
        <f t="shared" ref="B8:M8" si="5">B22</f>
        <v>0.434</v>
      </c>
      <c r="C8" s="103">
        <f t="shared" si="5"/>
        <v>0.93600000000000005</v>
      </c>
      <c r="D8" s="103">
        <f t="shared" si="5"/>
        <v>0.504</v>
      </c>
      <c r="E8" s="103">
        <f t="shared" si="5"/>
        <v>0.52300000000000002</v>
      </c>
      <c r="F8" s="103">
        <f t="shared" si="5"/>
        <v>0.34100000000000003</v>
      </c>
      <c r="G8" s="103">
        <f t="shared" si="5"/>
        <v>0.26100000000000001</v>
      </c>
      <c r="H8" s="103">
        <f t="shared" si="5"/>
        <v>0.51200000000000001</v>
      </c>
      <c r="I8" s="103">
        <f t="shared" si="5"/>
        <v>0.57899999999999996</v>
      </c>
      <c r="J8" s="143">
        <f t="shared" si="5"/>
        <v>1</v>
      </c>
      <c r="K8" s="143">
        <f t="shared" si="5"/>
        <v>1</v>
      </c>
      <c r="L8">
        <f t="shared" si="5"/>
        <v>0</v>
      </c>
      <c r="M8">
        <f t="shared" si="5"/>
        <v>0</v>
      </c>
      <c r="P8">
        <v>6</v>
      </c>
      <c r="Q8" s="103">
        <v>0.79</v>
      </c>
      <c r="R8" s="103">
        <v>0.87</v>
      </c>
      <c r="S8" s="103">
        <v>0.88500000000000001</v>
      </c>
      <c r="T8" s="103">
        <v>0.85099999999999998</v>
      </c>
      <c r="U8" s="103">
        <v>0.84</v>
      </c>
      <c r="V8" s="103">
        <v>0.84899999999999998</v>
      </c>
      <c r="W8" s="103">
        <v>0.88500000000000001</v>
      </c>
      <c r="X8" s="103">
        <v>0.85099999999999998</v>
      </c>
      <c r="Y8" s="143">
        <v>0.90400000000000003</v>
      </c>
      <c r="Z8" s="143">
        <v>0.88300000000000001</v>
      </c>
    </row>
    <row r="9" spans="1:26">
      <c r="A9">
        <v>7</v>
      </c>
      <c r="B9" s="103">
        <f t="shared" ref="B9:M9" si="6">B23</f>
        <v>0.41199999999999998</v>
      </c>
      <c r="C9" s="103">
        <f t="shared" si="6"/>
        <v>1.0229999999999999</v>
      </c>
      <c r="D9" s="103">
        <f t="shared" si="6"/>
        <v>0.495</v>
      </c>
      <c r="E9" s="103">
        <f t="shared" si="6"/>
        <v>0.54800000000000004</v>
      </c>
      <c r="F9" s="103">
        <f t="shared" si="6"/>
        <v>0.307</v>
      </c>
      <c r="G9" s="103">
        <f t="shared" si="6"/>
        <v>0.22700000000000001</v>
      </c>
      <c r="H9" s="103">
        <f t="shared" si="6"/>
        <v>0.50900000000000001</v>
      </c>
      <c r="I9" s="103">
        <f t="shared" si="6"/>
        <v>0.54300000000000004</v>
      </c>
      <c r="J9" s="143">
        <f t="shared" si="6"/>
        <v>1</v>
      </c>
      <c r="K9" s="143">
        <f t="shared" si="6"/>
        <v>1</v>
      </c>
      <c r="L9">
        <f t="shared" si="6"/>
        <v>0</v>
      </c>
      <c r="M9">
        <f t="shared" si="6"/>
        <v>0</v>
      </c>
      <c r="P9">
        <v>7</v>
      </c>
      <c r="Q9" s="103">
        <v>0.78100000000000003</v>
      </c>
      <c r="R9" s="103">
        <v>0.878</v>
      </c>
      <c r="S9" s="103">
        <v>0.88500000000000001</v>
      </c>
      <c r="T9" s="103">
        <v>0.84499999999999997</v>
      </c>
      <c r="U9" s="103">
        <v>0.82799999999999996</v>
      </c>
      <c r="V9" s="103">
        <v>0.85099999999999998</v>
      </c>
      <c r="W9" s="103">
        <v>0.88700000000000001</v>
      </c>
      <c r="X9" s="103">
        <v>0.84399999999999997</v>
      </c>
      <c r="Y9" s="143">
        <v>0.90900000000000003</v>
      </c>
      <c r="Z9" s="143">
        <v>0.82799999999999996</v>
      </c>
    </row>
    <row r="10" spans="1:26">
      <c r="A10">
        <v>8</v>
      </c>
      <c r="B10" s="103">
        <f t="shared" ref="B10:M10" si="7">B24</f>
        <v>0.48</v>
      </c>
      <c r="C10" s="103">
        <f t="shared" si="7"/>
        <v>0</v>
      </c>
      <c r="D10" s="103">
        <f t="shared" si="7"/>
        <v>0.505</v>
      </c>
      <c r="E10" s="103">
        <f t="shared" si="7"/>
        <v>0</v>
      </c>
      <c r="F10" s="103">
        <f t="shared" si="7"/>
        <v>0.32500000000000001</v>
      </c>
      <c r="G10" s="103">
        <f t="shared" si="7"/>
        <v>0</v>
      </c>
      <c r="H10" s="103">
        <f t="shared" si="7"/>
        <v>0.51500000000000001</v>
      </c>
      <c r="I10" s="103">
        <f t="shared" si="7"/>
        <v>0</v>
      </c>
      <c r="J10" s="143">
        <f t="shared" si="7"/>
        <v>1</v>
      </c>
      <c r="K10" s="143">
        <f t="shared" si="7"/>
        <v>0</v>
      </c>
      <c r="L10">
        <f t="shared" si="7"/>
        <v>0</v>
      </c>
      <c r="M10">
        <f t="shared" si="7"/>
        <v>0</v>
      </c>
      <c r="P10">
        <v>8</v>
      </c>
      <c r="Q10" s="103">
        <v>0.82</v>
      </c>
      <c r="R10" s="103"/>
      <c r="S10" s="103">
        <v>0.88100000000000001</v>
      </c>
      <c r="T10" s="103"/>
      <c r="U10" s="103">
        <v>0.84199999999999997</v>
      </c>
      <c r="V10" s="103"/>
      <c r="W10" s="103">
        <v>0.88200000000000001</v>
      </c>
      <c r="X10" s="103"/>
      <c r="Y10" s="143">
        <v>0.90100000000000002</v>
      </c>
      <c r="Z10" s="143"/>
    </row>
    <row r="15" spans="1:26">
      <c r="A15" t="s">
        <v>2151</v>
      </c>
      <c r="B15" s="101" t="s">
        <v>2063</v>
      </c>
      <c r="C15" s="101"/>
      <c r="D15" s="101" t="s">
        <v>2064</v>
      </c>
      <c r="E15" s="101"/>
      <c r="F15" s="101" t="s">
        <v>2065</v>
      </c>
      <c r="G15" s="101"/>
      <c r="H15" s="101" t="s">
        <v>2066</v>
      </c>
      <c r="I15" s="101"/>
      <c r="J15" t="s">
        <v>2067</v>
      </c>
      <c r="L15" t="s">
        <v>2068</v>
      </c>
    </row>
    <row r="16" spans="1:26">
      <c r="A16" t="s">
        <v>26</v>
      </c>
      <c r="B16" s="102" t="s">
        <v>2075</v>
      </c>
      <c r="C16" s="102" t="s">
        <v>2076</v>
      </c>
      <c r="D16" s="102" t="s">
        <v>2075</v>
      </c>
      <c r="E16" s="102" t="s">
        <v>2076</v>
      </c>
      <c r="F16" s="102" t="s">
        <v>2075</v>
      </c>
      <c r="G16" s="102" t="s">
        <v>2076</v>
      </c>
      <c r="H16" s="102" t="s">
        <v>2075</v>
      </c>
      <c r="I16" s="102" t="s">
        <v>2076</v>
      </c>
      <c r="J16" s="102" t="s">
        <v>2075</v>
      </c>
      <c r="K16" s="102" t="s">
        <v>2076</v>
      </c>
      <c r="L16" s="102" t="s">
        <v>2075</v>
      </c>
      <c r="M16" s="102" t="s">
        <v>2076</v>
      </c>
    </row>
    <row r="17" spans="1:13">
      <c r="A17">
        <v>1</v>
      </c>
      <c r="B17">
        <v>0.502</v>
      </c>
      <c r="C17">
        <v>0.93500000000000005</v>
      </c>
      <c r="D17">
        <v>0.50800000000000001</v>
      </c>
      <c r="E17">
        <v>0.53500000000000003</v>
      </c>
      <c r="F17">
        <v>0.32900000000000001</v>
      </c>
      <c r="G17">
        <v>0.26</v>
      </c>
      <c r="H17">
        <v>0.54500000000000004</v>
      </c>
      <c r="I17">
        <v>0.56399999999999995</v>
      </c>
      <c r="J17" s="143">
        <v>1</v>
      </c>
      <c r="K17" s="143">
        <v>1</v>
      </c>
      <c r="L17" s="143">
        <v>0</v>
      </c>
      <c r="M17" s="143">
        <v>0</v>
      </c>
    </row>
    <row r="18" spans="1:13">
      <c r="A18">
        <v>2</v>
      </c>
      <c r="B18">
        <v>0.50700000000000001</v>
      </c>
      <c r="C18">
        <v>0.85599999999999998</v>
      </c>
      <c r="D18">
        <v>0.52900000000000003</v>
      </c>
      <c r="E18">
        <v>0.54400000000000004</v>
      </c>
      <c r="F18">
        <v>0.34100000000000003</v>
      </c>
      <c r="G18">
        <v>0.26300000000000001</v>
      </c>
      <c r="H18">
        <v>0.503</v>
      </c>
      <c r="I18">
        <v>0.55400000000000005</v>
      </c>
      <c r="J18" s="143">
        <v>1</v>
      </c>
      <c r="K18" s="143">
        <v>1</v>
      </c>
      <c r="L18" s="143">
        <v>0</v>
      </c>
      <c r="M18" s="143">
        <v>0</v>
      </c>
    </row>
    <row r="19" spans="1:13">
      <c r="A19">
        <v>3</v>
      </c>
      <c r="B19">
        <v>0.47599999999999998</v>
      </c>
      <c r="C19">
        <v>0.85099999999999998</v>
      </c>
      <c r="D19">
        <v>0.55300000000000005</v>
      </c>
      <c r="E19">
        <v>0.54200000000000004</v>
      </c>
      <c r="F19">
        <v>0.33500000000000002</v>
      </c>
      <c r="G19">
        <v>0.28399999999999997</v>
      </c>
      <c r="H19">
        <v>0.46800000000000003</v>
      </c>
      <c r="I19">
        <v>0.54</v>
      </c>
      <c r="J19" s="143">
        <v>1</v>
      </c>
      <c r="K19" s="143">
        <v>1</v>
      </c>
      <c r="L19" s="143">
        <v>0</v>
      </c>
      <c r="M19" s="143">
        <v>0</v>
      </c>
    </row>
    <row r="20" spans="1:13">
      <c r="A20">
        <v>4</v>
      </c>
      <c r="B20">
        <v>0.437</v>
      </c>
      <c r="C20">
        <v>0.81499999999999995</v>
      </c>
      <c r="D20">
        <v>0.48099999999999998</v>
      </c>
      <c r="E20">
        <v>0.52700000000000002</v>
      </c>
      <c r="F20">
        <v>0.32200000000000001</v>
      </c>
      <c r="G20">
        <v>0.25600000000000001</v>
      </c>
      <c r="H20">
        <v>0.51800000000000002</v>
      </c>
      <c r="I20">
        <v>0.53100000000000003</v>
      </c>
      <c r="J20" s="143">
        <v>1</v>
      </c>
      <c r="K20" s="143">
        <v>1</v>
      </c>
      <c r="L20" s="143">
        <v>0</v>
      </c>
      <c r="M20" s="143">
        <v>0</v>
      </c>
    </row>
    <row r="21" spans="1:13">
      <c r="A21">
        <v>5</v>
      </c>
      <c r="B21">
        <v>0.47199999999999998</v>
      </c>
      <c r="C21">
        <v>0.98299999999999998</v>
      </c>
      <c r="D21">
        <v>0.51800000000000002</v>
      </c>
      <c r="E21">
        <v>0.53800000000000003</v>
      </c>
      <c r="F21">
        <v>0.373</v>
      </c>
      <c r="G21">
        <v>0.23799999999999999</v>
      </c>
      <c r="H21">
        <v>0.5</v>
      </c>
      <c r="I21">
        <v>0.56799999999999995</v>
      </c>
      <c r="J21" s="143">
        <v>1</v>
      </c>
      <c r="K21" s="143">
        <v>1</v>
      </c>
      <c r="L21" s="143">
        <v>0</v>
      </c>
      <c r="M21" s="143">
        <v>0</v>
      </c>
    </row>
    <row r="22" spans="1:13">
      <c r="A22">
        <v>6</v>
      </c>
      <c r="B22">
        <v>0.434</v>
      </c>
      <c r="C22">
        <v>0.93600000000000005</v>
      </c>
      <c r="D22">
        <v>0.504</v>
      </c>
      <c r="E22">
        <v>0.52300000000000002</v>
      </c>
      <c r="F22">
        <v>0.34100000000000003</v>
      </c>
      <c r="G22">
        <v>0.26100000000000001</v>
      </c>
      <c r="H22">
        <v>0.51200000000000001</v>
      </c>
      <c r="I22">
        <v>0.57899999999999996</v>
      </c>
      <c r="J22" s="143">
        <v>1</v>
      </c>
      <c r="K22" s="143">
        <v>1</v>
      </c>
      <c r="L22" s="143">
        <v>0</v>
      </c>
      <c r="M22" s="143">
        <v>0</v>
      </c>
    </row>
    <row r="23" spans="1:13">
      <c r="A23">
        <v>7</v>
      </c>
      <c r="B23">
        <v>0.41199999999999998</v>
      </c>
      <c r="C23">
        <v>1.0229999999999999</v>
      </c>
      <c r="D23">
        <v>0.495</v>
      </c>
      <c r="E23">
        <v>0.54800000000000004</v>
      </c>
      <c r="F23">
        <v>0.307</v>
      </c>
      <c r="G23">
        <v>0.22700000000000001</v>
      </c>
      <c r="H23">
        <v>0.50900000000000001</v>
      </c>
      <c r="I23">
        <v>0.54300000000000004</v>
      </c>
      <c r="J23" s="143">
        <v>1</v>
      </c>
      <c r="K23" s="143">
        <v>1</v>
      </c>
      <c r="L23" s="143">
        <v>0</v>
      </c>
      <c r="M23" s="143">
        <v>0</v>
      </c>
    </row>
    <row r="24" spans="1:13">
      <c r="A24">
        <v>8</v>
      </c>
      <c r="B24">
        <v>0.48</v>
      </c>
      <c r="C24" s="103"/>
      <c r="D24">
        <v>0.505</v>
      </c>
      <c r="E24" s="103"/>
      <c r="F24">
        <v>0.32500000000000001</v>
      </c>
      <c r="G24" s="103"/>
      <c r="H24">
        <v>0.51500000000000001</v>
      </c>
      <c r="I24" s="103"/>
      <c r="J24" s="143">
        <v>1</v>
      </c>
      <c r="K24" s="143"/>
      <c r="L24" s="143">
        <v>0</v>
      </c>
      <c r="M24" s="143"/>
    </row>
  </sheetData>
  <phoneticPr fontId="2"/>
  <pageMargins left="0.7" right="0.7" top="0.75" bottom="0.75" header="0.3" footer="0.3"/>
  <pageSetup paperSize="9" orientation="portrait" horizontalDpi="0" verticalDpi="0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A546-C366-4AD5-A632-B192480681ED}">
  <sheetPr codeName="Sheet21"/>
  <dimension ref="A1:F24"/>
  <sheetViews>
    <sheetView workbookViewId="0">
      <selection activeCell="B19" sqref="B19"/>
    </sheetView>
  </sheetViews>
  <sheetFormatPr defaultRowHeight="18.75"/>
  <sheetData>
    <row r="1" spans="1:6">
      <c r="B1" t="s">
        <v>2201</v>
      </c>
      <c r="C1" t="s">
        <v>2202</v>
      </c>
    </row>
    <row r="2" spans="1:6">
      <c r="A2" s="147" t="s">
        <v>8</v>
      </c>
      <c r="B2" s="147">
        <v>2.15</v>
      </c>
      <c r="C2">
        <v>4.59</v>
      </c>
      <c r="D2">
        <f ca="1">B2*外皮面積!$T$22</f>
        <v>1.9039234907757252</v>
      </c>
      <c r="E2">
        <f ca="1">C2*外皮面積!$T$22</f>
        <v>4.0646552663537578</v>
      </c>
      <c r="F2" t="s">
        <v>2188</v>
      </c>
    </row>
    <row r="3" spans="1:6">
      <c r="A3" s="147" t="s">
        <v>9</v>
      </c>
      <c r="B3" s="147">
        <v>2.97</v>
      </c>
      <c r="C3">
        <v>3.47</v>
      </c>
      <c r="D3">
        <f ca="1">B3*外皮面積!$T$22</f>
        <v>2.6300710546994903</v>
      </c>
      <c r="E3">
        <f ca="1">C3*外皮面積!$T$22</f>
        <v>3.0728439595310544</v>
      </c>
      <c r="F3" t="s">
        <v>2188</v>
      </c>
    </row>
    <row r="4" spans="1:6">
      <c r="A4" s="147" t="s">
        <v>9</v>
      </c>
      <c r="B4" s="147">
        <v>2.15</v>
      </c>
      <c r="C4">
        <v>3.47</v>
      </c>
      <c r="D4">
        <f ca="1">B4*外皮面積!$T$22</f>
        <v>1.9039234907757252</v>
      </c>
      <c r="E4">
        <f ca="1">C4*外皮面積!$T$22</f>
        <v>3.0728439595310544</v>
      </c>
      <c r="F4" t="s">
        <v>2188</v>
      </c>
    </row>
    <row r="5" spans="1:6">
      <c r="A5" s="147" t="s">
        <v>9</v>
      </c>
      <c r="B5" s="147">
        <v>2.15</v>
      </c>
      <c r="C5">
        <v>2.15</v>
      </c>
      <c r="D5">
        <f ca="1">B5*外皮面積!$T$22</f>
        <v>1.9039234907757252</v>
      </c>
      <c r="E5">
        <f ca="1">C5*外皮面積!$T$22</f>
        <v>1.9039234907757252</v>
      </c>
      <c r="F5" t="s">
        <v>2189</v>
      </c>
    </row>
    <row r="6" spans="1:6">
      <c r="A6" s="147" t="s">
        <v>10</v>
      </c>
      <c r="B6" s="147">
        <v>0.6</v>
      </c>
      <c r="C6">
        <v>0.98</v>
      </c>
      <c r="D6">
        <f ca="1">B6*外皮面積!$T$22</f>
        <v>0.53132748579787681</v>
      </c>
      <c r="E6">
        <f ca="1">C6*外皮面積!$T$22</f>
        <v>0.86783489346986542</v>
      </c>
      <c r="F6" t="s">
        <v>2189</v>
      </c>
    </row>
    <row r="7" spans="1:6">
      <c r="A7" s="147" t="s">
        <v>12</v>
      </c>
      <c r="B7" s="147">
        <v>0.35</v>
      </c>
      <c r="C7">
        <v>0.54</v>
      </c>
      <c r="D7">
        <f ca="1">B7*外皮面積!$T$22</f>
        <v>0.30994103338209478</v>
      </c>
      <c r="E7">
        <f ca="1">C7*外皮面積!$T$22</f>
        <v>0.47819473721808914</v>
      </c>
      <c r="F7" t="s">
        <v>2190</v>
      </c>
    </row>
    <row r="8" spans="1:6">
      <c r="A8" s="147" t="s">
        <v>13</v>
      </c>
      <c r="B8" s="147">
        <v>0.35</v>
      </c>
      <c r="C8">
        <v>0.54</v>
      </c>
      <c r="D8">
        <f ca="1">B8*外皮面積!$T$22</f>
        <v>0.30994103338209478</v>
      </c>
      <c r="E8">
        <f ca="1">C8*外皮面積!$T$22</f>
        <v>0.47819473721808914</v>
      </c>
      <c r="F8" t="s">
        <v>2190</v>
      </c>
    </row>
    <row r="9" spans="1:6">
      <c r="A9" s="147" t="s">
        <v>11</v>
      </c>
      <c r="B9" s="147">
        <v>0.35</v>
      </c>
      <c r="C9">
        <v>0.54</v>
      </c>
      <c r="D9">
        <f ca="1">B9*外皮面積!$T$22</f>
        <v>0.30994103338209478</v>
      </c>
      <c r="E9">
        <f ca="1">C9*外皮面積!$T$22</f>
        <v>0.47819473721808914</v>
      </c>
      <c r="F9" t="s">
        <v>2191</v>
      </c>
    </row>
    <row r="10" spans="1:6">
      <c r="A10" s="147" t="s">
        <v>14</v>
      </c>
      <c r="B10" s="147">
        <v>0.35</v>
      </c>
      <c r="C10">
        <v>0.54</v>
      </c>
      <c r="D10">
        <f ca="1">B10*外皮面積!$T$22</f>
        <v>0.30994103338209478</v>
      </c>
      <c r="E10">
        <f ca="1">C10*外皮面積!$T$22</f>
        <v>0.47819473721808914</v>
      </c>
      <c r="F10" t="s">
        <v>2190</v>
      </c>
    </row>
    <row r="11" spans="1:6">
      <c r="A11" s="147" t="s">
        <v>16</v>
      </c>
      <c r="B11" s="147">
        <v>1.82</v>
      </c>
      <c r="C11">
        <v>1.73</v>
      </c>
      <c r="D11">
        <f ca="1">B11*外皮面積!$T$22</f>
        <v>1.611693373586893</v>
      </c>
      <c r="E11">
        <f ca="1">C11*外皮面積!$T$22</f>
        <v>1.5319942507172115</v>
      </c>
      <c r="F11" t="s">
        <v>2188</v>
      </c>
    </row>
    <row r="12" spans="1:6">
      <c r="A12" s="147" t="s">
        <v>17</v>
      </c>
      <c r="B12" s="147">
        <v>2.97</v>
      </c>
      <c r="C12">
        <v>3.22</v>
      </c>
      <c r="D12">
        <f ca="1">B12*外皮面積!$T$22</f>
        <v>2.6300710546994903</v>
      </c>
      <c r="E12">
        <f ca="1">C12*外皮面積!$T$22</f>
        <v>2.8514575071152723</v>
      </c>
      <c r="F12" t="s">
        <v>2188</v>
      </c>
    </row>
    <row r="13" spans="1:6">
      <c r="A13" s="147" t="s">
        <v>18</v>
      </c>
      <c r="B13" s="147">
        <v>2.97</v>
      </c>
      <c r="C13">
        <v>3.22</v>
      </c>
      <c r="D13">
        <f ca="1">B13*外皮面積!$T$22</f>
        <v>2.6300710546994903</v>
      </c>
      <c r="E13">
        <f ca="1">C13*外皮面積!$T$22</f>
        <v>2.8514575071152723</v>
      </c>
      <c r="F13" t="s">
        <v>2188</v>
      </c>
    </row>
    <row r="14" spans="1:6">
      <c r="A14" s="147" t="s">
        <v>18</v>
      </c>
      <c r="B14" s="147">
        <v>0.35</v>
      </c>
      <c r="C14">
        <v>0.66</v>
      </c>
      <c r="D14">
        <f ca="1">B14*外皮面積!$T$22</f>
        <v>0.30994103338209478</v>
      </c>
      <c r="E14">
        <f ca="1">C14*外皮面積!$T$22</f>
        <v>0.58446023437766448</v>
      </c>
      <c r="F14" t="s">
        <v>2189</v>
      </c>
    </row>
    <row r="15" spans="1:6">
      <c r="A15" s="147" t="s">
        <v>19</v>
      </c>
      <c r="B15" s="147">
        <v>0.84</v>
      </c>
      <c r="C15">
        <v>0.99</v>
      </c>
      <c r="D15">
        <f ca="1">B15*外皮面積!$T$22</f>
        <v>0.74385848011702749</v>
      </c>
      <c r="E15">
        <f ca="1">C15*外皮面積!$T$22</f>
        <v>0.87669035156649677</v>
      </c>
      <c r="F15" t="s">
        <v>2190</v>
      </c>
    </row>
    <row r="16" spans="1:6">
      <c r="A16" s="147" t="s">
        <v>16</v>
      </c>
      <c r="B16" s="147">
        <v>1.31</v>
      </c>
      <c r="C16">
        <v>0.99</v>
      </c>
      <c r="D16">
        <f ca="1">B16*外皮面積!$T$22</f>
        <v>1.1600650106586978</v>
      </c>
      <c r="E16">
        <f ca="1">C16*外皮面積!$T$22</f>
        <v>0.87669035156649677</v>
      </c>
      <c r="F16" t="s">
        <v>2191</v>
      </c>
    </row>
    <row r="17" spans="1:6">
      <c r="A17" s="147" t="s">
        <v>21</v>
      </c>
      <c r="B17" s="147">
        <v>0.35</v>
      </c>
      <c r="C17">
        <v>0.54</v>
      </c>
      <c r="D17">
        <f ca="1">B17*外皮面積!$T$22</f>
        <v>0.30994103338209478</v>
      </c>
      <c r="E17">
        <f ca="1">C17*外皮面積!$T$22</f>
        <v>0.47819473721808914</v>
      </c>
      <c r="F17" t="s">
        <v>2190</v>
      </c>
    </row>
    <row r="18" spans="1:6">
      <c r="A18" s="147" t="s">
        <v>15</v>
      </c>
      <c r="B18" s="147">
        <v>0</v>
      </c>
      <c r="C18">
        <v>0.54</v>
      </c>
      <c r="D18">
        <f ca="1">B18*外皮面積!$T$22</f>
        <v>0</v>
      </c>
      <c r="E18">
        <f ca="1">C18*外皮面積!$T$22</f>
        <v>0.47819473721808914</v>
      </c>
      <c r="F18" t="s">
        <v>2191</v>
      </c>
    </row>
    <row r="21" spans="1:6">
      <c r="A21" s="147" t="s">
        <v>2063</v>
      </c>
      <c r="B21">
        <f>B2+B3+B4+B11+B12+B13</f>
        <v>15.030000000000001</v>
      </c>
      <c r="C21">
        <f>C2+C3+C4+C11+C12+C13</f>
        <v>19.7</v>
      </c>
    </row>
    <row r="22" spans="1:6">
      <c r="A22" s="147" t="s">
        <v>2064</v>
      </c>
      <c r="B22">
        <f>B9+B16+B18</f>
        <v>1.6600000000000001</v>
      </c>
      <c r="C22">
        <f>C9+C16+C18</f>
        <v>2.0700000000000003</v>
      </c>
    </row>
    <row r="23" spans="1:6">
      <c r="A23" s="147" t="s">
        <v>2065</v>
      </c>
      <c r="B23">
        <f>B7+B8+B10+B15+B17</f>
        <v>2.2399999999999998</v>
      </c>
      <c r="C23">
        <f>C7+C8+C10+C15+C17</f>
        <v>3.1500000000000004</v>
      </c>
    </row>
    <row r="24" spans="1:6">
      <c r="A24" s="147" t="s">
        <v>2066</v>
      </c>
      <c r="B24">
        <f>B5+B6+B14</f>
        <v>3.1</v>
      </c>
      <c r="C24">
        <f>C5+C6+C14</f>
        <v>3.79</v>
      </c>
    </row>
  </sheetData>
  <autoFilter ref="A1:F18" xr:uid="{0F01A546-C366-4AD5-A632-B192480681ED}"/>
  <phoneticPr fontId="2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59912D5F3CB7E48A16FA488DCE0BDA8" ma:contentTypeVersion="11" ma:contentTypeDescription="新しいドキュメントを作成します。" ma:contentTypeScope="" ma:versionID="136c2a9752c2102925f580c92a68fff0">
  <xsd:schema xmlns:xsd="http://www.w3.org/2001/XMLSchema" xmlns:xs="http://www.w3.org/2001/XMLSchema" xmlns:p="http://schemas.microsoft.com/office/2006/metadata/properties" xmlns:ns2="9208fefe-00f3-4f77-ad7e-3e38cdb6f50c" xmlns:ns3="2edfd4d1-33c5-4d3a-a3fe-f2f72ddab336" targetNamespace="http://schemas.microsoft.com/office/2006/metadata/properties" ma:root="true" ma:fieldsID="728efcd10b340d86dc23eaac1c091578" ns2:_="" ns3:_="">
    <xsd:import namespace="9208fefe-00f3-4f77-ad7e-3e38cdb6f50c"/>
    <xsd:import namespace="2edfd4d1-33c5-4d3a-a3fe-f2f72ddab3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8fefe-00f3-4f77-ad7e-3e38cdb6f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9ef318a-0d5e-4573-99fb-ccb5a01f98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fd4d1-33c5-4d3a-a3fe-f2f72ddab3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563c53-5018-4218-afe3-e32d2405849c}" ma:internalName="TaxCatchAll" ma:showField="CatchAllData" ma:web="2edfd4d1-33c5-4d3a-a3fe-f2f72ddab3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8fefe-00f3-4f77-ad7e-3e38cdb6f50c">
      <Terms xmlns="http://schemas.microsoft.com/office/infopath/2007/PartnerControls"/>
    </lcf76f155ced4ddcb4097134ff3c332f>
    <TaxCatchAll xmlns="2edfd4d1-33c5-4d3a-a3fe-f2f72ddab336" xsi:nil="true"/>
  </documentManagement>
</p:properties>
</file>

<file path=customXml/itemProps1.xml><?xml version="1.0" encoding="utf-8"?>
<ds:datastoreItem xmlns:ds="http://schemas.openxmlformats.org/officeDocument/2006/customXml" ds:itemID="{2CC07E08-29B0-42A0-8385-D21622DC44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8fefe-00f3-4f77-ad7e-3e38cdb6f50c"/>
    <ds:schemaRef ds:uri="2edfd4d1-33c5-4d3a-a3fe-f2f72ddab3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51E2BA-82DC-47DD-9E42-6C565FF0CC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760AAA-CB95-4187-B584-722E8E3F0241}">
  <ds:schemaRefs>
    <ds:schemaRef ds:uri="http://schemas.microsoft.com/office/2006/metadata/properties"/>
    <ds:schemaRef ds:uri="http://schemas.microsoft.com/office/infopath/2007/PartnerControls"/>
    <ds:schemaRef ds:uri="9208fefe-00f3-4f77-ad7e-3e38cdb6f50c"/>
    <ds:schemaRef ds:uri="2edfd4d1-33c5-4d3a-a3fe-f2f72ddab3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22</vt:i4>
      </vt:variant>
    </vt:vector>
  </HeadingPairs>
  <TitlesOfParts>
    <vt:vector size="22" baseType="lpstr">
      <vt:lpstr>室気積</vt:lpstr>
      <vt:lpstr>計算条件</vt:lpstr>
      <vt:lpstr>外皮面積</vt:lpstr>
      <vt:lpstr>断熱材の厚さ</vt:lpstr>
      <vt:lpstr>common</vt:lpstr>
      <vt:lpstr>building</vt:lpstr>
      <vt:lpstr>rooms</vt:lpstr>
      <vt:lpstr>external_general_parts</vt:lpstr>
      <vt:lpstr>external_opaque_parts</vt:lpstr>
      <vt:lpstr>external_transparent_parts</vt:lpstr>
      <vt:lpstr>internals</vt:lpstr>
      <vt:lpstr>内壁</vt:lpstr>
      <vt:lpstr>grounds</vt:lpstr>
      <vt:lpstr>layers</vt:lpstr>
      <vt:lpstr>ケース名</vt:lpstr>
      <vt:lpstr>スケジュール名</vt:lpstr>
      <vt:lpstr>外壁面積の計算</vt:lpstr>
      <vt:lpstr>断熱材仕様</vt:lpstr>
      <vt:lpstr>開口部 U値η値</vt:lpstr>
      <vt:lpstr>砂川さんエクセルデータ</vt:lpstr>
      <vt:lpstr>方位係数</vt:lpstr>
      <vt:lpstr>窓面積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Keisuke Nishimura</dc:creator>
  <cp:keywords/>
  <dc:description/>
  <cp:lastModifiedBy>private Satoh</cp:lastModifiedBy>
  <cp:revision/>
  <dcterms:created xsi:type="dcterms:W3CDTF">2023-04-26T04:37:10Z</dcterms:created>
  <dcterms:modified xsi:type="dcterms:W3CDTF">2024-01-31T03:08:10Z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0x010100059912D5F3CB7E48A16FA488DCE0BDA8</vt:lpwstr>
  </property>
  <property fmtid="{D5CDD505-2E9C-101B-9397-08002B2CF9AE}" pid="3" name="MediaServiceImageTags">
    <vt:lpwstr/>
  </property>
</Properties>
</file>