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xml"/>
  <Override PartName="/xl/pivotTables/pivotTable1.xml" ContentType="application/vnd.openxmlformats-officedocument.spreadsheetml.pivotTable+xml"/>
  <Override PartName="/xl/drawings/drawing8.xml" ContentType="application/vnd.openxmlformats-officedocument.drawing+xml"/>
  <Override PartName="/xl/charts/chart25.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28.xml" ContentType="application/vnd.openxmlformats-officedocument.drawingml.chart+xml"/>
  <Override PartName="/xl/drawings/drawing14.xml" ContentType="application/vnd.openxmlformats-officedocument.drawing+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ExcelR\Data Analytics\Worksheets\"/>
    </mc:Choice>
  </mc:AlternateContent>
  <xr:revisionPtr revIDLastSave="0" documentId="13_ncr:1_{596344B9-32E6-459F-B9C3-E10494D58469}" xr6:coauthVersionLast="47" xr6:coauthVersionMax="47" xr10:uidLastSave="{00000000-0000-0000-0000-000000000000}"/>
  <bookViews>
    <workbookView xWindow="-108" yWindow="-108" windowWidth="23256" windowHeight="12576" tabRatio="879" activeTab="15" xr2:uid="{00000000-000D-0000-FFFF-FFFF00000000}"/>
  </bookViews>
  <sheets>
    <sheet name="Index" sheetId="21" r:id="rId1"/>
    <sheet name="MeanMedianMode" sheetId="2" r:id="rId2"/>
    <sheet name="Freq. Dist" sheetId="20" r:id="rId3"/>
    <sheet name="Ogives and Hist." sheetId="4" r:id="rId4"/>
    <sheet name="Pie Chart" sheetId="5" r:id="rId5"/>
    <sheet name="Line Chart" sheetId="6" r:id="rId6"/>
    <sheet name="Scatter Plot" sheetId="7" r:id="rId7"/>
    <sheet name="Box and whiskers" sheetId="15" r:id="rId8"/>
    <sheet name="VAR and SD Ex 1" sheetId="22" r:id="rId9"/>
    <sheet name=" VAR and SD Ex 2" sheetId="11" r:id="rId10"/>
    <sheet name="Empirical" sheetId="9" r:id="rId11"/>
    <sheet name="Skewness and kurt" sheetId="18" r:id="rId12"/>
    <sheet name="Descr. Stat" sheetId="23" r:id="rId13"/>
    <sheet name="Descr. Stat Exp" sheetId="24" r:id="rId14"/>
    <sheet name="Desc. Stat" sheetId="1" r:id="rId15"/>
    <sheet name="Freq. Dist." sheetId="3" r:id="rId16"/>
    <sheet name="Calculation of Variance &amp; SD" sheetId="25" r:id="rId17"/>
    <sheet name="Probability Distribution" sheetId="29" r:id="rId18"/>
    <sheet name="Box-Plot" sheetId="26" r:id="rId19"/>
    <sheet name="Probability" sheetId="27" r:id="rId20"/>
    <sheet name="Practice Problems" sheetId="28" r:id="rId21"/>
    <sheet name="Contiuous Probability" sheetId="30" r:id="rId22"/>
    <sheet name="Solutions to Practice Problems" sheetId="31" r:id="rId23"/>
    <sheet name="Hypothesis Testing &amp; ANOVA" sheetId="32" r:id="rId24"/>
    <sheet name="Sheet1" sheetId="33" r:id="rId25"/>
    <sheet name="Sheet2" sheetId="34" r:id="rId26"/>
    <sheet name="Sheet3" sheetId="35" r:id="rId27"/>
    <sheet name="Sheet4" sheetId="36" r:id="rId28"/>
  </sheets>
  <definedNames>
    <definedName name="_xlnm._FilterDatabase" localSheetId="7" hidden="1">'Box and whiskers'!$A$6:$A$157</definedName>
    <definedName name="_xlnm._FilterDatabase" localSheetId="21" hidden="1">'Contiuous Probability'!$T$1:$T$1471</definedName>
    <definedName name="_xlnm._FilterDatabase" localSheetId="12" hidden="1">'Descr. Stat'!$A$3:$K$33</definedName>
    <definedName name="_xlnm._FilterDatabase" localSheetId="27" hidden="1">Sheet4!$A$1:$A$1471</definedName>
    <definedName name="OLE_LINK2" localSheetId="26">Sheet3!$A$7</definedName>
  </definedNames>
  <calcPr calcId="191029"/>
  <pivotCaches>
    <pivotCache cacheId="0" r:id="rId2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5" i="18" l="1"/>
  <c r="D28" i="2" l="1"/>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27" i="2"/>
  <c r="E27" i="2" s="1"/>
  <c r="E48" i="2" s="1"/>
  <c r="Q74" i="22"/>
  <c r="P74" i="22"/>
  <c r="Q73" i="22"/>
  <c r="P73" i="22"/>
  <c r="Q72" i="22"/>
  <c r="P72" i="22"/>
  <c r="K22" i="2"/>
  <c r="K5" i="2"/>
  <c r="K7" i="2"/>
  <c r="K9" i="2"/>
  <c r="K11" i="2"/>
  <c r="K13" i="2"/>
  <c r="K15" i="2"/>
  <c r="K17" i="2"/>
  <c r="K19" i="2"/>
  <c r="K4" i="2"/>
  <c r="J5" i="2"/>
  <c r="J6" i="2"/>
  <c r="K6" i="2" s="1"/>
  <c r="J7" i="2"/>
  <c r="J8" i="2"/>
  <c r="K8" i="2" s="1"/>
  <c r="J9" i="2"/>
  <c r="J10" i="2"/>
  <c r="K10" i="2" s="1"/>
  <c r="J11" i="2"/>
  <c r="J12" i="2"/>
  <c r="K12" i="2" s="1"/>
  <c r="J13" i="2"/>
  <c r="J14" i="2"/>
  <c r="K14" i="2" s="1"/>
  <c r="J15" i="2"/>
  <c r="J16" i="2"/>
  <c r="K16" i="2" s="1"/>
  <c r="J17" i="2"/>
  <c r="J18" i="2"/>
  <c r="K18" i="2" s="1"/>
  <c r="J19" i="2"/>
  <c r="J20" i="2"/>
  <c r="K20" i="2" s="1"/>
  <c r="J4" i="2"/>
  <c r="F5" i="2"/>
  <c r="H17" i="35"/>
  <c r="N15" i="35"/>
  <c r="H15" i="35"/>
  <c r="N16" i="35"/>
  <c r="K14" i="35"/>
  <c r="J11" i="35"/>
  <c r="J8" i="35"/>
  <c r="L8" i="35" s="1"/>
  <c r="J10" i="35" s="1"/>
  <c r="J6" i="35"/>
  <c r="J5" i="35"/>
  <c r="J4" i="35"/>
  <c r="K39" i="36"/>
  <c r="K38" i="36"/>
  <c r="K37" i="36"/>
  <c r="H35" i="36"/>
  <c r="H34" i="36"/>
  <c r="M38" i="36" s="1"/>
  <c r="B45" i="34"/>
  <c r="B43" i="34"/>
  <c r="B37" i="34"/>
  <c r="B35" i="34"/>
  <c r="B34" i="34"/>
  <c r="D392" i="29"/>
  <c r="E390" i="29"/>
  <c r="K387" i="29"/>
  <c r="I388" i="29"/>
  <c r="I389" i="29"/>
  <c r="I390" i="29"/>
  <c r="I391" i="29"/>
  <c r="I392" i="29"/>
  <c r="I387" i="29"/>
  <c r="D385" i="29"/>
  <c r="D377" i="29"/>
  <c r="D378" i="29"/>
  <c r="D379" i="29"/>
  <c r="D380" i="29"/>
  <c r="D381" i="29"/>
  <c r="D382" i="29"/>
  <c r="D383" i="29"/>
  <c r="D384" i="29"/>
  <c r="D386" i="29"/>
  <c r="D376" i="29"/>
  <c r="E376" i="29" s="1"/>
  <c r="E4" i="34"/>
  <c r="J23" i="34"/>
  <c r="J19" i="34"/>
  <c r="H13" i="34"/>
  <c r="H8" i="34"/>
  <c r="F4" i="34"/>
  <c r="E5" i="34"/>
  <c r="E6" i="34"/>
  <c r="E7" i="34"/>
  <c r="E8" i="34"/>
  <c r="E9" i="34"/>
  <c r="E10" i="34"/>
  <c r="E11" i="34"/>
  <c r="E12" i="34"/>
  <c r="E13" i="34"/>
  <c r="E14" i="34"/>
  <c r="E13" i="20"/>
  <c r="C8" i="18"/>
  <c r="H118" i="4"/>
  <c r="H119" i="4"/>
  <c r="H123" i="4"/>
  <c r="H126" i="4"/>
  <c r="H116" i="4"/>
  <c r="I116" i="4" s="1"/>
  <c r="F127" i="4"/>
  <c r="H120" i="4" s="1"/>
  <c r="G117" i="4"/>
  <c r="G118" i="4"/>
  <c r="G119" i="4" s="1"/>
  <c r="G120" i="4" s="1"/>
  <c r="G121" i="4" s="1"/>
  <c r="G122" i="4" s="1"/>
  <c r="G123" i="4" s="1"/>
  <c r="G124" i="4" s="1"/>
  <c r="G125" i="4" s="1"/>
  <c r="G126" i="4" s="1"/>
  <c r="G116" i="4"/>
  <c r="G161" i="22"/>
  <c r="E157" i="22"/>
  <c r="C151" i="22"/>
  <c r="D143" i="22" s="1"/>
  <c r="E143" i="22" s="1"/>
  <c r="F137" i="22"/>
  <c r="C131" i="22"/>
  <c r="N21" i="25"/>
  <c r="N25" i="25"/>
  <c r="N37" i="25"/>
  <c r="M39" i="25"/>
  <c r="N39" i="25" s="1"/>
  <c r="M21" i="25"/>
  <c r="M22" i="25"/>
  <c r="N22" i="25" s="1"/>
  <c r="M23" i="25"/>
  <c r="N23" i="25" s="1"/>
  <c r="M24" i="25"/>
  <c r="N24" i="25" s="1"/>
  <c r="M25" i="25"/>
  <c r="M26" i="25"/>
  <c r="N26" i="25" s="1"/>
  <c r="M27" i="25"/>
  <c r="N27" i="25" s="1"/>
  <c r="M28" i="25"/>
  <c r="N28" i="25" s="1"/>
  <c r="M29" i="25"/>
  <c r="N29" i="25" s="1"/>
  <c r="M30" i="25"/>
  <c r="N30" i="25" s="1"/>
  <c r="M31" i="25"/>
  <c r="N31" i="25" s="1"/>
  <c r="M32" i="25"/>
  <c r="N32" i="25" s="1"/>
  <c r="M33" i="25"/>
  <c r="N33" i="25" s="1"/>
  <c r="M34" i="25"/>
  <c r="N34" i="25" s="1"/>
  <c r="M35" i="25"/>
  <c r="N35" i="25" s="1"/>
  <c r="M36" i="25"/>
  <c r="N36" i="25" s="1"/>
  <c r="M37" i="25"/>
  <c r="M38" i="25"/>
  <c r="N38" i="25" s="1"/>
  <c r="M20" i="25"/>
  <c r="N20" i="25" s="1"/>
  <c r="L42" i="25"/>
  <c r="B454" i="31"/>
  <c r="C443" i="31"/>
  <c r="C444" i="31"/>
  <c r="C445" i="31"/>
  <c r="C446" i="31"/>
  <c r="C447" i="31"/>
  <c r="C448" i="31"/>
  <c r="C449" i="31"/>
  <c r="C450" i="31"/>
  <c r="C451" i="31"/>
  <c r="C452" i="31"/>
  <c r="C442" i="31"/>
  <c r="C439" i="31"/>
  <c r="C438" i="31"/>
  <c r="F434" i="31"/>
  <c r="D433" i="31"/>
  <c r="D432" i="31"/>
  <c r="B430" i="31"/>
  <c r="B428" i="31"/>
  <c r="B426" i="31"/>
  <c r="C421" i="31"/>
  <c r="B202" i="31"/>
  <c r="D200" i="31"/>
  <c r="E194" i="31"/>
  <c r="E193" i="31"/>
  <c r="D192" i="31"/>
  <c r="D190" i="31"/>
  <c r="D188" i="31"/>
  <c r="D186" i="31"/>
  <c r="C181" i="31"/>
  <c r="C184" i="31" s="1"/>
  <c r="C169" i="31"/>
  <c r="C170" i="31"/>
  <c r="C171" i="31"/>
  <c r="H156" i="31"/>
  <c r="C159" i="31"/>
  <c r="C141" i="31"/>
  <c r="C142" i="31" s="1"/>
  <c r="C140" i="31"/>
  <c r="C139" i="31"/>
  <c r="C123" i="31"/>
  <c r="C122" i="31"/>
  <c r="C120" i="31"/>
  <c r="C119" i="31"/>
  <c r="C118" i="31"/>
  <c r="B116" i="31"/>
  <c r="B110" i="31"/>
  <c r="B108" i="31"/>
  <c r="B107" i="31"/>
  <c r="B104" i="31"/>
  <c r="B103" i="31"/>
  <c r="B101" i="31"/>
  <c r="B100" i="31"/>
  <c r="B99" i="31"/>
  <c r="B97" i="31"/>
  <c r="B96" i="31"/>
  <c r="B94" i="31"/>
  <c r="B93" i="31"/>
  <c r="B91" i="31"/>
  <c r="B89" i="31"/>
  <c r="B87" i="31"/>
  <c r="B86" i="31"/>
  <c r="B85" i="31"/>
  <c r="B84" i="31"/>
  <c r="X101" i="30"/>
  <c r="X102" i="30"/>
  <c r="X103" i="30"/>
  <c r="X104" i="30"/>
  <c r="X105" i="30"/>
  <c r="X106" i="30"/>
  <c r="X107" i="30"/>
  <c r="X108" i="30"/>
  <c r="X109" i="30"/>
  <c r="X110" i="30"/>
  <c r="X100" i="30"/>
  <c r="W98" i="30"/>
  <c r="AC96" i="30"/>
  <c r="AB96" i="30"/>
  <c r="AC95" i="30"/>
  <c r="AB95" i="30"/>
  <c r="AC94" i="30"/>
  <c r="AB94" i="30"/>
  <c r="AB89" i="30"/>
  <c r="AB78" i="30"/>
  <c r="AB59" i="30"/>
  <c r="AB58" i="30"/>
  <c r="AB49" i="30"/>
  <c r="AB47" i="30"/>
  <c r="F599" i="32"/>
  <c r="F598" i="32"/>
  <c r="F597" i="32"/>
  <c r="E598" i="32"/>
  <c r="E599" i="32"/>
  <c r="E597" i="32"/>
  <c r="D597" i="32"/>
  <c r="D598" i="32"/>
  <c r="D599" i="32"/>
  <c r="E593" i="32"/>
  <c r="F593" i="32"/>
  <c r="D593" i="32"/>
  <c r="G591" i="32"/>
  <c r="G592" i="32"/>
  <c r="G590" i="32"/>
  <c r="E50" i="33"/>
  <c r="D50" i="33"/>
  <c r="C50" i="33"/>
  <c r="F49" i="33"/>
  <c r="F48" i="33"/>
  <c r="F47" i="33"/>
  <c r="D43" i="33"/>
  <c r="E43" i="33"/>
  <c r="C43" i="33"/>
  <c r="F41" i="33"/>
  <c r="F42" i="33"/>
  <c r="F40" i="33"/>
  <c r="F43" i="33" s="1"/>
  <c r="E18" i="33"/>
  <c r="F18" i="33" s="1"/>
  <c r="E30" i="33"/>
  <c r="E31" i="33"/>
  <c r="E32" i="33"/>
  <c r="F32" i="33" s="1"/>
  <c r="E33" i="33"/>
  <c r="E29" i="33"/>
  <c r="E24" i="33"/>
  <c r="E25" i="33"/>
  <c r="F25" i="33" s="1"/>
  <c r="E26" i="33"/>
  <c r="F26" i="33" s="1"/>
  <c r="E27" i="33"/>
  <c r="F27" i="33" s="1"/>
  <c r="E23" i="33"/>
  <c r="F23" i="33" s="1"/>
  <c r="E19" i="33"/>
  <c r="F19" i="33" s="1"/>
  <c r="E20" i="33"/>
  <c r="F20" i="33" s="1"/>
  <c r="E21" i="33"/>
  <c r="E17" i="33"/>
  <c r="F17" i="33" s="1"/>
  <c r="F30" i="33"/>
  <c r="F31" i="33"/>
  <c r="I10" i="33"/>
  <c r="J7" i="33" s="1"/>
  <c r="K7" i="33" s="1"/>
  <c r="F10" i="33"/>
  <c r="G8" i="33" s="1"/>
  <c r="C10" i="33"/>
  <c r="D8" i="33" s="1"/>
  <c r="E8" i="33" s="1"/>
  <c r="A555" i="32"/>
  <c r="K21" i="2" l="1"/>
  <c r="K23" i="2" s="1"/>
  <c r="K24" i="2" s="1"/>
  <c r="H122" i="4"/>
  <c r="E16" i="34"/>
  <c r="D603" i="32"/>
  <c r="E377" i="29"/>
  <c r="E378" i="29" s="1"/>
  <c r="E379" i="29" s="1"/>
  <c r="E380" i="29" s="1"/>
  <c r="E381" i="29" s="1"/>
  <c r="E382" i="29" s="1"/>
  <c r="E383" i="29" s="1"/>
  <c r="E384" i="29" s="1"/>
  <c r="E385" i="29" s="1"/>
  <c r="E386" i="29" s="1"/>
  <c r="F5" i="34"/>
  <c r="F6" i="34" s="1"/>
  <c r="F7" i="34" s="1"/>
  <c r="F8" i="34" s="1"/>
  <c r="F9" i="34" s="1"/>
  <c r="F10" i="34" s="1"/>
  <c r="F11" i="34" s="1"/>
  <c r="F12" i="34" s="1"/>
  <c r="F13" i="34" s="1"/>
  <c r="F14" i="34" s="1"/>
  <c r="I394" i="29"/>
  <c r="L39" i="36"/>
  <c r="N42" i="25"/>
  <c r="N44" i="25" s="1"/>
  <c r="N46" i="25" s="1"/>
  <c r="H125" i="4"/>
  <c r="H121" i="4"/>
  <c r="H117" i="4"/>
  <c r="I117" i="4" s="1"/>
  <c r="I118" i="4" s="1"/>
  <c r="I119" i="4" s="1"/>
  <c r="I120" i="4" s="1"/>
  <c r="I121" i="4" s="1"/>
  <c r="I122" i="4" s="1"/>
  <c r="I123" i="4" s="1"/>
  <c r="I124" i="4" s="1"/>
  <c r="I125" i="4" s="1"/>
  <c r="I126" i="4" s="1"/>
  <c r="D129" i="22"/>
  <c r="E129" i="22" s="1"/>
  <c r="D125" i="22"/>
  <c r="E125" i="22" s="1"/>
  <c r="D121" i="22"/>
  <c r="E121" i="22" s="1"/>
  <c r="D117" i="22"/>
  <c r="E117" i="22" s="1"/>
  <c r="D113" i="22"/>
  <c r="E113" i="22" s="1"/>
  <c r="D109" i="22"/>
  <c r="E109" i="22" s="1"/>
  <c r="D105" i="22"/>
  <c r="E105" i="22" s="1"/>
  <c r="D101" i="22"/>
  <c r="E101" i="22" s="1"/>
  <c r="D97" i="22"/>
  <c r="E97" i="22" s="1"/>
  <c r="D93" i="22"/>
  <c r="E93" i="22" s="1"/>
  <c r="D89" i="22"/>
  <c r="E89" i="22" s="1"/>
  <c r="D140" i="22"/>
  <c r="E140" i="22" s="1"/>
  <c r="D146" i="22"/>
  <c r="E146" i="22" s="1"/>
  <c r="D142" i="22"/>
  <c r="E142" i="22" s="1"/>
  <c r="D128" i="22"/>
  <c r="E128" i="22" s="1"/>
  <c r="D124" i="22"/>
  <c r="E124" i="22" s="1"/>
  <c r="D120" i="22"/>
  <c r="E120" i="22" s="1"/>
  <c r="D116" i="22"/>
  <c r="E116" i="22" s="1"/>
  <c r="D112" i="22"/>
  <c r="E112" i="22" s="1"/>
  <c r="D108" i="22"/>
  <c r="E108" i="22" s="1"/>
  <c r="D104" i="22"/>
  <c r="E104" i="22" s="1"/>
  <c r="D100" i="22"/>
  <c r="E100" i="22" s="1"/>
  <c r="D96" i="22"/>
  <c r="E96" i="22" s="1"/>
  <c r="D92" i="22"/>
  <c r="E92" i="22" s="1"/>
  <c r="D88" i="22"/>
  <c r="E88" i="22" s="1"/>
  <c r="D149" i="22"/>
  <c r="E149" i="22" s="1"/>
  <c r="D145" i="22"/>
  <c r="E145" i="22" s="1"/>
  <c r="D141" i="22"/>
  <c r="E141" i="22" s="1"/>
  <c r="H124" i="4"/>
  <c r="D127" i="22"/>
  <c r="E127" i="22" s="1"/>
  <c r="D123" i="22"/>
  <c r="E123" i="22" s="1"/>
  <c r="D119" i="22"/>
  <c r="E119" i="22" s="1"/>
  <c r="D115" i="22"/>
  <c r="E115" i="22" s="1"/>
  <c r="D111" i="22"/>
  <c r="E111" i="22" s="1"/>
  <c r="D107" i="22"/>
  <c r="E107" i="22" s="1"/>
  <c r="D103" i="22"/>
  <c r="E103" i="22" s="1"/>
  <c r="D99" i="22"/>
  <c r="E99" i="22" s="1"/>
  <c r="D95" i="22"/>
  <c r="E95" i="22" s="1"/>
  <c r="D91" i="22"/>
  <c r="E91" i="22" s="1"/>
  <c r="D148" i="22"/>
  <c r="E148" i="22" s="1"/>
  <c r="D144" i="22"/>
  <c r="E144" i="22" s="1"/>
  <c r="L38" i="36"/>
  <c r="M39" i="36"/>
  <c r="D87" i="22"/>
  <c r="E87" i="22" s="1"/>
  <c r="D126" i="22"/>
  <c r="E126" i="22" s="1"/>
  <c r="D122" i="22"/>
  <c r="E122" i="22" s="1"/>
  <c r="D118" i="22"/>
  <c r="E118" i="22" s="1"/>
  <c r="D114" i="22"/>
  <c r="E114" i="22" s="1"/>
  <c r="D110" i="22"/>
  <c r="E110" i="22" s="1"/>
  <c r="D106" i="22"/>
  <c r="E106" i="22" s="1"/>
  <c r="D102" i="22"/>
  <c r="E102" i="22" s="1"/>
  <c r="D98" i="22"/>
  <c r="E98" i="22" s="1"/>
  <c r="D94" i="22"/>
  <c r="E94" i="22" s="1"/>
  <c r="D90" i="22"/>
  <c r="E90" i="22" s="1"/>
  <c r="D147" i="22"/>
  <c r="E147" i="22" s="1"/>
  <c r="L37" i="36"/>
  <c r="M37" i="36"/>
  <c r="G593" i="32"/>
  <c r="F50" i="33"/>
  <c r="J6" i="33"/>
  <c r="K6" i="33" s="1"/>
  <c r="G4" i="33"/>
  <c r="F24" i="33"/>
  <c r="G5" i="33"/>
  <c r="H5" i="33" s="1"/>
  <c r="F21" i="33"/>
  <c r="F33" i="33"/>
  <c r="F29" i="33"/>
  <c r="D5" i="33"/>
  <c r="E5" i="33" s="1"/>
  <c r="D4" i="33"/>
  <c r="E4" i="33" s="1"/>
  <c r="J8" i="33"/>
  <c r="K8" i="33" s="1"/>
  <c r="J5" i="33"/>
  <c r="K5" i="33" s="1"/>
  <c r="J4" i="33"/>
  <c r="K4" i="33" s="1"/>
  <c r="D6" i="33"/>
  <c r="E6" i="33" s="1"/>
  <c r="D7" i="33"/>
  <c r="E7" i="33" s="1"/>
  <c r="G6" i="33"/>
  <c r="H6" i="33" s="1"/>
  <c r="G7" i="33"/>
  <c r="H7" i="33" s="1"/>
  <c r="H8" i="33"/>
  <c r="H4" i="33"/>
  <c r="D404" i="32"/>
  <c r="D398" i="32"/>
  <c r="D405" i="32"/>
  <c r="D400" i="32"/>
  <c r="C387" i="32"/>
  <c r="C386" i="32"/>
  <c r="E388" i="32"/>
  <c r="D388" i="32"/>
  <c r="C388" i="32"/>
  <c r="D387" i="32"/>
  <c r="E387" i="32"/>
  <c r="E389" i="32" s="1"/>
  <c r="E390" i="32" s="1"/>
  <c r="B374" i="32"/>
  <c r="C370" i="32" s="1"/>
  <c r="D370" i="32" s="1"/>
  <c r="B365" i="32"/>
  <c r="C361" i="32" s="1"/>
  <c r="D361" i="32" s="1"/>
  <c r="B356" i="32"/>
  <c r="C352" i="32" s="1"/>
  <c r="D352" i="32" s="1"/>
  <c r="AD39" i="30"/>
  <c r="AI19" i="30"/>
  <c r="AI18" i="30"/>
  <c r="AI17" i="30"/>
  <c r="AI16" i="30"/>
  <c r="AI15" i="30"/>
  <c r="AI14" i="30"/>
  <c r="K219" i="32"/>
  <c r="D204" i="32"/>
  <c r="D199" i="32"/>
  <c r="D198" i="32"/>
  <c r="D178" i="32"/>
  <c r="D177" i="32"/>
  <c r="D174" i="32"/>
  <c r="D173" i="32"/>
  <c r="D150" i="32"/>
  <c r="E154" i="32"/>
  <c r="D152" i="32"/>
  <c r="D135" i="32"/>
  <c r="D134" i="32"/>
  <c r="M107" i="32"/>
  <c r="D90" i="32"/>
  <c r="D89" i="32"/>
  <c r="D75" i="32"/>
  <c r="D74" i="32"/>
  <c r="B46" i="32"/>
  <c r="B47" i="32"/>
  <c r="H20" i="32"/>
  <c r="F20" i="32"/>
  <c r="D20" i="32"/>
  <c r="D18" i="32"/>
  <c r="B18" i="32"/>
  <c r="AD80" i="30"/>
  <c r="AD69" i="30"/>
  <c r="AD59" i="30"/>
  <c r="AD49" i="30"/>
  <c r="D67" i="31"/>
  <c r="D45" i="31"/>
  <c r="D23" i="31"/>
  <c r="F5" i="31"/>
  <c r="AB86" i="30"/>
  <c r="AB83" i="30"/>
  <c r="AB67" i="30"/>
  <c r="Y10" i="30"/>
  <c r="Y8" i="30"/>
  <c r="Y7" i="30"/>
  <c r="Y6" i="30"/>
  <c r="W47" i="30"/>
  <c r="X36" i="30" s="1"/>
  <c r="X37" i="30"/>
  <c r="B3" i="30"/>
  <c r="B4" i="30"/>
  <c r="B5" i="30"/>
  <c r="B6" i="30"/>
  <c r="B7" i="30"/>
  <c r="B8" i="30"/>
  <c r="B9" i="30"/>
  <c r="B10" i="30"/>
  <c r="B11" i="30"/>
  <c r="B12" i="30"/>
  <c r="B13" i="30"/>
  <c r="B14" i="30"/>
  <c r="B15" i="30"/>
  <c r="B16" i="30"/>
  <c r="B17" i="30"/>
  <c r="B18" i="30"/>
  <c r="B19" i="30"/>
  <c r="B20" i="30"/>
  <c r="B21" i="30"/>
  <c r="B22" i="30"/>
  <c r="B23" i="30"/>
  <c r="B24" i="30"/>
  <c r="B25" i="30"/>
  <c r="B26" i="30"/>
  <c r="B27" i="30"/>
  <c r="B28" i="30"/>
  <c r="B29" i="30"/>
  <c r="B30" i="30"/>
  <c r="B31" i="30"/>
  <c r="B32" i="30"/>
  <c r="B33" i="30"/>
  <c r="B34" i="30"/>
  <c r="B35" i="30"/>
  <c r="B36" i="30"/>
  <c r="B37" i="30"/>
  <c r="B38" i="30"/>
  <c r="B39" i="30"/>
  <c r="B40" i="30"/>
  <c r="B41" i="30"/>
  <c r="B42" i="30"/>
  <c r="B43" i="30"/>
  <c r="B44" i="30"/>
  <c r="B45" i="30"/>
  <c r="B46" i="30"/>
  <c r="B47" i="30"/>
  <c r="B48" i="30"/>
  <c r="B49" i="30"/>
  <c r="B50" i="30"/>
  <c r="B51" i="30"/>
  <c r="B52" i="30"/>
  <c r="B53" i="30"/>
  <c r="B54" i="30"/>
  <c r="B55" i="30"/>
  <c r="B56" i="30"/>
  <c r="B57" i="30"/>
  <c r="B58" i="30"/>
  <c r="B59" i="30"/>
  <c r="B60" i="30"/>
  <c r="B61" i="30"/>
  <c r="B62" i="30"/>
  <c r="B63" i="30"/>
  <c r="B64" i="30"/>
  <c r="B65" i="30"/>
  <c r="B66" i="30"/>
  <c r="B67" i="30"/>
  <c r="B68" i="30"/>
  <c r="B69" i="30"/>
  <c r="B70" i="30"/>
  <c r="B71" i="30"/>
  <c r="B72" i="30"/>
  <c r="B73" i="30"/>
  <c r="B74" i="30"/>
  <c r="B75" i="30"/>
  <c r="B76" i="30"/>
  <c r="B77" i="30"/>
  <c r="B78" i="30"/>
  <c r="B79" i="30"/>
  <c r="B80" i="30"/>
  <c r="B81" i="30"/>
  <c r="B82" i="30"/>
  <c r="B83" i="30"/>
  <c r="B84" i="30"/>
  <c r="B85" i="30"/>
  <c r="B86" i="30"/>
  <c r="B87" i="30"/>
  <c r="B88" i="30"/>
  <c r="B89" i="30"/>
  <c r="B90" i="30"/>
  <c r="B91" i="30"/>
  <c r="B92" i="30"/>
  <c r="B93" i="30"/>
  <c r="B94" i="30"/>
  <c r="B95" i="30"/>
  <c r="B96" i="30"/>
  <c r="B97" i="30"/>
  <c r="B98" i="30"/>
  <c r="B99" i="30"/>
  <c r="B100" i="30"/>
  <c r="B101" i="30"/>
  <c r="B102" i="30"/>
  <c r="B103" i="30"/>
  <c r="B104" i="30"/>
  <c r="B105" i="30"/>
  <c r="B106" i="30"/>
  <c r="B107" i="30"/>
  <c r="B108" i="30"/>
  <c r="B109" i="30"/>
  <c r="B110" i="30"/>
  <c r="B111" i="30"/>
  <c r="B112" i="30"/>
  <c r="B113" i="30"/>
  <c r="B114" i="30"/>
  <c r="B115" i="30"/>
  <c r="B116" i="30"/>
  <c r="B117" i="30"/>
  <c r="B118" i="30"/>
  <c r="B119" i="30"/>
  <c r="B120" i="30"/>
  <c r="B121" i="30"/>
  <c r="B122" i="30"/>
  <c r="B123" i="30"/>
  <c r="B124" i="30"/>
  <c r="B125" i="30"/>
  <c r="B126" i="30"/>
  <c r="B127" i="30"/>
  <c r="B128" i="30"/>
  <c r="B129" i="30"/>
  <c r="B130" i="30"/>
  <c r="B131" i="30"/>
  <c r="B132" i="30"/>
  <c r="B133" i="30"/>
  <c r="B134" i="30"/>
  <c r="B135" i="30"/>
  <c r="B136" i="30"/>
  <c r="B137" i="30"/>
  <c r="B138" i="30"/>
  <c r="B139" i="30"/>
  <c r="B140" i="30"/>
  <c r="B141" i="30"/>
  <c r="B142" i="30"/>
  <c r="B143" i="30"/>
  <c r="B144" i="30"/>
  <c r="B145" i="30"/>
  <c r="B146" i="30"/>
  <c r="B147" i="30"/>
  <c r="B148" i="30"/>
  <c r="B149" i="30"/>
  <c r="B150" i="30"/>
  <c r="B151" i="30"/>
  <c r="B152" i="30"/>
  <c r="B153" i="30"/>
  <c r="B154" i="30"/>
  <c r="B155" i="30"/>
  <c r="B156" i="30"/>
  <c r="B157" i="30"/>
  <c r="B158" i="30"/>
  <c r="B159" i="30"/>
  <c r="B160" i="30"/>
  <c r="B161" i="30"/>
  <c r="B162" i="30"/>
  <c r="B163" i="30"/>
  <c r="B164" i="30"/>
  <c r="B165" i="30"/>
  <c r="B166" i="30"/>
  <c r="B167" i="30"/>
  <c r="B168" i="30"/>
  <c r="B169" i="30"/>
  <c r="B170" i="30"/>
  <c r="B171" i="30"/>
  <c r="B172" i="30"/>
  <c r="B173" i="30"/>
  <c r="B174" i="30"/>
  <c r="B175" i="30"/>
  <c r="B176" i="30"/>
  <c r="B177" i="30"/>
  <c r="B178" i="30"/>
  <c r="B179" i="30"/>
  <c r="B180" i="30"/>
  <c r="B181" i="30"/>
  <c r="B182" i="30"/>
  <c r="B183" i="30"/>
  <c r="B184" i="30"/>
  <c r="B185" i="30"/>
  <c r="B186" i="30"/>
  <c r="B187" i="30"/>
  <c r="B188" i="30"/>
  <c r="B189" i="30"/>
  <c r="B190" i="30"/>
  <c r="B191" i="30"/>
  <c r="B192" i="30"/>
  <c r="B193" i="30"/>
  <c r="B194" i="30"/>
  <c r="B195" i="30"/>
  <c r="B196" i="30"/>
  <c r="B197" i="30"/>
  <c r="B198" i="30"/>
  <c r="B199" i="30"/>
  <c r="B200" i="30"/>
  <c r="B201" i="30"/>
  <c r="B202" i="30"/>
  <c r="B203" i="30"/>
  <c r="B204" i="30"/>
  <c r="B205" i="30"/>
  <c r="B206" i="30"/>
  <c r="B207" i="30"/>
  <c r="B208" i="30"/>
  <c r="B209" i="30"/>
  <c r="B210" i="30"/>
  <c r="B211" i="30"/>
  <c r="B212" i="30"/>
  <c r="B213" i="30"/>
  <c r="B214" i="30"/>
  <c r="B215" i="30"/>
  <c r="B216" i="30"/>
  <c r="B217" i="30"/>
  <c r="B218" i="30"/>
  <c r="B219" i="30"/>
  <c r="B220" i="30"/>
  <c r="B221" i="30"/>
  <c r="B222" i="30"/>
  <c r="B223" i="30"/>
  <c r="B224" i="30"/>
  <c r="B225" i="30"/>
  <c r="B226" i="30"/>
  <c r="B227" i="30"/>
  <c r="B228" i="30"/>
  <c r="B229" i="30"/>
  <c r="B230" i="30"/>
  <c r="B231" i="30"/>
  <c r="B232" i="30"/>
  <c r="B233" i="30"/>
  <c r="B234" i="30"/>
  <c r="B235" i="30"/>
  <c r="B236" i="30"/>
  <c r="B237" i="30"/>
  <c r="B238" i="30"/>
  <c r="B239" i="30"/>
  <c r="B240" i="30"/>
  <c r="B241" i="30"/>
  <c r="B242" i="30"/>
  <c r="B243" i="30"/>
  <c r="B244" i="30"/>
  <c r="B245" i="30"/>
  <c r="B246" i="30"/>
  <c r="B247" i="30"/>
  <c r="B248" i="30"/>
  <c r="B249" i="30"/>
  <c r="B250" i="30"/>
  <c r="B251" i="30"/>
  <c r="B252" i="30"/>
  <c r="B253" i="30"/>
  <c r="B254" i="30"/>
  <c r="B255" i="30"/>
  <c r="B256" i="30"/>
  <c r="B257" i="30"/>
  <c r="B258" i="30"/>
  <c r="B259" i="30"/>
  <c r="B260" i="30"/>
  <c r="B261" i="30"/>
  <c r="B262" i="30"/>
  <c r="B263" i="30"/>
  <c r="B264" i="30"/>
  <c r="B265" i="30"/>
  <c r="B266" i="30"/>
  <c r="B267" i="30"/>
  <c r="B268" i="30"/>
  <c r="B269" i="30"/>
  <c r="B270" i="30"/>
  <c r="B271" i="30"/>
  <c r="B272" i="30"/>
  <c r="B273" i="30"/>
  <c r="B274" i="30"/>
  <c r="B275" i="30"/>
  <c r="B276" i="30"/>
  <c r="B277" i="30"/>
  <c r="B278" i="30"/>
  <c r="B279" i="30"/>
  <c r="B280" i="30"/>
  <c r="B281" i="30"/>
  <c r="B282" i="30"/>
  <c r="B283" i="30"/>
  <c r="B284" i="30"/>
  <c r="B285" i="30"/>
  <c r="B286" i="30"/>
  <c r="B287" i="30"/>
  <c r="B288" i="30"/>
  <c r="B289" i="30"/>
  <c r="B290" i="30"/>
  <c r="B291" i="30"/>
  <c r="B292" i="30"/>
  <c r="B293" i="30"/>
  <c r="B294" i="30"/>
  <c r="B295" i="30"/>
  <c r="B296" i="30"/>
  <c r="B297" i="30"/>
  <c r="B298" i="30"/>
  <c r="B299" i="30"/>
  <c r="B300" i="30"/>
  <c r="B301" i="30"/>
  <c r="B302" i="30"/>
  <c r="B303" i="30"/>
  <c r="B304" i="30"/>
  <c r="B305" i="30"/>
  <c r="B306" i="30"/>
  <c r="B307" i="30"/>
  <c r="B308" i="30"/>
  <c r="B309" i="30"/>
  <c r="B310" i="30"/>
  <c r="B311" i="30"/>
  <c r="B312" i="30"/>
  <c r="B313" i="30"/>
  <c r="B314" i="30"/>
  <c r="B315" i="30"/>
  <c r="B316" i="30"/>
  <c r="B317" i="30"/>
  <c r="B318" i="30"/>
  <c r="B319" i="30"/>
  <c r="B320" i="30"/>
  <c r="B321" i="30"/>
  <c r="B322" i="30"/>
  <c r="B323" i="30"/>
  <c r="B324" i="30"/>
  <c r="B325" i="30"/>
  <c r="B326" i="30"/>
  <c r="B327" i="30"/>
  <c r="B328" i="30"/>
  <c r="B329" i="30"/>
  <c r="B330" i="30"/>
  <c r="B331" i="30"/>
  <c r="B332" i="30"/>
  <c r="B333" i="30"/>
  <c r="B334" i="30"/>
  <c r="B335" i="30"/>
  <c r="B336" i="30"/>
  <c r="B337" i="30"/>
  <c r="B338" i="30"/>
  <c r="B339" i="30"/>
  <c r="B340" i="30"/>
  <c r="B341" i="30"/>
  <c r="B342" i="30"/>
  <c r="B343" i="30"/>
  <c r="B344" i="30"/>
  <c r="B345" i="30"/>
  <c r="B346" i="30"/>
  <c r="B347" i="30"/>
  <c r="B348" i="30"/>
  <c r="B349" i="30"/>
  <c r="B350" i="30"/>
  <c r="B351" i="30"/>
  <c r="B352" i="30"/>
  <c r="B353" i="30"/>
  <c r="B354" i="30"/>
  <c r="B355" i="30"/>
  <c r="B356" i="30"/>
  <c r="B357" i="30"/>
  <c r="B358" i="30"/>
  <c r="B359" i="30"/>
  <c r="B360" i="30"/>
  <c r="B361" i="30"/>
  <c r="B362" i="30"/>
  <c r="B363" i="30"/>
  <c r="B364" i="30"/>
  <c r="B365" i="30"/>
  <c r="B366" i="30"/>
  <c r="B367" i="30"/>
  <c r="B368" i="30"/>
  <c r="B369" i="30"/>
  <c r="B370" i="30"/>
  <c r="B371" i="30"/>
  <c r="B372" i="30"/>
  <c r="B373" i="30"/>
  <c r="B374" i="30"/>
  <c r="B375" i="30"/>
  <c r="B376" i="30"/>
  <c r="B377" i="30"/>
  <c r="B378" i="30"/>
  <c r="B379" i="30"/>
  <c r="B380" i="30"/>
  <c r="B381" i="30"/>
  <c r="B382" i="30"/>
  <c r="B383" i="30"/>
  <c r="B384" i="30"/>
  <c r="B385" i="30"/>
  <c r="B386" i="30"/>
  <c r="B387" i="30"/>
  <c r="B388" i="30"/>
  <c r="B389" i="30"/>
  <c r="B390" i="30"/>
  <c r="B391" i="30"/>
  <c r="B392" i="30"/>
  <c r="B393" i="30"/>
  <c r="B394" i="30"/>
  <c r="B395" i="30"/>
  <c r="B396" i="30"/>
  <c r="B397" i="30"/>
  <c r="B398" i="30"/>
  <c r="B399" i="30"/>
  <c r="B400" i="30"/>
  <c r="B401" i="30"/>
  <c r="B402" i="30"/>
  <c r="B403" i="30"/>
  <c r="B404" i="30"/>
  <c r="B405" i="30"/>
  <c r="B406" i="30"/>
  <c r="B407" i="30"/>
  <c r="B408" i="30"/>
  <c r="B409" i="30"/>
  <c r="B410" i="30"/>
  <c r="B411" i="30"/>
  <c r="B412" i="30"/>
  <c r="B413" i="30"/>
  <c r="B414" i="30"/>
  <c r="B415" i="30"/>
  <c r="B416" i="30"/>
  <c r="B417" i="30"/>
  <c r="B418" i="30"/>
  <c r="B419" i="30"/>
  <c r="B420" i="30"/>
  <c r="B421" i="30"/>
  <c r="B422" i="30"/>
  <c r="B423" i="30"/>
  <c r="B424" i="30"/>
  <c r="B425" i="30"/>
  <c r="B426" i="30"/>
  <c r="B427" i="30"/>
  <c r="B428" i="30"/>
  <c r="B429" i="30"/>
  <c r="B430" i="30"/>
  <c r="B431" i="30"/>
  <c r="B432" i="30"/>
  <c r="B433" i="30"/>
  <c r="B434" i="30"/>
  <c r="B435" i="30"/>
  <c r="B436" i="30"/>
  <c r="B437" i="30"/>
  <c r="B438" i="30"/>
  <c r="B439" i="30"/>
  <c r="B440" i="30"/>
  <c r="B441" i="30"/>
  <c r="B442" i="30"/>
  <c r="B443" i="30"/>
  <c r="B444" i="30"/>
  <c r="B445" i="30"/>
  <c r="B446" i="30"/>
  <c r="B447" i="30"/>
  <c r="B448" i="30"/>
  <c r="B449" i="30"/>
  <c r="B450" i="30"/>
  <c r="B451" i="30"/>
  <c r="B452" i="30"/>
  <c r="B453" i="30"/>
  <c r="B454" i="30"/>
  <c r="B455" i="30"/>
  <c r="B456" i="30"/>
  <c r="B457" i="30"/>
  <c r="B458" i="30"/>
  <c r="B459" i="30"/>
  <c r="B460" i="30"/>
  <c r="B461" i="30"/>
  <c r="B462" i="30"/>
  <c r="B463" i="30"/>
  <c r="B464" i="30"/>
  <c r="B465" i="30"/>
  <c r="B466" i="30"/>
  <c r="B467" i="30"/>
  <c r="B468" i="30"/>
  <c r="B469" i="30"/>
  <c r="B470" i="30"/>
  <c r="B471" i="30"/>
  <c r="B472" i="30"/>
  <c r="B473" i="30"/>
  <c r="B474" i="30"/>
  <c r="B475" i="30"/>
  <c r="B476" i="30"/>
  <c r="B477" i="30"/>
  <c r="B478" i="30"/>
  <c r="B479" i="30"/>
  <c r="B480" i="30"/>
  <c r="B481" i="30"/>
  <c r="B482" i="30"/>
  <c r="B483" i="30"/>
  <c r="B484" i="30"/>
  <c r="B485" i="30"/>
  <c r="B486" i="30"/>
  <c r="B487" i="30"/>
  <c r="B488" i="30"/>
  <c r="B489" i="30"/>
  <c r="B490" i="30"/>
  <c r="B491" i="30"/>
  <c r="B492" i="30"/>
  <c r="B493" i="30"/>
  <c r="B494" i="30"/>
  <c r="B495" i="30"/>
  <c r="B496" i="30"/>
  <c r="B497" i="30"/>
  <c r="B498" i="30"/>
  <c r="B499" i="30"/>
  <c r="B500" i="30"/>
  <c r="B2" i="30"/>
  <c r="B151" i="27"/>
  <c r="K122" i="27"/>
  <c r="K143" i="27"/>
  <c r="K144" i="27"/>
  <c r="K145" i="27"/>
  <c r="K146" i="27"/>
  <c r="K147" i="27"/>
  <c r="K148" i="27"/>
  <c r="K149" i="27"/>
  <c r="K150" i="27"/>
  <c r="K151" i="27"/>
  <c r="K152" i="27"/>
  <c r="K124" i="27"/>
  <c r="K125" i="27"/>
  <c r="K126" i="27"/>
  <c r="K127" i="27"/>
  <c r="K128" i="27"/>
  <c r="K129" i="27"/>
  <c r="K130" i="27"/>
  <c r="K131" i="27"/>
  <c r="K132" i="27"/>
  <c r="K133" i="27"/>
  <c r="K134" i="27"/>
  <c r="K135" i="27"/>
  <c r="K136" i="27"/>
  <c r="K137" i="27"/>
  <c r="K138" i="27"/>
  <c r="K139" i="27"/>
  <c r="K140" i="27"/>
  <c r="K141" i="27"/>
  <c r="K142" i="27"/>
  <c r="K123" i="27"/>
  <c r="B143" i="27"/>
  <c r="B135" i="27"/>
  <c r="B127" i="27"/>
  <c r="B114" i="27"/>
  <c r="B104" i="27"/>
  <c r="B96" i="27"/>
  <c r="G11" i="29"/>
  <c r="G12" i="29"/>
  <c r="G13" i="29"/>
  <c r="G14" i="29"/>
  <c r="G15" i="29"/>
  <c r="G16" i="29"/>
  <c r="G17" i="29"/>
  <c r="G18" i="29"/>
  <c r="G19" i="29"/>
  <c r="G20" i="29"/>
  <c r="G21" i="29"/>
  <c r="G10" i="29"/>
  <c r="E67" i="27"/>
  <c r="E65" i="27"/>
  <c r="A86" i="27"/>
  <c r="E75" i="27"/>
  <c r="E73" i="27"/>
  <c r="E71" i="27"/>
  <c r="E69" i="27"/>
  <c r="E52" i="27"/>
  <c r="E51" i="27"/>
  <c r="E61" i="27"/>
  <c r="E56" i="27"/>
  <c r="E53" i="27"/>
  <c r="E54" i="27"/>
  <c r="E55" i="27"/>
  <c r="E57" i="27"/>
  <c r="E58" i="27"/>
  <c r="E59" i="27"/>
  <c r="E60" i="27"/>
  <c r="I37" i="27"/>
  <c r="H37" i="27"/>
  <c r="L16" i="27"/>
  <c r="L18" i="27"/>
  <c r="L14" i="27"/>
  <c r="J34" i="15"/>
  <c r="J33" i="15"/>
  <c r="J32" i="15"/>
  <c r="F30" i="15"/>
  <c r="H74" i="22"/>
  <c r="G74" i="22"/>
  <c r="H73" i="22"/>
  <c r="G73" i="22"/>
  <c r="H72" i="22"/>
  <c r="G72" i="22"/>
  <c r="F25" i="15"/>
  <c r="F24" i="15"/>
  <c r="J21" i="15"/>
  <c r="F23" i="15"/>
  <c r="F22" i="15"/>
  <c r="F21" i="15"/>
  <c r="H34" i="15" s="1"/>
  <c r="B35" i="22"/>
  <c r="C35" i="22" s="1"/>
  <c r="B26" i="22"/>
  <c r="C26" i="22" s="1"/>
  <c r="B34" i="22"/>
  <c r="C34" i="22" s="1"/>
  <c r="B38" i="22"/>
  <c r="B37" i="22"/>
  <c r="B20" i="22" s="1"/>
  <c r="C20" i="22" s="1"/>
  <c r="C13" i="5"/>
  <c r="C14" i="5"/>
  <c r="C15" i="5"/>
  <c r="C12" i="5"/>
  <c r="J54" i="4"/>
  <c r="K48" i="4" s="1"/>
  <c r="L30" i="26"/>
  <c r="L29" i="26"/>
  <c r="P19" i="26"/>
  <c r="P15" i="26"/>
  <c r="P17" i="26"/>
  <c r="D42" i="25"/>
  <c r="H20" i="25"/>
  <c r="I23" i="25" s="1"/>
  <c r="D25" i="26"/>
  <c r="D20" i="26"/>
  <c r="D19" i="26"/>
  <c r="D18" i="26"/>
  <c r="D16" i="26"/>
  <c r="D14" i="26"/>
  <c r="D13" i="26"/>
  <c r="D12" i="26"/>
  <c r="G19" i="26" s="1"/>
  <c r="N30" i="26"/>
  <c r="N29" i="26"/>
  <c r="N28" i="26"/>
  <c r="L28" i="26"/>
  <c r="N25" i="26"/>
  <c r="L25" i="26"/>
  <c r="N24" i="26"/>
  <c r="L24" i="26"/>
  <c r="L23" i="26"/>
  <c r="N23" i="26"/>
  <c r="D28" i="26"/>
  <c r="D27" i="26"/>
  <c r="D26" i="26"/>
  <c r="D17" i="26"/>
  <c r="D21" i="26" s="1"/>
  <c r="D23" i="26" s="1"/>
  <c r="F16" i="26"/>
  <c r="A11" i="22"/>
  <c r="B7" i="22" s="1"/>
  <c r="C7" i="22" s="1"/>
  <c r="D5" i="20"/>
  <c r="D6" i="20" s="1"/>
  <c r="D7" i="20" s="1"/>
  <c r="D8" i="20" s="1"/>
  <c r="D9" i="20" s="1"/>
  <c r="C4" i="20"/>
  <c r="E4" i="20" s="1"/>
  <c r="I47" i="23"/>
  <c r="J47" i="23"/>
  <c r="K47" i="23"/>
  <c r="H47" i="23"/>
  <c r="F37" i="23"/>
  <c r="F38" i="23"/>
  <c r="I46" i="23"/>
  <c r="J46" i="23"/>
  <c r="K46" i="23"/>
  <c r="H46" i="23"/>
  <c r="I45" i="23"/>
  <c r="J45" i="23"/>
  <c r="K45" i="23"/>
  <c r="H45" i="23"/>
  <c r="I44" i="23"/>
  <c r="J44" i="23"/>
  <c r="K44" i="23"/>
  <c r="H44" i="23"/>
  <c r="I43" i="23"/>
  <c r="J43" i="23"/>
  <c r="K43" i="23"/>
  <c r="I42" i="23"/>
  <c r="J42" i="23"/>
  <c r="K42" i="23"/>
  <c r="H43" i="23"/>
  <c r="H42" i="23"/>
  <c r="I38" i="23"/>
  <c r="J38" i="23"/>
  <c r="K38" i="23"/>
  <c r="H38" i="23"/>
  <c r="I37" i="23"/>
  <c r="J37" i="23"/>
  <c r="K37" i="23"/>
  <c r="H37" i="23"/>
  <c r="I36" i="23"/>
  <c r="J36" i="23"/>
  <c r="K36" i="23"/>
  <c r="H36" i="23"/>
  <c r="K35" i="23"/>
  <c r="I35" i="23"/>
  <c r="J35" i="23"/>
  <c r="H35" i="23"/>
  <c r="B35" i="23"/>
  <c r="O13" i="25"/>
  <c r="P3" i="25" s="1"/>
  <c r="Q3" i="25" s="1"/>
  <c r="I9" i="25"/>
  <c r="I7" i="25"/>
  <c r="I8" i="25"/>
  <c r="C20" i="25" l="1"/>
  <c r="D20" i="25" s="1"/>
  <c r="C29" i="25"/>
  <c r="D29" i="25" s="1"/>
  <c r="B31" i="22"/>
  <c r="C31" i="22" s="1"/>
  <c r="B23" i="22"/>
  <c r="C23" i="22" s="1"/>
  <c r="B6" i="22"/>
  <c r="C6" i="22" s="1"/>
  <c r="B5" i="22"/>
  <c r="C5" i="22" s="1"/>
  <c r="H33" i="15"/>
  <c r="E11" i="30"/>
  <c r="C39" i="25"/>
  <c r="D39" i="25" s="1"/>
  <c r="C28" i="25"/>
  <c r="D28" i="25" s="1"/>
  <c r="I22" i="25"/>
  <c r="B30" i="22"/>
  <c r="C30" i="22" s="1"/>
  <c r="B22" i="22"/>
  <c r="C22" i="22" s="1"/>
  <c r="G32" i="15"/>
  <c r="E12" i="30"/>
  <c r="I39" i="23"/>
  <c r="I41" i="23" s="1"/>
  <c r="B9" i="22"/>
  <c r="C9" i="22" s="1"/>
  <c r="D15" i="26"/>
  <c r="B8" i="22"/>
  <c r="C8" i="22" s="1"/>
  <c r="C10" i="22" s="1"/>
  <c r="C11" i="22" s="1"/>
  <c r="C35" i="25"/>
  <c r="D35" i="25" s="1"/>
  <c r="C24" i="25"/>
  <c r="D24" i="25" s="1"/>
  <c r="B18" i="22"/>
  <c r="C18" i="22" s="1"/>
  <c r="B27" i="22"/>
  <c r="C27" i="22" s="1"/>
  <c r="B19" i="22"/>
  <c r="C19" i="22" s="1"/>
  <c r="H32" i="15"/>
  <c r="G34" i="15"/>
  <c r="H127" i="4"/>
  <c r="C33" i="25"/>
  <c r="D33" i="25" s="1"/>
  <c r="C23" i="25"/>
  <c r="D23" i="25" s="1"/>
  <c r="L48" i="4"/>
  <c r="D22" i="26"/>
  <c r="K50" i="4"/>
  <c r="P10" i="25"/>
  <c r="Q10" i="25" s="1"/>
  <c r="P2" i="25"/>
  <c r="Q2" i="25" s="1"/>
  <c r="P9" i="25"/>
  <c r="Q9" i="25" s="1"/>
  <c r="J39" i="23"/>
  <c r="J41" i="23" s="1"/>
  <c r="C37" i="25"/>
  <c r="D37" i="25" s="1"/>
  <c r="C32" i="25"/>
  <c r="D32" i="25" s="1"/>
  <c r="C27" i="25"/>
  <c r="D27" i="25" s="1"/>
  <c r="C21" i="25"/>
  <c r="D21" i="25" s="1"/>
  <c r="P6" i="25"/>
  <c r="Q6" i="25" s="1"/>
  <c r="K39" i="23"/>
  <c r="K41" i="23" s="1"/>
  <c r="P1" i="25"/>
  <c r="Q1" i="25" s="1"/>
  <c r="P5" i="25"/>
  <c r="Q5" i="25" s="1"/>
  <c r="K52" i="4"/>
  <c r="K49" i="4"/>
  <c r="K53" i="4"/>
  <c r="P12" i="25"/>
  <c r="Q12" i="25" s="1"/>
  <c r="P8" i="25"/>
  <c r="Q8" i="25" s="1"/>
  <c r="P4" i="25"/>
  <c r="Q4" i="25" s="1"/>
  <c r="P11" i="25"/>
  <c r="Q11" i="25" s="1"/>
  <c r="P7" i="25"/>
  <c r="Q7" i="25" s="1"/>
  <c r="H39" i="23"/>
  <c r="H40" i="23" s="1"/>
  <c r="G23" i="25"/>
  <c r="C22" i="25"/>
  <c r="D22" i="25" s="1"/>
  <c r="C26" i="25"/>
  <c r="D26" i="25" s="1"/>
  <c r="C30" i="25"/>
  <c r="D30" i="25" s="1"/>
  <c r="C34" i="25"/>
  <c r="D34" i="25" s="1"/>
  <c r="C38" i="25"/>
  <c r="D38" i="25" s="1"/>
  <c r="I24" i="25"/>
  <c r="G22" i="25"/>
  <c r="C36" i="25"/>
  <c r="D36" i="25" s="1"/>
  <c r="C31" i="25"/>
  <c r="D31" i="25" s="1"/>
  <c r="C25" i="25"/>
  <c r="D25" i="25" s="1"/>
  <c r="G24" i="25"/>
  <c r="K51" i="4"/>
  <c r="B33" i="22"/>
  <c r="C33" i="22" s="1"/>
  <c r="B29" i="22"/>
  <c r="C29" i="22" s="1"/>
  <c r="B25" i="22"/>
  <c r="C25" i="22" s="1"/>
  <c r="B21" i="22"/>
  <c r="C21" i="22" s="1"/>
  <c r="E131" i="22"/>
  <c r="E133" i="22" s="1"/>
  <c r="E135" i="22" s="1"/>
  <c r="B32" i="22"/>
  <c r="C32" i="22" s="1"/>
  <c r="B28" i="22"/>
  <c r="C28" i="22" s="1"/>
  <c r="B24" i="22"/>
  <c r="C24" i="22" s="1"/>
  <c r="G33" i="15"/>
  <c r="X46" i="30"/>
  <c r="C354" i="32"/>
  <c r="D354" i="32" s="1"/>
  <c r="E151" i="22"/>
  <c r="E153" i="22" s="1"/>
  <c r="E155" i="22" s="1"/>
  <c r="X41" i="30"/>
  <c r="D76" i="32"/>
  <c r="F34" i="33"/>
  <c r="E10" i="33"/>
  <c r="K10" i="33"/>
  <c r="H10" i="33"/>
  <c r="D200" i="32"/>
  <c r="D409" i="32"/>
  <c r="C362" i="32"/>
  <c r="D362" i="32" s="1"/>
  <c r="C389" i="32"/>
  <c r="C390" i="32" s="1"/>
  <c r="C359" i="32"/>
  <c r="D359" i="32" s="1"/>
  <c r="D136" i="32"/>
  <c r="C353" i="32"/>
  <c r="D353" i="32" s="1"/>
  <c r="C360" i="32"/>
  <c r="D360" i="32" s="1"/>
  <c r="C368" i="32"/>
  <c r="D368" i="32" s="1"/>
  <c r="C369" i="32"/>
  <c r="D369" i="32" s="1"/>
  <c r="D389" i="32"/>
  <c r="D390" i="32" s="1"/>
  <c r="D175" i="32"/>
  <c r="C350" i="32"/>
  <c r="D350" i="32" s="1"/>
  <c r="C363" i="32"/>
  <c r="D363" i="32" s="1"/>
  <c r="C371" i="32"/>
  <c r="D371" i="32" s="1"/>
  <c r="C351" i="32"/>
  <c r="D351" i="32" s="1"/>
  <c r="C372" i="32"/>
  <c r="D372" i="32" s="1"/>
  <c r="D91" i="32"/>
  <c r="D179" i="32"/>
  <c r="B49" i="32"/>
  <c r="X35" i="30"/>
  <c r="X42" i="30"/>
  <c r="X38" i="30"/>
  <c r="X43" i="30"/>
  <c r="X39" i="30"/>
  <c r="X45" i="30"/>
  <c r="X44" i="30"/>
  <c r="X40" i="30"/>
  <c r="F26" i="15"/>
  <c r="F27" i="15" s="1"/>
  <c r="F19" i="26"/>
  <c r="C5" i="20"/>
  <c r="E5" i="20" s="1"/>
  <c r="C6" i="20"/>
  <c r="C7" i="20"/>
  <c r="C8" i="20"/>
  <c r="C9" i="20"/>
  <c r="E6" i="20" l="1"/>
  <c r="E7" i="20" s="1"/>
  <c r="E8" i="20" s="1"/>
  <c r="E9" i="20" s="1"/>
  <c r="I40" i="23"/>
  <c r="D41" i="25"/>
  <c r="D43" i="25" s="1"/>
  <c r="D44" i="25" s="1"/>
  <c r="C36" i="22"/>
  <c r="D36" i="22" s="1"/>
  <c r="D37" i="22" s="1"/>
  <c r="K54" i="4"/>
  <c r="F28" i="15"/>
  <c r="C392" i="32"/>
  <c r="Q13" i="25"/>
  <c r="Q14" i="25" s="1"/>
  <c r="J40" i="23"/>
  <c r="H41" i="23"/>
  <c r="J127" i="22"/>
  <c r="J128" i="22"/>
  <c r="K128" i="22"/>
  <c r="J129" i="22"/>
  <c r="K127" i="22"/>
  <c r="K129" i="22"/>
  <c r="L49" i="4"/>
  <c r="L50" i="4" s="1"/>
  <c r="L51" i="4" s="1"/>
  <c r="L52" i="4" s="1"/>
  <c r="L53" i="4" s="1"/>
  <c r="K40" i="23"/>
  <c r="C10" i="20"/>
  <c r="D356" i="32"/>
  <c r="D374" i="32"/>
  <c r="D365" i="32"/>
  <c r="D376" i="32" s="1"/>
  <c r="X47" i="30"/>
  <c r="E14" i="15"/>
  <c r="E13" i="15"/>
  <c r="E9" i="15"/>
  <c r="E8" i="15"/>
  <c r="E10" i="15"/>
  <c r="E11" i="15"/>
  <c r="E12" i="15"/>
  <c r="C30" i="11"/>
  <c r="B30" i="11"/>
  <c r="B31" i="11" s="1"/>
  <c r="F9" i="11"/>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2" i="1"/>
  <c r="G9" i="11" l="1"/>
</calcChain>
</file>

<file path=xl/sharedStrings.xml><?xml version="1.0" encoding="utf-8"?>
<sst xmlns="http://schemas.openxmlformats.org/spreadsheetml/2006/main" count="1854" uniqueCount="1157">
  <si>
    <t xml:space="preserve">Dataset </t>
  </si>
  <si>
    <t>Frequency Distribution</t>
  </si>
  <si>
    <t>Histogram</t>
  </si>
  <si>
    <t>Dataset</t>
  </si>
  <si>
    <t>Ogives Graph</t>
  </si>
  <si>
    <t xml:space="preserve">Investment Type </t>
  </si>
  <si>
    <t xml:space="preserve">Amount (in thousands $) </t>
  </si>
  <si>
    <t xml:space="preserve">Percentage </t>
  </si>
  <si>
    <t xml:space="preserve">Stocks </t>
  </si>
  <si>
    <t xml:space="preserve">Bonds </t>
  </si>
  <si>
    <t xml:space="preserve">CD </t>
  </si>
  <si>
    <t xml:space="preserve">Savings </t>
  </si>
  <si>
    <t xml:space="preserve">Total </t>
  </si>
  <si>
    <t>Pie Chart</t>
  </si>
  <si>
    <r>
      <t>Year</t>
    </r>
    <r>
      <rPr>
        <b/>
        <sz val="15"/>
        <color rgb="FF000000"/>
        <rFont val="Calibri"/>
        <family val="2"/>
      </rPr>
      <t xml:space="preserve"> </t>
    </r>
  </si>
  <si>
    <r>
      <t>Inflation Rate</t>
    </r>
    <r>
      <rPr>
        <b/>
        <sz val="15"/>
        <color rgb="FF000000"/>
        <rFont val="Calibri"/>
        <family val="2"/>
      </rPr>
      <t xml:space="preserve"> </t>
    </r>
  </si>
  <si>
    <t xml:space="preserve">Volume per day </t>
  </si>
  <si>
    <t xml:space="preserve">Cost per day </t>
  </si>
  <si>
    <t>Scatter Plot</t>
  </si>
  <si>
    <t xml:space="preserve">Sales </t>
  </si>
  <si>
    <t>A HR wants to find the frequency distribution of the monthly salaries of employees working in the organisation</t>
  </si>
  <si>
    <t>A firm is starting a delivery service for a new client between 2 points. Since it is a new client, the firm wants to send more consistent delivery boy to deliver the product</t>
  </si>
  <si>
    <t xml:space="preserve">The following are the delivery time taken by two delivery boys of last 20 days </t>
  </si>
  <si>
    <t>Salesman 2</t>
  </si>
  <si>
    <t>How skewed is Virat Kohli's ininngs ?</t>
  </si>
  <si>
    <t>Kohli' s Runs</t>
  </si>
  <si>
    <t>For Des :A company wants to analyse there sales of past three years how do they summerize there sales data?</t>
  </si>
  <si>
    <t>For Inferential: Pick random 20 values instead of the complete data , then now do the anaylysis</t>
  </si>
  <si>
    <t>Bin</t>
  </si>
  <si>
    <t>More</t>
  </si>
  <si>
    <t>Frequency</t>
  </si>
  <si>
    <t>Minimum Value</t>
  </si>
  <si>
    <t>1st Quartile</t>
  </si>
  <si>
    <t>Median</t>
  </si>
  <si>
    <t>3rd Quartile</t>
  </si>
  <si>
    <t>Maximum Value</t>
  </si>
  <si>
    <t>Observations</t>
  </si>
  <si>
    <t>Quartile</t>
  </si>
  <si>
    <t>Upper Limit</t>
  </si>
  <si>
    <t>Lower Limit</t>
  </si>
  <si>
    <t>Outliers</t>
  </si>
  <si>
    <t>All the run Kohli scored above 157 are outliers i.e 183</t>
  </si>
  <si>
    <t>Class(Rs.)</t>
  </si>
  <si>
    <t>Frequency Students</t>
  </si>
  <si>
    <t>20-30</t>
  </si>
  <si>
    <t>30-40</t>
  </si>
  <si>
    <t>40-50</t>
  </si>
  <si>
    <t>50-60</t>
  </si>
  <si>
    <t>60-70</t>
  </si>
  <si>
    <t>70-80</t>
  </si>
  <si>
    <t>Total</t>
  </si>
  <si>
    <t>Relative Frequency</t>
  </si>
  <si>
    <t>Cumulative Frequency</t>
  </si>
  <si>
    <t>Mean</t>
  </si>
  <si>
    <t>Mode</t>
  </si>
  <si>
    <t xml:space="preserve">Median </t>
  </si>
  <si>
    <t>Ogives and Histogram</t>
  </si>
  <si>
    <t>Line Chart</t>
  </si>
  <si>
    <t>Box Plot</t>
  </si>
  <si>
    <t xml:space="preserve">Salesman 1 </t>
  </si>
  <si>
    <t>(Time in minutes)</t>
  </si>
  <si>
    <t>Sum</t>
  </si>
  <si>
    <t>Average</t>
  </si>
  <si>
    <t>Variance and Standard Deviation</t>
  </si>
  <si>
    <t>Emperical Rule</t>
  </si>
  <si>
    <t>Skewness and Kurtosis</t>
  </si>
  <si>
    <t>Index</t>
  </si>
  <si>
    <t>Sheet</t>
  </si>
  <si>
    <t>Data (in mm)</t>
  </si>
  <si>
    <t>Mean/Median/Mode</t>
  </si>
  <si>
    <t>pie Chart</t>
  </si>
  <si>
    <t>Box and Whisker</t>
  </si>
  <si>
    <t>Variance and Standard Deviation Example 1</t>
  </si>
  <si>
    <t>Variance and Standard Deviation Example 2</t>
  </si>
  <si>
    <t>MeanMedianMode!A1</t>
  </si>
  <si>
    <t>Freq. Dist'!A1</t>
  </si>
  <si>
    <t>Ogives and Hist.'!A1</t>
  </si>
  <si>
    <t>Pie Chart'!A1</t>
  </si>
  <si>
    <t>Line Chart'!A1</t>
  </si>
  <si>
    <t>Scatter Plot'!A1</t>
  </si>
  <si>
    <t>Box and whiskers'!A1</t>
  </si>
  <si>
    <t>VAR and SD Ex 1'!A1</t>
  </si>
  <si>
    <t xml:space="preserve"> VAR and SD Ex 2'!A1</t>
  </si>
  <si>
    <t>Empirical!A1</t>
  </si>
  <si>
    <t>Skewness and kurt'!A1</t>
  </si>
  <si>
    <t>Descriptive Statistic Dataset</t>
  </si>
  <si>
    <t>Student ID</t>
  </si>
  <si>
    <t>State</t>
  </si>
  <si>
    <t>Gender</t>
  </si>
  <si>
    <t>Student Status</t>
  </si>
  <si>
    <t>Country</t>
  </si>
  <si>
    <t>Major</t>
  </si>
  <si>
    <t>Age</t>
  </si>
  <si>
    <t>Height (in)</t>
  </si>
  <si>
    <t>Study hrs</t>
  </si>
  <si>
    <t>Exam score out of 40</t>
  </si>
  <si>
    <t>California</t>
  </si>
  <si>
    <t>Female</t>
  </si>
  <si>
    <t>Graduate</t>
  </si>
  <si>
    <t>US</t>
  </si>
  <si>
    <t>Politics</t>
  </si>
  <si>
    <t>Arizona</t>
  </si>
  <si>
    <t>Undergraduate</t>
  </si>
  <si>
    <t>New York</t>
  </si>
  <si>
    <t>Male</t>
  </si>
  <si>
    <t>Math</t>
  </si>
  <si>
    <t>Econ</t>
  </si>
  <si>
    <t>Ohio</t>
  </si>
  <si>
    <t>North Carolina</t>
  </si>
  <si>
    <t>Kansas</t>
  </si>
  <si>
    <t>Mississippi</t>
  </si>
  <si>
    <t>Virginia</t>
  </si>
  <si>
    <t>Utah</t>
  </si>
  <si>
    <t>Pennsylvania</t>
  </si>
  <si>
    <t>Oklahoma</t>
  </si>
  <si>
    <t xml:space="preserve">Massachusetts </t>
  </si>
  <si>
    <t>Minnesota</t>
  </si>
  <si>
    <t>Descriptive Statistics Examples</t>
  </si>
  <si>
    <t>1. What is the average score of students?</t>
  </si>
  <si>
    <t>Average score</t>
  </si>
  <si>
    <t>2. What is the frequency distribution of the major streams of the student?</t>
  </si>
  <si>
    <t>Frequency Distribution of major</t>
  </si>
  <si>
    <t>Economics</t>
  </si>
  <si>
    <t>3. What is the average age of the students? What is mode?</t>
  </si>
  <si>
    <t>Average Age</t>
  </si>
  <si>
    <t>4. What proportion of students are graduate?</t>
  </si>
  <si>
    <t>Proportion of student graduate</t>
  </si>
  <si>
    <t>5. What is the distribution of students by heights?</t>
  </si>
  <si>
    <t>Standard Deviation</t>
  </si>
  <si>
    <t>variance</t>
  </si>
  <si>
    <t>Skewness</t>
  </si>
  <si>
    <t>Descriptive Statistics Dataset</t>
  </si>
  <si>
    <t>Descriptive Statistics Dataset Examples</t>
  </si>
  <si>
    <t>Descr. Stat'!A1</t>
  </si>
  <si>
    <t>Descr. Stat Exp'!A1</t>
  </si>
  <si>
    <t>A</t>
  </si>
  <si>
    <t>B</t>
  </si>
  <si>
    <t>Cumulative %</t>
  </si>
  <si>
    <t>Q1</t>
  </si>
  <si>
    <t>Q2</t>
  </si>
  <si>
    <t>Q3</t>
  </si>
  <si>
    <t>Q4</t>
  </si>
  <si>
    <t>Variance</t>
  </si>
  <si>
    <t>IQR</t>
  </si>
  <si>
    <t>U.L</t>
  </si>
  <si>
    <t>L.L</t>
  </si>
  <si>
    <t>Minimum</t>
  </si>
  <si>
    <t>Maximum</t>
  </si>
  <si>
    <t>6th</t>
  </si>
  <si>
    <t>7th</t>
  </si>
  <si>
    <t>Cumulative Relative Frequency</t>
  </si>
  <si>
    <t>Range</t>
  </si>
  <si>
    <t>Outliers if any</t>
  </si>
  <si>
    <t>Std Deviation</t>
  </si>
  <si>
    <t>Kurtosis</t>
  </si>
  <si>
    <t>Count</t>
  </si>
  <si>
    <t>&lt;--Position Number in Ascended Data</t>
  </si>
  <si>
    <t>75th and 76th position</t>
  </si>
  <si>
    <t>Empirical Rule</t>
  </si>
  <si>
    <t>Chebyshev's inequality</t>
  </si>
  <si>
    <t>Atleast 75% of all data points are expected to lie between:</t>
  </si>
  <si>
    <t>Atleast 89% of all data points are expected to lie between:</t>
  </si>
  <si>
    <t>Atleast 95% of all data points are expected to lie between:</t>
  </si>
  <si>
    <t>Atleast 68.26% of all data points are expected to lie between:</t>
  </si>
  <si>
    <t>Atleast 95.44% of all data points are expected to lie between:</t>
  </si>
  <si>
    <t>Atleast 99.72% of all data points are expected to lie between:</t>
  </si>
  <si>
    <t>AND</t>
  </si>
  <si>
    <t>Stock A</t>
  </si>
  <si>
    <t>Stock B</t>
  </si>
  <si>
    <t>Return</t>
  </si>
  <si>
    <t>Stdev</t>
  </si>
  <si>
    <t>Risk Averse</t>
  </si>
  <si>
    <t>Risk-Taker</t>
  </si>
  <si>
    <t>Column1</t>
  </si>
  <si>
    <t>Standard Error</t>
  </si>
  <si>
    <t>Sample Variance</t>
  </si>
  <si>
    <t>80-90</t>
  </si>
  <si>
    <t>Class/Range</t>
  </si>
  <si>
    <t>5</t>
  </si>
  <si>
    <t>10</t>
  </si>
  <si>
    <t>6</t>
  </si>
  <si>
    <t>8</t>
  </si>
  <si>
    <t>?</t>
  </si>
  <si>
    <t>38th value</t>
  </si>
  <si>
    <t>How Do you analyse Virat Kohli's scores of past 150 innings using a box plot?</t>
  </si>
  <si>
    <t>2nd Quartile</t>
  </si>
  <si>
    <t>75th Position</t>
  </si>
  <si>
    <t>113th Position</t>
  </si>
  <si>
    <t>1st Decile</t>
  </si>
  <si>
    <t>2nd Decile</t>
  </si>
  <si>
    <t>20% data</t>
  </si>
  <si>
    <t>6th Decile</t>
  </si>
  <si>
    <t>8th Decile</t>
  </si>
  <si>
    <t>Measure of Shape</t>
  </si>
  <si>
    <t>Important Terms</t>
  </si>
  <si>
    <t>Population : Set of each and every element/observation that is relevant to our study.</t>
  </si>
  <si>
    <t>Sample: The subset or the part of the population, where each element selected to draw such sample is selected randomly.</t>
  </si>
  <si>
    <r>
      <t xml:space="preserve">Data Series: A row </t>
    </r>
    <r>
      <rPr>
        <u/>
        <sz val="15"/>
        <color theme="1"/>
        <rFont val="Calibri"/>
        <family val="2"/>
        <scheme val="minor"/>
      </rPr>
      <t>or</t>
    </r>
    <r>
      <rPr>
        <sz val="15"/>
        <color theme="1"/>
        <rFont val="Calibri"/>
        <family val="2"/>
        <scheme val="minor"/>
      </rPr>
      <t xml:space="preserve"> column of numbers that are plotted in a chart is called a data series.</t>
    </r>
  </si>
  <si>
    <t>Data Set: It is a collection of all related sets of information that is composed of separate elements but can be manipulated as a unit by a computer</t>
  </si>
  <si>
    <r>
      <t xml:space="preserve">Statistics: </t>
    </r>
    <r>
      <rPr>
        <sz val="16"/>
        <color rgb="FF000000"/>
        <rFont val="Calibri"/>
        <family val="2"/>
        <scheme val="minor"/>
      </rPr>
      <t>is “the science of the collection, analysis, interpretation, presentation, and organization of data.”</t>
    </r>
  </si>
  <si>
    <t>Measures of Central Tendency: Mean, Median &amp; Mode</t>
  </si>
  <si>
    <t>Measures of Dispersion: Range, Variance &amp; Standard Deviation</t>
  </si>
  <si>
    <t>Measures of Shape: Kurtosis, Skewness</t>
  </si>
  <si>
    <t>Ogive</t>
  </si>
  <si>
    <t xml:space="preserve">Histogram: is a display of statistical information that uses rectangles to show the frequency
of data items in successive numerical intervals of equal size.
</t>
  </si>
  <si>
    <t>C</t>
  </si>
  <si>
    <t>D</t>
  </si>
  <si>
    <t>E</t>
  </si>
  <si>
    <t>F</t>
  </si>
  <si>
    <t>Student</t>
  </si>
  <si>
    <t>Marks</t>
  </si>
  <si>
    <t>N</t>
  </si>
  <si>
    <t>Standard Dev</t>
  </si>
  <si>
    <t>IQR (Interquartile Range)</t>
  </si>
  <si>
    <t xml:space="preserve">Upper Limit </t>
  </si>
  <si>
    <t>25% of the total number of values (150*0.25) = 38 values will be equal to or less than 9</t>
  </si>
  <si>
    <t>75% of the total number of values (150*0.75) = 113 values will be equal to or less than 68</t>
  </si>
  <si>
    <t>Q3 added to 1.5 times IQR</t>
  </si>
  <si>
    <t>Q1 minus 1.5 times IQR</t>
  </si>
  <si>
    <t xml:space="preserve">A firm is starting a delivery service for a new client between 2 points.  Since it is a new client, the firm wants to send more consistent delivery  boy to deliver the product. </t>
  </si>
  <si>
    <t xml:space="preserve">Delivery boy 1 (Time in minutes) – 12,13,17,21,24, 24, 26,27, 27, 30, 32, 35, 37, 38, 41, 43, 44, 46,53,60 </t>
  </si>
  <si>
    <t>Delivery boy 2 (Time in minutes)- 34, 14, 31, 59, 11, 50, 27, 33, 53, 34, 13, 13, 42, 29, 33, 42, 34, 33, 44, 21</t>
  </si>
  <si>
    <t>Boy 1</t>
  </si>
  <si>
    <t>Boy 2</t>
  </si>
  <si>
    <t>Delivery No.</t>
  </si>
  <si>
    <t>Std Dev</t>
  </si>
  <si>
    <t>If you are risk averse, then which stock would you choose?</t>
  </si>
  <si>
    <t>If you are willing to take the risk for a greater return, then which stock would you choose?</t>
  </si>
  <si>
    <t>1 time std dev</t>
  </si>
  <si>
    <t>2 time std dev</t>
  </si>
  <si>
    <t>3 time std dev</t>
  </si>
  <si>
    <t>StDev</t>
  </si>
  <si>
    <t>When we roll a die, there are 6 possible outcomes, and only 1 outcome will be final, so the probability here will be 1/6.</t>
  </si>
  <si>
    <t>There is a bag with 5 blue balls, 3 red balls, and 6 white balls. If I draw 1 ball at random, what is the probability that it will be a white ball?</t>
  </si>
  <si>
    <t>P(white ball)= 6/14</t>
  </si>
  <si>
    <t>First Die</t>
  </si>
  <si>
    <t>Second Die</t>
  </si>
  <si>
    <t>Sum of 2 dice</t>
  </si>
  <si>
    <t>Product of 2 dice</t>
  </si>
  <si>
    <t>P(Sum&lt;4)</t>
  </si>
  <si>
    <t>P(Sum=0)</t>
  </si>
  <si>
    <t>P(Sum&gt;=8)</t>
  </si>
  <si>
    <t>Jack</t>
  </si>
  <si>
    <t>Queen</t>
  </si>
  <si>
    <t>King</t>
  </si>
  <si>
    <t>Aces</t>
  </si>
  <si>
    <t>Number Cards</t>
  </si>
  <si>
    <t>Face Cards</t>
  </si>
  <si>
    <t>Highest Value</t>
  </si>
  <si>
    <t>King is the highest among face cards, second highest among all</t>
  </si>
  <si>
    <t>Diamond</t>
  </si>
  <si>
    <t>1st</t>
  </si>
  <si>
    <t>2nd</t>
  </si>
  <si>
    <t>=13/52</t>
  </si>
  <si>
    <t>=?/51</t>
  </si>
  <si>
    <t>P(Head)</t>
  </si>
  <si>
    <t>n</t>
  </si>
  <si>
    <t>Prob</t>
  </si>
  <si>
    <t>P(3 or less heads)</t>
  </si>
  <si>
    <t>Cummulative probabilities for 0 heads to 3 heads</t>
  </si>
  <si>
    <t>Cummulative probabilities for 0 heads to 4 heads</t>
  </si>
  <si>
    <t>P(Less than 5 heads)</t>
  </si>
  <si>
    <t>P(More than 8 heads)</t>
  </si>
  <si>
    <t>Cummulative probabilities for 9 heads to 10 heads</t>
  </si>
  <si>
    <t>P(5 or more heads)</t>
  </si>
  <si>
    <t>Cummulative probabilities for 5 heads to 10 heads</t>
  </si>
  <si>
    <t>60% of people who purchase sports cars are men.  If 10 sports car owners are randomly selected, find the probability that exactly 7 are men.</t>
  </si>
  <si>
    <t>In a large restaurant, an average of 3 out of every 5 customers ask for water with their meal. A random sample of 10 customers is selected.  Find the probability that exactly 6 ask for water with their meal, and find the probability that less than 9 ask for water with their meal.</t>
  </si>
  <si>
    <t>Twenty four people had a blood test and the results are shown below. A , B , B , AB , AB , B , O , O , AB , O , B , A, AB , A , O , O , AB , B , O , A , AB , O , B , A  .  Construct a frequency distribution for the data. If a person is selected randomly from the group of twenty four people, what is the probability that his/her blood type is not O?</t>
  </si>
  <si>
    <t>A die is tossed 3 times. What is the probability of</t>
  </si>
  <si>
    <t>No fives turning up?</t>
  </si>
  <si>
    <t>1 five?</t>
  </si>
  <si>
    <t>3 fives?</t>
  </si>
  <si>
    <t>Hospital records show that of patients suffering from a certain disease, 75% die of it. What is the probability that of 6 randomly selected patients, 4 will recover?</t>
  </si>
  <si>
    <t>A (blindfolded) marksman finds that on the average he hits the target 4 times out of 5. If he fires 4 shots, what is the probability of?</t>
  </si>
  <si>
    <t>More than 2 hits?</t>
  </si>
  <si>
    <t>At least 3 misses?</t>
  </si>
  <si>
    <t>a</t>
  </si>
  <si>
    <t>b</t>
  </si>
  <si>
    <t>c</t>
  </si>
  <si>
    <t xml:space="preserve">In the old days, there was a probability of 0.8 of success in any attempt to make a telephone call. (This often depended on the importance of the person making the call, or the operator's curiosity!) Calculate the probability of having 7 successes in 10 attempts. </t>
  </si>
  <si>
    <t>HyperGeometric Distribution</t>
  </si>
  <si>
    <t>Binomial Distribution</t>
  </si>
  <si>
    <t xml:space="preserve">Sample_s </t>
  </si>
  <si>
    <t xml:space="preserve">number_sample </t>
  </si>
  <si>
    <t xml:space="preserve">population_s </t>
  </si>
  <si>
    <t xml:space="preserve">number_pop </t>
  </si>
  <si>
    <t>101+95</t>
  </si>
  <si>
    <t>The probability of 7 women out of 10 randomly selected voters is 13%</t>
  </si>
  <si>
    <t>When population size is 196 &amp; number of women in the population is 101.</t>
  </si>
  <si>
    <t>HYPGEOMDIST(7,10,101,196)</t>
  </si>
  <si>
    <t>Negative Binomial Distribution</t>
  </si>
  <si>
    <t xml:space="preserve">number_f(no. of failure) </t>
  </si>
  <si>
    <t xml:space="preserve">number_s(no. of successes) </t>
  </si>
  <si>
    <t xml:space="preserve">probability_s </t>
  </si>
  <si>
    <t>Attempts</t>
  </si>
  <si>
    <t>Success</t>
  </si>
  <si>
    <t>13 Spades</t>
  </si>
  <si>
    <t>13 Clubs</t>
  </si>
  <si>
    <t>13 Hearts</t>
  </si>
  <si>
    <t>13 Diamonds</t>
  </si>
  <si>
    <r>
      <t>When sampling is done </t>
    </r>
    <r>
      <rPr>
        <b/>
        <sz val="12"/>
        <color rgb="FF202124"/>
        <rFont val="Calibri"/>
        <family val="2"/>
        <scheme val="minor"/>
      </rPr>
      <t>with replacement</t>
    </r>
    <r>
      <rPr>
        <sz val="12"/>
        <color rgb="FF202124"/>
        <rFont val="Calibri"/>
        <family val="2"/>
        <scheme val="minor"/>
      </rPr>
      <t>, then events are considered to be independent, meaning the result of the first pick will not change the </t>
    </r>
    <r>
      <rPr>
        <b/>
        <sz val="12"/>
        <color rgb="FF202124"/>
        <rFont val="Calibri"/>
        <family val="2"/>
        <scheme val="minor"/>
      </rPr>
      <t>probabilities</t>
    </r>
    <r>
      <rPr>
        <sz val="12"/>
        <color rgb="FF202124"/>
        <rFont val="Calibri"/>
        <family val="2"/>
        <scheme val="minor"/>
      </rPr>
      <t> for the second pick.</t>
    </r>
  </si>
  <si>
    <t>Without replacement: When sampling is done without replacement, each member of a population may be chosen only once.</t>
  </si>
  <si>
    <t>P(Exactly 5 heads)</t>
  </si>
  <si>
    <t>P(Exactly 3 heads)</t>
  </si>
  <si>
    <t>Individual probability of exactly 5 heads</t>
  </si>
  <si>
    <t>Individual probability of exactly 3 heads</t>
  </si>
  <si>
    <t>A company has collected data on the number of defective bulbs produced each day in a year.</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</si>
  <si>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</si>
  <si>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</si>
  <si>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</si>
  <si>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</si>
  <si>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</si>
  <si>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</si>
  <si>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</si>
  <si>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</si>
  <si>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</si>
  <si>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</si>
  <si>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</si>
  <si>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</si>
  <si>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</si>
  <si>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</si>
  <si>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</si>
  <si>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</si>
  <si>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</si>
  <si>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</si>
  <si>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</si>
  <si>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</si>
  <si>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</si>
  <si>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</si>
  <si>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</si>
  <si>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</si>
  <si>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</si>
  <si>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</si>
  <si>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</si>
  <si>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</si>
  <si>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</si>
  <si>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</si>
  <si>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</si>
  <si>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</si>
  <si>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</si>
  <si>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</si>
  <si>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</si>
  <si>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</si>
  <si>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</si>
  <si>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</si>
  <si>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</si>
  <si>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</si>
  <si>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</si>
  <si>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</si>
  <si>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</si>
  <si>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</si>
  <si>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</si>
  <si>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</si>
  <si>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</si>
  <si>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</si>
  <si>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</si>
  <si>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</si>
  <si>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</si>
  <si>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</si>
  <si>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</si>
  <si>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</si>
  <si>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</si>
  <si>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</si>
  <si>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</si>
  <si>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</si>
  <si>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</si>
  <si>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</si>
  <si>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</si>
  <si>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</si>
  <si>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</si>
  <si>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</si>
  <si>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</si>
  <si>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</si>
  <si>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</si>
  <si>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</si>
  <si>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</si>
  <si>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</si>
  <si>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</si>
  <si>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</si>
  <si>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</si>
  <si>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</si>
  <si>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</si>
  <si>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</si>
  <si>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</si>
  <si>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</si>
  <si>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</si>
  <si>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</si>
  <si>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</si>
  <si>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</si>
  <si>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</si>
  <si>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</si>
  <si>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</si>
  <si>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</si>
  <si>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</si>
  <si>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</si>
  <si>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</si>
  <si>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</si>
  <si>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</si>
  <si>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</si>
  <si>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</si>
  <si>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</si>
  <si>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Day 95</t>
  </si>
  <si>
    <t>Day 96</t>
  </si>
  <si>
    <t>Day 97</t>
  </si>
  <si>
    <t>Day 98</t>
  </si>
  <si>
    <t>Day 99</t>
  </si>
  <si>
    <t>Day 100</t>
  </si>
  <si>
    <t>Day 101</t>
  </si>
  <si>
    <t>Day 102</t>
  </si>
  <si>
    <t>Day 103</t>
  </si>
  <si>
    <t>Day 104</t>
  </si>
  <si>
    <t>Day 105</t>
  </si>
  <si>
    <t>Day 106</t>
  </si>
  <si>
    <t>Day 107</t>
  </si>
  <si>
    <t>Day 108</t>
  </si>
  <si>
    <t>Day 109</t>
  </si>
  <si>
    <t>Day 110</t>
  </si>
  <si>
    <t>Day 111</t>
  </si>
  <si>
    <t>Day 112</t>
  </si>
  <si>
    <t>Day 113</t>
  </si>
  <si>
    <t>Day 114</t>
  </si>
  <si>
    <t>Day 115</t>
  </si>
  <si>
    <t>Day 116</t>
  </si>
  <si>
    <t>Day 117</t>
  </si>
  <si>
    <t>Day 118</t>
  </si>
  <si>
    <t>Day 119</t>
  </si>
  <si>
    <t>Day 120</t>
  </si>
  <si>
    <t>Day 121</t>
  </si>
  <si>
    <t>Day 122</t>
  </si>
  <si>
    <t>Day 123</t>
  </si>
  <si>
    <t>Day 124</t>
  </si>
  <si>
    <t>Day 125</t>
  </si>
  <si>
    <t>Day 126</t>
  </si>
  <si>
    <t>Day 127</t>
  </si>
  <si>
    <t>Day 128</t>
  </si>
  <si>
    <t>Day 129</t>
  </si>
  <si>
    <t>Day 130</t>
  </si>
  <si>
    <t>Day 131</t>
  </si>
  <si>
    <t>Day 132</t>
  </si>
  <si>
    <t>Day 133</t>
  </si>
  <si>
    <t>Day 134</t>
  </si>
  <si>
    <t>Day 135</t>
  </si>
  <si>
    <t>Day 136</t>
  </si>
  <si>
    <t>Day 137</t>
  </si>
  <si>
    <t>Day 138</t>
  </si>
  <si>
    <t>Day 139</t>
  </si>
  <si>
    <t>Day 140</t>
  </si>
  <si>
    <t>Day 141</t>
  </si>
  <si>
    <t>Day 142</t>
  </si>
  <si>
    <t>Day 143</t>
  </si>
  <si>
    <t>Day 144</t>
  </si>
  <si>
    <t>Day 145</t>
  </si>
  <si>
    <t>Day 146</t>
  </si>
  <si>
    <t>Day 147</t>
  </si>
  <si>
    <t>Day 148</t>
  </si>
  <si>
    <t>Day 149</t>
  </si>
  <si>
    <t>Day 150</t>
  </si>
  <si>
    <t>Day 151</t>
  </si>
  <si>
    <t>Day 152</t>
  </si>
  <si>
    <t>Day 153</t>
  </si>
  <si>
    <t>Day 154</t>
  </si>
  <si>
    <t>Day 155</t>
  </si>
  <si>
    <t>Day 156</t>
  </si>
  <si>
    <t>Day 157</t>
  </si>
  <si>
    <t>Day 158</t>
  </si>
  <si>
    <t>Day 159</t>
  </si>
  <si>
    <t>Day 160</t>
  </si>
  <si>
    <t>Day 161</t>
  </si>
  <si>
    <t>Day 162</t>
  </si>
  <si>
    <t>Day 163</t>
  </si>
  <si>
    <t>Day 164</t>
  </si>
  <si>
    <t>Day 165</t>
  </si>
  <si>
    <t>Day 166</t>
  </si>
  <si>
    <t>Day 167</t>
  </si>
  <si>
    <t>Day 168</t>
  </si>
  <si>
    <t>Day 169</t>
  </si>
  <si>
    <t>Day 170</t>
  </si>
  <si>
    <t>Day 171</t>
  </si>
  <si>
    <t>Day 172</t>
  </si>
  <si>
    <t>Day 173</t>
  </si>
  <si>
    <t>Day 174</t>
  </si>
  <si>
    <t>Day 175</t>
  </si>
  <si>
    <t>Day 176</t>
  </si>
  <si>
    <t>Day 177</t>
  </si>
  <si>
    <t>Day 178</t>
  </si>
  <si>
    <t>Day 179</t>
  </si>
  <si>
    <t>Day 180</t>
  </si>
  <si>
    <t>Day 181</t>
  </si>
  <si>
    <t>Day 182</t>
  </si>
  <si>
    <t>Day 183</t>
  </si>
  <si>
    <t>Day 184</t>
  </si>
  <si>
    <t>Day 185</t>
  </si>
  <si>
    <t>Day 186</t>
  </si>
  <si>
    <t>Day 187</t>
  </si>
  <si>
    <t>Day 188</t>
  </si>
  <si>
    <t>Day 189</t>
  </si>
  <si>
    <t>Day 190</t>
  </si>
  <si>
    <t>Day 191</t>
  </si>
  <si>
    <t>Day 192</t>
  </si>
  <si>
    <t>Day 193</t>
  </si>
  <si>
    <t>Day 194</t>
  </si>
  <si>
    <t>Day 195</t>
  </si>
  <si>
    <t>Day 196</t>
  </si>
  <si>
    <t>Day 197</t>
  </si>
  <si>
    <t>Day 198</t>
  </si>
  <si>
    <t>Day 199</t>
  </si>
  <si>
    <t>Day 200</t>
  </si>
  <si>
    <t>Day 201</t>
  </si>
  <si>
    <t>Day 202</t>
  </si>
  <si>
    <t>Day 203</t>
  </si>
  <si>
    <t>Day 204</t>
  </si>
  <si>
    <t>Day 205</t>
  </si>
  <si>
    <t>Day 206</t>
  </si>
  <si>
    <t>Day 207</t>
  </si>
  <si>
    <t>Day 208</t>
  </si>
  <si>
    <t>Day 209</t>
  </si>
  <si>
    <t>Day 210</t>
  </si>
  <si>
    <t>Day 211</t>
  </si>
  <si>
    <t>Day 212</t>
  </si>
  <si>
    <t>Day 213</t>
  </si>
  <si>
    <t>Day 214</t>
  </si>
  <si>
    <t>Day 215</t>
  </si>
  <si>
    <t>Day 216</t>
  </si>
  <si>
    <t>Day 217</t>
  </si>
  <si>
    <t>Day 218</t>
  </si>
  <si>
    <t>Day 219</t>
  </si>
  <si>
    <t>Day 220</t>
  </si>
  <si>
    <t>Day 221</t>
  </si>
  <si>
    <t>Day 222</t>
  </si>
  <si>
    <t>Day 223</t>
  </si>
  <si>
    <t>Day 224</t>
  </si>
  <si>
    <t>Day 225</t>
  </si>
  <si>
    <t>Day 226</t>
  </si>
  <si>
    <t>Day 227</t>
  </si>
  <si>
    <t>Day 228</t>
  </si>
  <si>
    <t>Day 229</t>
  </si>
  <si>
    <t>Day 230</t>
  </si>
  <si>
    <t>Day 231</t>
  </si>
  <si>
    <t>Day 232</t>
  </si>
  <si>
    <t>Day 233</t>
  </si>
  <si>
    <t>Day 234</t>
  </si>
  <si>
    <t>Day 235</t>
  </si>
  <si>
    <t>Day 236</t>
  </si>
  <si>
    <t>Day 237</t>
  </si>
  <si>
    <t>Day 238</t>
  </si>
  <si>
    <t>Day 239</t>
  </si>
  <si>
    <t>Day 240</t>
  </si>
  <si>
    <t>Day 241</t>
  </si>
  <si>
    <t>Day 242</t>
  </si>
  <si>
    <t>Day 243</t>
  </si>
  <si>
    <t>Day 244</t>
  </si>
  <si>
    <t>Day 245</t>
  </si>
  <si>
    <t>Day 246</t>
  </si>
  <si>
    <t>Day 247</t>
  </si>
  <si>
    <t>Day 248</t>
  </si>
  <si>
    <t>Day 249</t>
  </si>
  <si>
    <t>Day 250</t>
  </si>
  <si>
    <t>Day 251</t>
  </si>
  <si>
    <t>Day 252</t>
  </si>
  <si>
    <t>Day 253</t>
  </si>
  <si>
    <t>Day 254</t>
  </si>
  <si>
    <t>Day 255</t>
  </si>
  <si>
    <t>Day 256</t>
  </si>
  <si>
    <t>Day 257</t>
  </si>
  <si>
    <t>Day 258</t>
  </si>
  <si>
    <t>Day 259</t>
  </si>
  <si>
    <t>Day 260</t>
  </si>
  <si>
    <t>Day 261</t>
  </si>
  <si>
    <t>Day 262</t>
  </si>
  <si>
    <t>Day 263</t>
  </si>
  <si>
    <t>Day 264</t>
  </si>
  <si>
    <t>Day 265</t>
  </si>
  <si>
    <t>Day 266</t>
  </si>
  <si>
    <t>Day 267</t>
  </si>
  <si>
    <t>Day 268</t>
  </si>
  <si>
    <t>Day 269</t>
  </si>
  <si>
    <t>Day 270</t>
  </si>
  <si>
    <t>Day 271</t>
  </si>
  <si>
    <t>Day 272</t>
  </si>
  <si>
    <t>Day 273</t>
  </si>
  <si>
    <t>Day 274</t>
  </si>
  <si>
    <t>Day 275</t>
  </si>
  <si>
    <t>Day 276</t>
  </si>
  <si>
    <t>Day 277</t>
  </si>
  <si>
    <t>Day 278</t>
  </si>
  <si>
    <t>Day 279</t>
  </si>
  <si>
    <t>Day 280</t>
  </si>
  <si>
    <t>Day 281</t>
  </si>
  <si>
    <t>Day 282</t>
  </si>
  <si>
    <t>Day 283</t>
  </si>
  <si>
    <t>Day 284</t>
  </si>
  <si>
    <t>Day 285</t>
  </si>
  <si>
    <t>Day 286</t>
  </si>
  <si>
    <t>Day 287</t>
  </si>
  <si>
    <t>Day 288</t>
  </si>
  <si>
    <t>Day 289</t>
  </si>
  <si>
    <t>Day 290</t>
  </si>
  <si>
    <t>Day 291</t>
  </si>
  <si>
    <t>Day 292</t>
  </si>
  <si>
    <t>Day 293</t>
  </si>
  <si>
    <t>Day 294</t>
  </si>
  <si>
    <t>Day 295</t>
  </si>
  <si>
    <t>Day 296</t>
  </si>
  <si>
    <t>Day 297</t>
  </si>
  <si>
    <t>Day 298</t>
  </si>
  <si>
    <t>Day 299</t>
  </si>
  <si>
    <t>Day 300</t>
  </si>
  <si>
    <t>Day 301</t>
  </si>
  <si>
    <t>Day 302</t>
  </si>
  <si>
    <t>Day 303</t>
  </si>
  <si>
    <t>Day 304</t>
  </si>
  <si>
    <t>Day 305</t>
  </si>
  <si>
    <t>Day 306</t>
  </si>
  <si>
    <t>Day 307</t>
  </si>
  <si>
    <t>Day 308</t>
  </si>
  <si>
    <t>Day 309</t>
  </si>
  <si>
    <t>Day 310</t>
  </si>
  <si>
    <t>Day 311</t>
  </si>
  <si>
    <t>Day 312</t>
  </si>
  <si>
    <t>Day 313</t>
  </si>
  <si>
    <t>Day 314</t>
  </si>
  <si>
    <t>Day 315</t>
  </si>
  <si>
    <t>Day 316</t>
  </si>
  <si>
    <t>Day 317</t>
  </si>
  <si>
    <t>Day 318</t>
  </si>
  <si>
    <t>Day 319</t>
  </si>
  <si>
    <t>Day 320</t>
  </si>
  <si>
    <t>Day 321</t>
  </si>
  <si>
    <t>Day 322</t>
  </si>
  <si>
    <t>Day 323</t>
  </si>
  <si>
    <t>Day 324</t>
  </si>
  <si>
    <t>Day 325</t>
  </si>
  <si>
    <t>Day 326</t>
  </si>
  <si>
    <t>Day 327</t>
  </si>
  <si>
    <t>Day 328</t>
  </si>
  <si>
    <t>Day 329</t>
  </si>
  <si>
    <t>Day 330</t>
  </si>
  <si>
    <t>Day 331</t>
  </si>
  <si>
    <t>Day 332</t>
  </si>
  <si>
    <t>Day 333</t>
  </si>
  <si>
    <t>Day 334</t>
  </si>
  <si>
    <t>Day 335</t>
  </si>
  <si>
    <t>Day 336</t>
  </si>
  <si>
    <t>Day 337</t>
  </si>
  <si>
    <t>Day 338</t>
  </si>
  <si>
    <t>Day 339</t>
  </si>
  <si>
    <t>Day 340</t>
  </si>
  <si>
    <t>Day 341</t>
  </si>
  <si>
    <t>Day 342</t>
  </si>
  <si>
    <t>Day 343</t>
  </si>
  <si>
    <t>Day 344</t>
  </si>
  <si>
    <t>Day 345</t>
  </si>
  <si>
    <t>Day 346</t>
  </si>
  <si>
    <t>Day 347</t>
  </si>
  <si>
    <t>Day 348</t>
  </si>
  <si>
    <t>Day 349</t>
  </si>
  <si>
    <t>Day 350</t>
  </si>
  <si>
    <t>Day 351</t>
  </si>
  <si>
    <t>Day 352</t>
  </si>
  <si>
    <t>Day 353</t>
  </si>
  <si>
    <t>Day 354</t>
  </si>
  <si>
    <t>Day 355</t>
  </si>
  <si>
    <t>Day 356</t>
  </si>
  <si>
    <t>Day 357</t>
  </si>
  <si>
    <t>Day 358</t>
  </si>
  <si>
    <t>Day 359</t>
  </si>
  <si>
    <t>Day 360</t>
  </si>
  <si>
    <t>Day 361</t>
  </si>
  <si>
    <t>Day 362</t>
  </si>
  <si>
    <t>Day 363</t>
  </si>
  <si>
    <t>Day 364</t>
  </si>
  <si>
    <t>Day 365</t>
  </si>
  <si>
    <t>Probability Distribution for each possible Number of defects in a day.</t>
  </si>
  <si>
    <t>Day</t>
  </si>
  <si>
    <t>Defects</t>
  </si>
  <si>
    <t>Grand Total</t>
  </si>
  <si>
    <t>Count of Day</t>
  </si>
  <si>
    <t>Probabilities</t>
  </si>
  <si>
    <t>Number of defects</t>
  </si>
  <si>
    <t>Calculating Variance &amp; Standard Deviation</t>
  </si>
  <si>
    <t>Geometric Distribution</t>
  </si>
  <si>
    <t>NEGBINOMDIST(2,1,0.2)</t>
  </si>
  <si>
    <t>NEGBINOMDIST(5,3,0.2)</t>
  </si>
  <si>
    <t>Totally 5 attempts of shooting</t>
  </si>
  <si>
    <t>Find the probability of 1st bull's eye on 4th attempt</t>
  </si>
  <si>
    <t>P(Hitting Bull's Eye in the game of archery) = 0.6</t>
  </si>
  <si>
    <t>NEGBINOMDIST(3,1,0.6)</t>
  </si>
  <si>
    <t>Poisson Distribution</t>
  </si>
  <si>
    <t>Number of people entering a restaurant per hour is 12.</t>
  </si>
  <si>
    <t>Find probability of 15 people entering the restaurant in the next hour.</t>
  </si>
  <si>
    <t>x</t>
  </si>
  <si>
    <t>mean</t>
  </si>
  <si>
    <t>cummulative</t>
  </si>
  <si>
    <t>POISSON(15,12,FALSE)</t>
  </si>
  <si>
    <t>Now find probability of more than 15 people entering the restaurant in the next hour.</t>
  </si>
  <si>
    <t>Now find probability of less than 10 people entering the restaurant in the next hour.</t>
  </si>
  <si>
    <t>1-POISSON(15,12,TRUE)</t>
  </si>
  <si>
    <t>POISSON(9,12,TRUE)</t>
  </si>
  <si>
    <t>Now find probability of 11 or less people entering the restaurant in the next hour.</t>
  </si>
  <si>
    <t>POISSON(11,12,TRUE)</t>
  </si>
  <si>
    <t xml:space="preserve">A life insurance salesman sells on the average 3 life insurance policies per week. </t>
  </si>
  <si>
    <t xml:space="preserve">Calculate the probability that in a given week he will sell some policies. </t>
  </si>
  <si>
    <t xml:space="preserve">Calculate the probability he will sell 2 or more policies but less than 5 policies. </t>
  </si>
  <si>
    <t>Assuming that there are 5 working days per week, what is the probability that in a given day he will sell one policy?</t>
  </si>
  <si>
    <t>Row Labels</t>
  </si>
  <si>
    <t>Sales</t>
  </si>
  <si>
    <t>0</t>
  </si>
  <si>
    <t xml:space="preserve">Mean </t>
  </si>
  <si>
    <t>Mean&gt;Median&gt;Mode</t>
  </si>
  <si>
    <t>Therefore very slightly right/positively skewed data</t>
  </si>
  <si>
    <t>But since the values are very close, it is almost normally distributed data</t>
  </si>
  <si>
    <t>X</t>
  </si>
  <si>
    <t>The value greater than/lesser than which we want the probability for.</t>
  </si>
  <si>
    <t>µ</t>
  </si>
  <si>
    <t>The average of the data</t>
  </si>
  <si>
    <t>σ</t>
  </si>
  <si>
    <t>Z-score</t>
  </si>
  <si>
    <t>(X - µ) / σ</t>
  </si>
  <si>
    <t>Probability of age greater than 42</t>
  </si>
  <si>
    <t>z</t>
  </si>
  <si>
    <t>P(Age&gt;42)</t>
  </si>
  <si>
    <t>P(Age&gt;55)</t>
  </si>
  <si>
    <t>P(Age&lt;40)</t>
  </si>
  <si>
    <t>P(Age&lt;25)</t>
  </si>
  <si>
    <t>Find the following probabilities:</t>
  </si>
  <si>
    <t>b.</t>
  </si>
  <si>
    <t>P(Z &gt; 1.06)</t>
  </si>
  <si>
    <t>c.</t>
  </si>
  <si>
    <t>P(Z &lt; -2.15)</t>
  </si>
  <si>
    <t>d.</t>
  </si>
  <si>
    <t>P(1.06 &lt; Z &lt; 3.00)</t>
  </si>
  <si>
    <t>P(-1.06 &lt; Z &lt; 3.00)</t>
  </si>
  <si>
    <t xml:space="preserve">a. </t>
  </si>
  <si>
    <t>Area to the left of z=0.8554</t>
  </si>
  <si>
    <t>Therefore are to the right = 1-0.8554</t>
  </si>
  <si>
    <t>P(Z&gt;1.06)= 0.1446</t>
  </si>
  <si>
    <t>Area to the left of z=3.00 = 0.9987</t>
  </si>
  <si>
    <t>Area to the left of z=1.06=0.8554</t>
  </si>
  <si>
    <t>Area to the left of z=3.00 minus Area to the left of z=1.06</t>
  </si>
  <si>
    <t>P(1.06 &lt; Z &lt; 3.00) = 0.1433</t>
  </si>
  <si>
    <t>Area to the left of z=-1.06=0.1446</t>
  </si>
  <si>
    <t>Area to the left of z=3.00 minus Area to the left of z=-1.06</t>
  </si>
  <si>
    <t>P(-1.06 &lt; Z &lt; 3.00) = 0.8541</t>
  </si>
  <si>
    <t>Population Size = 100000</t>
  </si>
  <si>
    <t>Sample 1 = 1000</t>
  </si>
  <si>
    <t>Sample 2 = 100</t>
  </si>
  <si>
    <t>(X - µ) / (σ/sqrt(n)</t>
  </si>
  <si>
    <t>n= given sample size</t>
  </si>
  <si>
    <t>Average Salary</t>
  </si>
  <si>
    <t>Salary &lt; 30000</t>
  </si>
  <si>
    <t>Sample Size</t>
  </si>
  <si>
    <t xml:space="preserve">In a survey of a company, mean salary of employees is 6066 dollars with SD of 2875 dollars. </t>
  </si>
  <si>
    <t>Consider the sample of 40 employees and find the probability their mean salary will be less than 6000 dollars?</t>
  </si>
  <si>
    <t>Null Hypothesis - There is no significant difference between the salary of the sample taken, and the population</t>
  </si>
  <si>
    <t>Alternative Hypothesis - There is a significant difference between the salary of the sample taken &amp; the population.</t>
  </si>
  <si>
    <t>Prob &gt; 0.05</t>
  </si>
  <si>
    <t>Prob &lt; 0.05</t>
  </si>
  <si>
    <t xml:space="preserve">You are an Analytics advisor of a Retail company and find from the population that the average  daily sales is 20,000 USD (approx.) and Standard Deviation is USD 4000. </t>
  </si>
  <si>
    <t xml:space="preserve">The Sales team picks up a random sample of 25 days and claims that the average daily sales is 19,800  USD(Provided that the data is normally distributed) and recommends that company needs to rethink its  strategies to increase the sale. </t>
  </si>
  <si>
    <t>Population Average</t>
  </si>
  <si>
    <t>Population SD</t>
  </si>
  <si>
    <t>25 days</t>
  </si>
  <si>
    <t>Alternate Hypothesis - The mean sales of the sample is siginificantly lesser than the population average.</t>
  </si>
  <si>
    <t>Null Hypothesis - The mean sales of the sample is not lesser (the same as) than the population average.</t>
  </si>
  <si>
    <t>&gt; 0.05</t>
  </si>
  <si>
    <t>Since the calculated probability of 0.4013 is greater than the signicance level, we conclude that Null Hypothesis is true.</t>
  </si>
  <si>
    <t xml:space="preserve">Now assume that the average of sample mean from 20 observations is 18,000. </t>
  </si>
  <si>
    <t>Now what is  the probability of seeing the average of 18,000 or lower , if the true population mean was 20,000</t>
  </si>
  <si>
    <t>20 days</t>
  </si>
  <si>
    <t>&lt;18000</t>
  </si>
  <si>
    <t>&lt;19800</t>
  </si>
  <si>
    <t>&lt;0.05</t>
  </si>
  <si>
    <t>Since the calculated probability of 0.0125 is lesser than the signicance level, we conclude that Alternate Hypothesis is true.</t>
  </si>
  <si>
    <t>Significance Level</t>
  </si>
  <si>
    <t>A researchers investigates that the mean body temperature of people who is 17 year old is greater than</t>
  </si>
  <si>
    <t>98.6 degrees. What will be the null and alternate hypothesis in this case?  Suppose x = Mean body temperature</t>
  </si>
  <si>
    <t>A radio station publicizes that the average number of the local listening audience is greater than 45%</t>
  </si>
  <si>
    <t xml:space="preserve">A pharmaceutical company claims that a new treatment is successful in reducing heart attack in more  than 65% of the cases. </t>
  </si>
  <si>
    <t>The treatment was tried on 50 randomly selected cases and 15 were successful.</t>
  </si>
  <si>
    <t>Null Hypothesis - mean body temperature of people who is 17 year old is the same as 98.6 degrees</t>
  </si>
  <si>
    <t>Alternate Hypothesis - mean body temperature of people who is 17 year old is significantly greater than 98.6 degrees</t>
  </si>
  <si>
    <t>Null Hypothesis - The new treatment is successful in reducing heart attack in 65% of the cases.</t>
  </si>
  <si>
    <t>Alternative Hypothesis - The new treatment is successful in reducing heart attack in less than 65% of the cases.</t>
  </si>
  <si>
    <t>Null Hypothesis - the average number of the local listening audience is 45%.</t>
  </si>
  <si>
    <t>Alternative Hypothesis - the average number of the local listening audience is greater than 45%</t>
  </si>
  <si>
    <t>Now, what will be your Null hypothesis and the Alternate hypothesis:</t>
  </si>
  <si>
    <t xml:space="preserve">A cricket selection committee has a selection meeting and is confused on one player over the selection in  the team. </t>
  </si>
  <si>
    <t xml:space="preserve">This particular player has a career batting average of 40 with a standard deviation of 10. </t>
  </si>
  <si>
    <t xml:space="preserve">But in  his recent 30 innings he has a batting average of 38. </t>
  </si>
  <si>
    <t xml:space="preserve">The selection committee has a selection criteria  where the average should not be less than 40. </t>
  </si>
  <si>
    <t>Now they want to confirm on which statistics they want to  rely on to make the selection?</t>
  </si>
  <si>
    <t>&lt;38</t>
  </si>
  <si>
    <t>&gt;0.05</t>
  </si>
  <si>
    <t>Null Hypothesis -  The player has an average of 40 runs per inning.</t>
  </si>
  <si>
    <t>Alternative Hypothesis - The player has an average of lesser than 40 runs per inning</t>
  </si>
  <si>
    <t>Conclusion: The player has an average of 40 runs per inning.</t>
  </si>
  <si>
    <t>the minimum wage of the highest 5%.</t>
  </si>
  <si>
    <t xml:space="preserve">A company pays its employees an average wage of $3.25 an hour with a standard deviation of 60 cents. </t>
  </si>
  <si>
    <t>If the wages are approximately normally distributed, determine the proportion of the workers getting wages between $2.75 and $3.69 an hour;</t>
  </si>
  <si>
    <t>2.75&lt;X&lt;3.69</t>
  </si>
  <si>
    <t>z for 2.75</t>
  </si>
  <si>
    <t>z for 3.69</t>
  </si>
  <si>
    <t>P(2.75&lt;X&lt;3.69)</t>
  </si>
  <si>
    <t>between 20.03 mm and 20.08 mm</t>
  </si>
  <si>
    <t>between 20.06 mm and 20.07 mm</t>
  </si>
  <si>
    <t>less than 20.01 mm</t>
  </si>
  <si>
    <t>greater than 20.09 mm.</t>
  </si>
  <si>
    <t>d</t>
  </si>
  <si>
    <t xml:space="preserve">It was found that the mean length of 100 parts produced by a lathe was 20.05 mm with a standard deviation of 0.02 mm. </t>
  </si>
  <si>
    <t>Find the probability that a part selected at random would have a length</t>
  </si>
  <si>
    <t>Sample size</t>
  </si>
  <si>
    <t>Sample Average</t>
  </si>
  <si>
    <t>Sample SD</t>
  </si>
  <si>
    <t>20.03&lt;X&lt;20.08</t>
  </si>
  <si>
    <t>z for 20.03</t>
  </si>
  <si>
    <t>z for 20.08</t>
  </si>
  <si>
    <t>Probability= 1</t>
  </si>
  <si>
    <t>A International cargo company delivers product from Mumbai to Dubai Port in 50 hrs. with a standard  deviation of 12 hrs. is normally distributed</t>
  </si>
  <si>
    <t>and  found the average delivery time between Mumbai and Dubai is 53 hrs. with a standard deviation of 2.5  hours.</t>
  </si>
  <si>
    <t xml:space="preserve">The Company has appointed you as a Supply Chain Analyst, and you observed the last 35 shipments, </t>
  </si>
  <si>
    <t>How Do you prove that your study is accurate and formulate the Null Hypothesis and Alternate Hypothesis.</t>
  </si>
  <si>
    <t>Null Hypothesis: The cargo company delivers products from Mumbai to Dubai in 50hrs</t>
  </si>
  <si>
    <t>Alternate Hypothesis: The cargo company delivers products from Mumbai to Dubai in more than 50hrs</t>
  </si>
  <si>
    <t>Population Mean</t>
  </si>
  <si>
    <t>Sample mean</t>
  </si>
  <si>
    <t>Area less than z=1.48</t>
  </si>
  <si>
    <t>Prob(Shipment time &gt; 53 is 0.06</t>
  </si>
  <si>
    <t>Conclusion: The cargo company delivers products from Mumbai to Dubai in 50hrs &amp; the time duration has not really increased.</t>
  </si>
  <si>
    <t xml:space="preserve">Sample 1 </t>
  </si>
  <si>
    <t xml:space="preserve">Sample 2 </t>
  </si>
  <si>
    <t xml:space="preserve">Average no of defective pieces  before project  implementation on  sample 1 </t>
  </si>
  <si>
    <t xml:space="preserve">Average no of defective pieces  after project  implementation on  sample 2 </t>
  </si>
  <si>
    <t>t-Test: Two-Sample Assuming Equal Variances</t>
  </si>
  <si>
    <t>Variable 1</t>
  </si>
  <si>
    <t>Variable 2</t>
  </si>
  <si>
    <t>Pooled Variance</t>
  </si>
  <si>
    <t>Hypothesized Mean Difference</t>
  </si>
  <si>
    <t>df</t>
  </si>
  <si>
    <t>t Stat</t>
  </si>
  <si>
    <t>P(T&lt;=t) one-tail</t>
  </si>
  <si>
    <t>t Critical one-tail</t>
  </si>
  <si>
    <t>P(T&lt;=t) two-tail</t>
  </si>
  <si>
    <t>t Critical two-tail</t>
  </si>
  <si>
    <t>Null Hypothesis: There is no significant difference between Sample 1 &amp; Sample 2, and the defect rates have not been reduced.</t>
  </si>
  <si>
    <t>Alternate Hypothesis: There is a significant difference between Sample 1 &amp; Sample 2, and the defect rates have been reduced.</t>
  </si>
  <si>
    <t>Conclusion : Since the P-value of 0.048 is lesser than the significance level of 0.05, we can conclude that the Alternate hypothesis is true, i.e. The defect rates have been reduced.</t>
  </si>
  <si>
    <t>Since the difference between the 2 variances is greater than 15%, we must select the Option of 2 sample t-test with unequal variances.</t>
  </si>
  <si>
    <t>&gt;15%</t>
  </si>
  <si>
    <t>t-Test: Two-Sample Assuming Unequal Variances</t>
  </si>
  <si>
    <t>Two Sample T-Test</t>
  </si>
  <si>
    <t>Paired Sample Test</t>
  </si>
  <si>
    <t>Probability Distribution Chart</t>
  </si>
  <si>
    <t>&gt;55</t>
  </si>
  <si>
    <t>SD</t>
  </si>
  <si>
    <t xml:space="preserve">Students </t>
  </si>
  <si>
    <t xml:space="preserve">Job offers before Mock interview </t>
  </si>
  <si>
    <t xml:space="preserve">Job offers after Mock interview </t>
  </si>
  <si>
    <t xml:space="preserve">Delhi </t>
  </si>
  <si>
    <t xml:space="preserve">Mumbai </t>
  </si>
  <si>
    <t xml:space="preserve">Bangalore </t>
  </si>
  <si>
    <t xml:space="preserve">Week 1 </t>
  </si>
  <si>
    <t xml:space="preserve">Week 2 </t>
  </si>
  <si>
    <t xml:space="preserve">Week 3 </t>
  </si>
  <si>
    <t xml:space="preserve">Week 4 </t>
  </si>
  <si>
    <t xml:space="preserve">Week 5 </t>
  </si>
  <si>
    <t>ANOVA</t>
  </si>
  <si>
    <t>SSE (Sum of Squares Error)</t>
  </si>
  <si>
    <t>Grand Mean</t>
  </si>
  <si>
    <t>Mean (M)</t>
  </si>
  <si>
    <t>Grand Mean (GM)</t>
  </si>
  <si>
    <t>D=M-GM</t>
  </si>
  <si>
    <t>Square the D</t>
  </si>
  <si>
    <t>SSC (Sum of Squares Column)</t>
  </si>
  <si>
    <t>Mean Square Column = SSC / (k-1)</t>
  </si>
  <si>
    <t>k= No. Of samples</t>
  </si>
  <si>
    <t>MSC</t>
  </si>
  <si>
    <t>Mean Square Error = SSE/ (n-k)</t>
  </si>
  <si>
    <t>n= total number of observations</t>
  </si>
  <si>
    <t>MSE</t>
  </si>
  <si>
    <t>F - statistic</t>
  </si>
  <si>
    <t>MSC/MSE</t>
  </si>
  <si>
    <t>Critical Value</t>
  </si>
  <si>
    <t>Null Hypothesis (Ho): The mean sales for each cities are same.</t>
  </si>
  <si>
    <t>Alternate Hypothesis (Ha): The mean sales for each city is significantly different.</t>
  </si>
  <si>
    <t>Since F-statistic &lt; Critical Value  ----&gt; Null Hypothesis is true</t>
  </si>
  <si>
    <t>Since F-statistic &gt; Critical Value  ----&gt; Alternate Hypothesis is true</t>
  </si>
  <si>
    <t>So in this case F-Statistic of 0.167 is lesser than the critical value of 3.89</t>
  </si>
  <si>
    <t>Hence we conclude that Null Hypothesis is True that the mean sales for each cities are same.</t>
  </si>
  <si>
    <t>Degrees of Freedom</t>
  </si>
  <si>
    <t xml:space="preserve">Discount </t>
  </si>
  <si>
    <t>Anova: Single Factor</t>
  </si>
  <si>
    <t>SUMMARY</t>
  </si>
  <si>
    <t>Groups</t>
  </si>
  <si>
    <t>Source of Variation</t>
  </si>
  <si>
    <t>SS</t>
  </si>
  <si>
    <t>MS</t>
  </si>
  <si>
    <t>P-value</t>
  </si>
  <si>
    <t>F crit</t>
  </si>
  <si>
    <t>Between Groups</t>
  </si>
  <si>
    <t>Within Groups</t>
  </si>
  <si>
    <t>If we run the ANOVA Single Factor in Excel, we can also get the above calculated values, &amp; the P-value.</t>
  </si>
  <si>
    <t>If P-value &gt; 0.05</t>
  </si>
  <si>
    <t>Null Hypothesis will be true</t>
  </si>
  <si>
    <t>If P-value &lt; 0.05</t>
  </si>
  <si>
    <t>Alternate Hypothesis will be true</t>
  </si>
  <si>
    <t>In this case, p-value 0.84 is greater than 0.05, hence we can conclude that null hypothesis is true</t>
  </si>
  <si>
    <t>ANOVA - Single Factor</t>
  </si>
  <si>
    <t>ANOVA - Two Factor</t>
  </si>
  <si>
    <t>Two Factor ANOVA Without Replication (Only 1 observation per sample)</t>
  </si>
  <si>
    <t>Two Factor ANOVA With Replication (More than 1 observation per sample)</t>
  </si>
  <si>
    <t>Anova: Two-Factor Without Replication</t>
  </si>
  <si>
    <t>Rows</t>
  </si>
  <si>
    <t>Columns</t>
  </si>
  <si>
    <t>Error</t>
  </si>
  <si>
    <t>Anova: Two-Factor With Replication</t>
  </si>
  <si>
    <t>Sample</t>
  </si>
  <si>
    <t>Interaction</t>
  </si>
  <si>
    <t>Within</t>
  </si>
  <si>
    <t>Null Hypothesis for sample(Ho): The impact of discount on the sales is same.</t>
  </si>
  <si>
    <t>Null Hypothesis for column(Ho): The impact of cities on sales is same.</t>
  </si>
  <si>
    <t>Null hypothesis for Interaction: The combination of the discount and cities has no impact on sales.</t>
  </si>
  <si>
    <t>0.14&gt;0.05</t>
  </si>
  <si>
    <t>Therefore true</t>
  </si>
  <si>
    <t>0.62&gt;0.05</t>
  </si>
  <si>
    <t>0.42&gt;0.05</t>
  </si>
  <si>
    <t>Null 1</t>
  </si>
  <si>
    <t>Null 2</t>
  </si>
  <si>
    <t>Null 3</t>
  </si>
  <si>
    <t>Alternate 1</t>
  </si>
  <si>
    <t>Alternate 2</t>
  </si>
  <si>
    <t>Alternate 3</t>
  </si>
  <si>
    <t>Alternate Hypothesis for column(H1): The impact of cities on sales is significantly different.</t>
  </si>
  <si>
    <t>Alternate Hypothesis for sample(H1): The impact of discount on the sales is significantly different.</t>
  </si>
  <si>
    <t>Alternate hypothesis for Interaction: The combination of the discount and cities has significant impact on sales.</t>
  </si>
  <si>
    <t>Expected</t>
  </si>
  <si>
    <t>Observed</t>
  </si>
  <si>
    <t>Cars</t>
  </si>
  <si>
    <t>Honda City</t>
  </si>
  <si>
    <t>Honda Amaze</t>
  </si>
  <si>
    <t>Honda Accord</t>
  </si>
  <si>
    <t>Honda CR-V</t>
  </si>
  <si>
    <t>Chi-Square Test</t>
  </si>
  <si>
    <t>National Sales Figure</t>
  </si>
  <si>
    <t>Sample of 200 Transactions from New Showroom</t>
  </si>
  <si>
    <t>Null Hypothesis : The New showroom sales are similar to the national sales</t>
  </si>
  <si>
    <t>Alternate Hypothesis: The New showroom sales are significantly different from the national sales of Honda</t>
  </si>
  <si>
    <t>Since P-value of 0.03 &lt; 0.05, we conclude that alternate hypothesis is true, that the new showroom sales are significantly different from the national sales.</t>
  </si>
  <si>
    <t>Sales (S)</t>
  </si>
  <si>
    <t>D=S-M</t>
  </si>
  <si>
    <t>Average(M)</t>
  </si>
  <si>
    <t>D^2</t>
  </si>
  <si>
    <t>Mumbai</t>
  </si>
  <si>
    <t>Sum of D^2</t>
  </si>
  <si>
    <t>Bangalore</t>
  </si>
  <si>
    <t xml:space="preserve">Observation (O) </t>
  </si>
  <si>
    <t xml:space="preserve">Grand Mean (M) </t>
  </si>
  <si>
    <t xml:space="preserve">D = O - GM </t>
  </si>
  <si>
    <t xml:space="preserve">Square of D </t>
  </si>
  <si>
    <t>Observed Transactions</t>
  </si>
  <si>
    <t>Expected Transactions</t>
  </si>
  <si>
    <t>Sales Transactions</t>
  </si>
  <si>
    <t>Expected Transactions (Comparing with 200)</t>
  </si>
  <si>
    <t>Observed Sample</t>
  </si>
  <si>
    <t>Car Type</t>
  </si>
  <si>
    <t>Urban</t>
  </si>
  <si>
    <t>Semi Urban</t>
  </si>
  <si>
    <t>Rural</t>
  </si>
  <si>
    <t>Expected Values</t>
  </si>
  <si>
    <t>Observed Frequency</t>
  </si>
  <si>
    <t>Number of Defects</t>
  </si>
  <si>
    <t>Car-Type</t>
  </si>
  <si>
    <t>Null Hypothesis: There is no specific preference for cars in different areas.</t>
  </si>
  <si>
    <t>Alternate Hypothesis: There is a specific preference for cars in different areas.</t>
  </si>
  <si>
    <t>Since the p-value &lt; 0.05, we accept alternate hypothesis, which means there is a specific preference for cars in different areas.</t>
  </si>
  <si>
    <t>1 std dev away</t>
  </si>
  <si>
    <t>2 std dev away</t>
  </si>
  <si>
    <t>95% data</t>
  </si>
  <si>
    <t>68% data</t>
  </si>
  <si>
    <t>3 std dev away</t>
  </si>
  <si>
    <t>99.7% data</t>
  </si>
  <si>
    <t>n=10</t>
  </si>
  <si>
    <t>H,T</t>
  </si>
  <si>
    <t>p_success</t>
  </si>
  <si>
    <t>outcomes</t>
  </si>
  <si>
    <t>trials</t>
  </si>
  <si>
    <t>r sucesses</t>
  </si>
  <si>
    <t>1.a.</t>
  </si>
  <si>
    <t>1.b.</t>
  </si>
  <si>
    <t>1.c.</t>
  </si>
  <si>
    <t>λ=1.6</t>
  </si>
  <si>
    <t>5 Pink</t>
  </si>
  <si>
    <t>3 Green</t>
  </si>
  <si>
    <t>2 Yellow</t>
  </si>
  <si>
    <t>Std Dev (after replacing 6 by 24)</t>
  </si>
  <si>
    <t>Std Dev will increase if 6 is replaced by 24.</t>
  </si>
  <si>
    <t>y</t>
  </si>
  <si>
    <t>3rd</t>
  </si>
  <si>
    <t>4th</t>
  </si>
  <si>
    <t>5th</t>
  </si>
  <si>
    <t>8th</t>
  </si>
  <si>
    <t>9th</t>
  </si>
  <si>
    <t>10th</t>
  </si>
  <si>
    <t>Median = (5th &amp; 6th value)/2</t>
  </si>
  <si>
    <t>35=(34 + x)/2</t>
  </si>
  <si>
    <t>x=36</t>
  </si>
  <si>
    <t>Mean=(SUM(G128:G136)+y)/10</t>
  </si>
  <si>
    <t>42=(343+y)/10</t>
  </si>
  <si>
    <t>y=77</t>
  </si>
  <si>
    <t>A , B , B , AB , AB , B , O , O , AB , O , B , A, AB , A , O , O , AB , B , O , A , AB , O , B , A</t>
  </si>
  <si>
    <t>AB</t>
  </si>
  <si>
    <t>O</t>
  </si>
  <si>
    <t xml:space="preserve">Prob(Not O) </t>
  </si>
  <si>
    <t>Prob(Sum = 1)</t>
  </si>
  <si>
    <t>Prob(Sum=4)</t>
  </si>
  <si>
    <t>Prob(Sum&lt;13)</t>
  </si>
  <si>
    <t>No. of Flaws</t>
  </si>
  <si>
    <t>Prob(&lt;=3 flaws)</t>
  </si>
  <si>
    <t>Average per week</t>
  </si>
  <si>
    <t>Prob(&lt;=1 failure)</t>
  </si>
  <si>
    <t>Average per minute</t>
  </si>
  <si>
    <t>Prob( 0 vehicles/minute)</t>
  </si>
  <si>
    <t>Vehicles expected in two minutes</t>
  </si>
  <si>
    <t>Prob( 10 vehicles/2 minute)</t>
  </si>
  <si>
    <t>prob</t>
  </si>
  <si>
    <t>Prob(5 defects)</t>
  </si>
  <si>
    <t>1st Die</t>
  </si>
  <si>
    <t>2nd Die</t>
  </si>
  <si>
    <t>3rd Die</t>
  </si>
  <si>
    <t>Prob of death</t>
  </si>
  <si>
    <t>Total patients</t>
  </si>
  <si>
    <t>Recovered</t>
  </si>
  <si>
    <t>Died</t>
  </si>
  <si>
    <t>Prob of recovery</t>
  </si>
  <si>
    <t>Prob of hitting target</t>
  </si>
  <si>
    <t>Prob(&gt; 2 hits)</t>
  </si>
  <si>
    <t>Prob(Atleast 3 misses) = Prob(&lt;=1 hits)</t>
  </si>
  <si>
    <t>Prob of Reject</t>
  </si>
  <si>
    <t>Trials</t>
  </si>
  <si>
    <t>Prob(&lt;=2 rejects)</t>
  </si>
  <si>
    <t>Prob(&gt;=2 rejects)</t>
  </si>
  <si>
    <t>No. of rejects</t>
  </si>
  <si>
    <t>z-score</t>
  </si>
  <si>
    <t>Range 1</t>
  </si>
  <si>
    <t>Range 2</t>
  </si>
  <si>
    <t>Range 3</t>
  </si>
  <si>
    <t>Median&lt;Mean</t>
  </si>
  <si>
    <t>Positive Skew</t>
  </si>
  <si>
    <t>Cummulative Frequency</t>
  </si>
  <si>
    <t>Probability Values are always between 0 to 1</t>
  </si>
  <si>
    <t>Cummulative Relative Frequency</t>
  </si>
  <si>
    <t>Kurt=3</t>
  </si>
  <si>
    <t>Mesokurtic</t>
  </si>
  <si>
    <t>&lt;3</t>
  </si>
  <si>
    <t>Platykurtic</t>
  </si>
  <si>
    <t>&gt;3</t>
  </si>
  <si>
    <t>Leptokurtic</t>
  </si>
  <si>
    <t>Heads</t>
  </si>
  <si>
    <t>R.F</t>
  </si>
  <si>
    <t>C.R.F.</t>
  </si>
  <si>
    <t>Less than 6</t>
  </si>
  <si>
    <t>8 or less</t>
  </si>
  <si>
    <t>10 coins</t>
  </si>
  <si>
    <t>Unbiased</t>
  </si>
  <si>
    <t>10 times</t>
  </si>
  <si>
    <t>If i toss a coin 10 times, (10 coins are tossed together), what is the probability, that out of those 10 tosses/trials, only 6 heads will turn up?</t>
  </si>
  <si>
    <t>Less than</t>
  </si>
  <si>
    <t>At most</t>
  </si>
  <si>
    <t xml:space="preserve">Not more than </t>
  </si>
  <si>
    <t>Atleast 6 heads</t>
  </si>
  <si>
    <t>6 or more</t>
  </si>
  <si>
    <t>Not less than 6</t>
  </si>
  <si>
    <t>More than 5</t>
  </si>
  <si>
    <t xml:space="preserve">In a large restaurant, an average of 3 out of every 5 customers ask for water with their meal. A random sample of 10 customers is selected.  </t>
  </si>
  <si>
    <t>Find the probability that exactly 6 ask for water with their meal, and find the probability that less than 9 ask for water with their meal.</t>
  </si>
  <si>
    <t xml:space="preserve">60% of people who purchase sports cars are men.  </t>
  </si>
  <si>
    <t>If 15 sports car owners are randomly selected, find the probability that exactly 7 are men.</t>
  </si>
  <si>
    <r>
      <t>1.</t>
    </r>
    <r>
      <rPr>
        <sz val="7"/>
        <color theme="1"/>
        <rFont val="Times New Roman"/>
        <family val="1"/>
      </rPr>
      <t xml:space="preserve">     </t>
    </r>
    <r>
      <rPr>
        <sz val="14"/>
        <color theme="1"/>
        <rFont val="Calibri"/>
        <family val="2"/>
        <scheme val="minor"/>
      </rPr>
      <t>Find the area under the standard normal curve for the following, using the z-table. Sketch each one.</t>
    </r>
  </si>
  <si>
    <r>
      <t>a.</t>
    </r>
    <r>
      <rPr>
        <sz val="7"/>
        <color theme="1"/>
        <rFont val="Times New Roman"/>
        <family val="1"/>
      </rPr>
      <t xml:space="preserve">     </t>
    </r>
    <r>
      <rPr>
        <sz val="14"/>
        <color theme="1"/>
        <rFont val="Calibri"/>
        <family val="2"/>
        <scheme val="minor"/>
      </rPr>
      <t>between z = 0 and z = 0.78</t>
    </r>
  </si>
  <si>
    <r>
      <t>a.</t>
    </r>
    <r>
      <rPr>
        <sz val="7"/>
        <color theme="1"/>
        <rFont val="Times New Roman"/>
        <family val="1"/>
      </rPr>
      <t xml:space="preserve">     </t>
    </r>
    <r>
      <rPr>
        <sz val="14"/>
        <color theme="1"/>
        <rFont val="Calibri"/>
        <family val="2"/>
        <scheme val="minor"/>
      </rPr>
      <t>between z = −0.56 and z = 0</t>
    </r>
  </si>
  <si>
    <r>
      <t>b.</t>
    </r>
    <r>
      <rPr>
        <sz val="7"/>
        <color theme="1"/>
        <rFont val="Times New Roman"/>
        <family val="1"/>
      </rPr>
      <t xml:space="preserve">     </t>
    </r>
    <r>
      <rPr>
        <sz val="14"/>
        <color theme="1"/>
        <rFont val="Calibri"/>
        <family val="2"/>
        <scheme val="minor"/>
      </rPr>
      <t>between z = −0.43 and z = 0.78</t>
    </r>
  </si>
  <si>
    <r>
      <t>c.</t>
    </r>
    <r>
      <rPr>
        <sz val="7"/>
        <color theme="1"/>
        <rFont val="Times New Roman"/>
        <family val="1"/>
      </rPr>
      <t xml:space="preserve">      </t>
    </r>
    <r>
      <rPr>
        <sz val="14"/>
        <color theme="1"/>
        <rFont val="Calibri"/>
        <family val="2"/>
        <scheme val="minor"/>
      </rPr>
      <t>between z = 0.44 and z = 1.50</t>
    </r>
  </si>
  <si>
    <r>
      <t>d.</t>
    </r>
    <r>
      <rPr>
        <sz val="7"/>
        <color theme="1"/>
        <rFont val="Times New Roman"/>
        <family val="1"/>
      </rPr>
      <t xml:space="preserve">     </t>
    </r>
    <r>
      <rPr>
        <sz val="14"/>
        <color theme="1"/>
        <rFont val="Calibri"/>
        <family val="2"/>
        <scheme val="minor"/>
      </rPr>
      <t>to the right of z = −1.33.</t>
    </r>
  </si>
  <si>
    <r>
      <t>2.</t>
    </r>
    <r>
      <rPr>
        <sz val="7"/>
        <color theme="1"/>
        <rFont val="Times New Roman"/>
        <family val="1"/>
      </rPr>
      <t xml:space="preserve">     </t>
    </r>
    <r>
      <rPr>
        <sz val="14"/>
        <color theme="1"/>
        <rFont val="Calibri"/>
        <family val="2"/>
        <scheme val="minor"/>
      </rPr>
      <t>Find the following probabilities:</t>
    </r>
  </si>
  <si>
    <r>
      <t>b.</t>
    </r>
    <r>
      <rPr>
        <sz val="7"/>
        <color theme="1"/>
        <rFont val="Times New Roman"/>
        <family val="1"/>
      </rPr>
      <t xml:space="preserve">     </t>
    </r>
    <r>
      <rPr>
        <sz val="14"/>
        <color theme="1"/>
        <rFont val="Calibri"/>
        <family val="2"/>
        <scheme val="minor"/>
      </rPr>
      <t>P(Z &gt; 1.06)</t>
    </r>
  </si>
  <si>
    <r>
      <t>c.</t>
    </r>
    <r>
      <rPr>
        <sz val="7"/>
        <color theme="1"/>
        <rFont val="Times New Roman"/>
        <family val="1"/>
      </rPr>
      <t xml:space="preserve">      </t>
    </r>
    <r>
      <rPr>
        <sz val="14"/>
        <color theme="1"/>
        <rFont val="Calibri"/>
        <family val="2"/>
        <scheme val="minor"/>
      </rPr>
      <t>P(Z &lt; -2.15)</t>
    </r>
  </si>
  <si>
    <r>
      <t>d.</t>
    </r>
    <r>
      <rPr>
        <sz val="7"/>
        <color theme="1"/>
        <rFont val="Times New Roman"/>
        <family val="1"/>
      </rPr>
      <t xml:space="preserve">     </t>
    </r>
    <r>
      <rPr>
        <sz val="14"/>
        <color theme="1"/>
        <rFont val="Calibri"/>
        <family val="2"/>
        <scheme val="minor"/>
      </rPr>
      <t>P(1.06 &lt; Z &lt; 3.00)</t>
    </r>
  </si>
  <si>
    <r>
      <t>e.</t>
    </r>
    <r>
      <rPr>
        <sz val="7"/>
        <color theme="1"/>
        <rFont val="Times New Roman"/>
        <family val="1"/>
      </rPr>
      <t xml:space="preserve">     </t>
    </r>
    <r>
      <rPr>
        <sz val="14"/>
        <color theme="1"/>
        <rFont val="Calibri"/>
        <family val="2"/>
        <scheme val="minor"/>
      </rPr>
      <t>P(-1.06 &lt; Z &lt; 3.00)</t>
    </r>
  </si>
  <si>
    <r>
      <t>f.</t>
    </r>
    <r>
      <rPr>
        <sz val="7"/>
        <color theme="1"/>
        <rFont val="Times New Roman"/>
        <family val="1"/>
      </rPr>
      <t xml:space="preserve">       </t>
    </r>
    <r>
      <rPr>
        <sz val="14"/>
        <color theme="1"/>
        <rFont val="Calibri"/>
        <family val="2"/>
        <scheme val="minor"/>
      </rPr>
      <t>between 20.03 mm and 20.08 mm</t>
    </r>
  </si>
  <si>
    <r>
      <t>g.</t>
    </r>
    <r>
      <rPr>
        <sz val="7"/>
        <color theme="1"/>
        <rFont val="Times New Roman"/>
        <family val="1"/>
      </rPr>
      <t xml:space="preserve">     </t>
    </r>
    <r>
      <rPr>
        <sz val="14"/>
        <color theme="1"/>
        <rFont val="Calibri"/>
        <family val="2"/>
        <scheme val="minor"/>
      </rPr>
      <t>between 20.06 mm and 20.07 mm</t>
    </r>
  </si>
  <si>
    <r>
      <t>h.</t>
    </r>
    <r>
      <rPr>
        <sz val="7"/>
        <color theme="1"/>
        <rFont val="Times New Roman"/>
        <family val="1"/>
      </rPr>
      <t xml:space="preserve">     </t>
    </r>
    <r>
      <rPr>
        <sz val="14"/>
        <color theme="1"/>
        <rFont val="Calibri"/>
        <family val="2"/>
        <scheme val="minor"/>
      </rPr>
      <t>less than 20.01 mm</t>
    </r>
  </si>
  <si>
    <r>
      <t>i.</t>
    </r>
    <r>
      <rPr>
        <sz val="7"/>
        <color theme="1"/>
        <rFont val="Times New Roman"/>
        <family val="1"/>
      </rPr>
      <t xml:space="preserve">        </t>
    </r>
    <r>
      <rPr>
        <sz val="14"/>
        <color theme="1"/>
        <rFont val="Calibri"/>
        <family val="2"/>
        <scheme val="minor"/>
      </rPr>
      <t>greater than 20.09 mm.</t>
    </r>
  </si>
  <si>
    <r>
      <t>3.</t>
    </r>
    <r>
      <rPr>
        <sz val="7"/>
        <color theme="1"/>
        <rFont val="Times New Roman"/>
        <family val="1"/>
      </rPr>
      <t xml:space="preserve">     </t>
    </r>
    <r>
      <rPr>
        <sz val="14"/>
        <color theme="1"/>
        <rFont val="Calibri"/>
        <family val="2"/>
        <scheme val="minor"/>
      </rPr>
      <t xml:space="preserve">It was found that the mean length of 100 parts produced by a lathe was 20.05 mm with a standard deviation of 0.02 mm. </t>
    </r>
  </si>
  <si>
    <t>We toss a coin 10 times</t>
  </si>
  <si>
    <t>Head</t>
  </si>
  <si>
    <t>Tail</t>
  </si>
  <si>
    <t>Biased</t>
  </si>
  <si>
    <t>Exactly 5 heads</t>
  </si>
  <si>
    <t>Exactly 9 heads</t>
  </si>
  <si>
    <t>Less than 6 heads</t>
  </si>
  <si>
    <t>Roll a die</t>
  </si>
  <si>
    <t>52 Cards</t>
  </si>
  <si>
    <t>Salary</t>
  </si>
  <si>
    <t>Less than a value</t>
  </si>
  <si>
    <t>More than a value</t>
  </si>
  <si>
    <t>Cummulative</t>
  </si>
  <si>
    <t>P(Age&gt;=30)</t>
  </si>
  <si>
    <t>1 stdev</t>
  </si>
  <si>
    <t>2 stdev</t>
  </si>
  <si>
    <t>3 stdev</t>
  </si>
  <si>
    <t>LL</t>
  </si>
  <si>
    <t>UL</t>
  </si>
  <si>
    <t>Between z= -1 &amp; z=1.5</t>
  </si>
  <si>
    <t>z=20.07</t>
  </si>
  <si>
    <t>z=20.09</t>
  </si>
  <si>
    <t>S1</t>
  </si>
  <si>
    <t>S2</t>
  </si>
  <si>
    <t>Q2 (Median)</t>
  </si>
  <si>
    <t>Collection of data</t>
  </si>
  <si>
    <t>Organizing</t>
  </si>
  <si>
    <t>Classifying</t>
  </si>
  <si>
    <t>Visualizing</t>
  </si>
  <si>
    <t>Summarizing</t>
  </si>
  <si>
    <t>Analyzing</t>
  </si>
  <si>
    <t>Interpreting</t>
  </si>
  <si>
    <t>Infering</t>
  </si>
  <si>
    <t>Making Decisions, based on Data</t>
  </si>
  <si>
    <t>Data Types</t>
  </si>
  <si>
    <t>Continuous - Data that can take decimal places. Height, Weight, Time etc</t>
  </si>
  <si>
    <t>Discrete - Data which can only be measured as whole values. Count of students.</t>
  </si>
  <si>
    <t>Nominal - Choice of colour</t>
  </si>
  <si>
    <t>Red, Green, Blue…etc</t>
  </si>
  <si>
    <t>Ordinal - Ratings given for a movie</t>
  </si>
  <si>
    <t>Good, Bad, Excellent, Pathetic</t>
  </si>
  <si>
    <t>Interval - Range of temperature in a given place</t>
  </si>
  <si>
    <t>-5 to 0, 0 to 5, 5 to 10</t>
  </si>
  <si>
    <t>Ratio - Starts from a fix point, like 0</t>
  </si>
  <si>
    <t>Sales of a company</t>
  </si>
  <si>
    <t>Population - Set of all data points that are RELEVANT to our study</t>
  </si>
  <si>
    <t>Sample - Subset of the population</t>
  </si>
  <si>
    <t>Mean, Median, Mode, Min, Max, Std Dev</t>
  </si>
  <si>
    <t>Population Parameters</t>
  </si>
  <si>
    <t>Sample Statistic</t>
  </si>
  <si>
    <t>Descriptive Statistics</t>
  </si>
  <si>
    <t>Inferential Statistics</t>
  </si>
  <si>
    <t>What is Statistics?</t>
  </si>
  <si>
    <t>Statistical Measures</t>
  </si>
  <si>
    <t>Measures of Central Tendency</t>
  </si>
  <si>
    <t>Measure of Spread</t>
  </si>
  <si>
    <t>Mean, Median, Mode</t>
  </si>
  <si>
    <t>Range, Min, Max, Variance, Std Deviation</t>
  </si>
  <si>
    <t>Skewness, Kurtosis</t>
  </si>
  <si>
    <t>x-mean</t>
  </si>
  <si>
    <t>(x-mean)^2</t>
  </si>
  <si>
    <t>69% of the count of data lies within 1 times the std deviation away from the mean</t>
  </si>
  <si>
    <t>95% of the count of data lies within 2 times the std deviation away from the mean</t>
  </si>
  <si>
    <t>99.7% of the count of data lies within 3 times the std deviation away from the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</si>
</sst>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000"/>
    <numFmt numFmtId="166" formatCode="0.000000000"/>
  </numFmts>
  <fonts count="27" x14ac:knownFonts="1">
    <font>
      <sz val="11"/>
      <color theme="1"/>
      <name val="Calibri"/>
      <family val="2"/>
      <scheme val="minor"/>
    </font>
    <font>
      <sz val="15"/>
      <color theme="1"/>
      <name val="Calibri"/>
      <family val="2"/>
      <scheme val="minor"/>
    </font>
    <font>
      <sz val="15"/>
      <color rgb="FF000000"/>
      <name val="Calibri"/>
      <family val="2"/>
    </font>
    <font>
      <sz val="15"/>
      <color rgb="FF000000"/>
      <name val="Calibri"/>
      <family val="2"/>
      <scheme val="minor"/>
    </font>
    <font>
      <b/>
      <sz val="15"/>
      <color rgb="FF000000"/>
      <name val="Calibri"/>
      <family val="2"/>
    </font>
    <font>
      <b/>
      <sz val="15"/>
      <color theme="1"/>
      <name val="Calibri"/>
      <family val="2"/>
      <scheme val="minor"/>
    </font>
    <font>
      <u/>
      <sz val="11"/>
      <color theme="10"/>
      <name val="Calibri"/>
      <family val="2"/>
      <scheme val="minor"/>
    </font>
    <font>
      <sz val="11"/>
      <color theme="1"/>
      <name val="Calibri"/>
      <family val="2"/>
      <scheme val="minor"/>
    </font>
    <font>
      <sz val="15"/>
      <color theme="10"/>
      <name val="Calibri"/>
      <family val="2"/>
      <scheme val="minor"/>
    </font>
    <font>
      <sz val="15"/>
      <name val="Calibri"/>
      <family val="2"/>
    </font>
    <font>
      <sz val="15"/>
      <name val="Calibri"/>
      <family val="2"/>
      <scheme val="minor"/>
    </font>
    <font>
      <b/>
      <sz val="15"/>
      <name val="Arial"/>
      <family val="2"/>
    </font>
    <font>
      <sz val="15"/>
      <name val="Arial"/>
      <family val="2"/>
    </font>
    <font>
      <i/>
      <sz val="11"/>
      <color theme="1"/>
      <name val="Calibri"/>
      <family val="2"/>
      <scheme val="minor"/>
    </font>
    <font>
      <u/>
      <sz val="15"/>
      <color theme="1"/>
      <name val="Calibri"/>
      <family val="2"/>
      <scheme val="minor"/>
    </font>
    <font>
      <sz val="16"/>
      <color theme="1"/>
      <name val="Calibri"/>
      <family val="2"/>
      <scheme val="minor"/>
    </font>
    <font>
      <sz val="16"/>
      <color rgb="FF000000"/>
      <name val="Calibri"/>
      <family val="2"/>
      <scheme val="minor"/>
    </font>
    <font>
      <sz val="12"/>
      <color theme="1"/>
      <name val="Calibri"/>
      <family val="2"/>
      <scheme val="minor"/>
    </font>
    <font>
      <b/>
      <sz val="11"/>
      <color theme="1"/>
      <name val="Calibri"/>
      <family val="2"/>
      <scheme val="minor"/>
    </font>
    <font>
      <b/>
      <sz val="12"/>
      <color rgb="FF202124"/>
      <name val="Calibri"/>
      <family val="2"/>
      <scheme val="minor"/>
    </font>
    <font>
      <sz val="12"/>
      <color rgb="FF202124"/>
      <name val="Calibri"/>
      <family val="2"/>
      <scheme val="minor"/>
    </font>
    <font>
      <sz val="11"/>
      <color theme="1"/>
      <name val="Bodoni MT"/>
      <family val="1"/>
    </font>
    <font>
      <sz val="11"/>
      <color rgb="FF000000"/>
      <name val="Calibri"/>
      <family val="2"/>
      <scheme val="minor"/>
    </font>
    <font>
      <i/>
      <sz val="10"/>
      <color theme="1"/>
      <name val="Calibri"/>
      <family val="2"/>
      <scheme val="minor"/>
    </font>
    <font>
      <sz val="10"/>
      <color rgb="FF202124"/>
      <name val="Arial"/>
      <family val="2"/>
    </font>
    <font>
      <sz val="14"/>
      <color theme="1"/>
      <name val="Calibri"/>
      <family val="2"/>
      <scheme val="minor"/>
    </font>
    <font>
      <sz val="7"/>
      <color theme="1"/>
      <name val="Times New Roman"/>
      <family val="1"/>
    </font>
  </fonts>
  <fills count="8">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ED7D31"/>
        <bgColor indexed="64"/>
      </patternFill>
    </fill>
    <fill>
      <patternFill patternType="solid">
        <fgColor rgb="FFFFFF00"/>
        <bgColor indexed="6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bottom style="medium">
        <color indexed="18"/>
      </bottom>
      <diagonal/>
    </border>
  </borders>
  <cellStyleXfs count="3">
    <xf numFmtId="0" fontId="0" fillId="0" borderId="0"/>
    <xf numFmtId="0" fontId="6" fillId="0" borderId="0" applyNumberFormat="0" applyFill="0" applyBorder="0" applyAlignment="0" applyProtection="0"/>
    <xf numFmtId="9" fontId="7" fillId="0" borderId="0" applyFont="0" applyFill="0" applyBorder="0" applyAlignment="0" applyProtection="0"/>
  </cellStyleXfs>
  <cellXfs count="237">
    <xf numFmtId="0" fontId="0" fillId="0" borderId="0" xfId="0"/>
    <xf numFmtId="0" fontId="1" fillId="0" borderId="0" xfId="0" applyFont="1"/>
    <xf numFmtId="0" fontId="1" fillId="0" borderId="1" xfId="0" applyFont="1" applyBorder="1" applyAlignment="1">
      <alignment horizontal="center"/>
    </xf>
    <xf numFmtId="0" fontId="2" fillId="0" borderId="1" xfId="0" applyFont="1" applyBorder="1" applyAlignment="1">
      <alignment horizontal="center" vertical="center" wrapText="1" readingOrder="1"/>
    </xf>
    <xf numFmtId="0" fontId="1" fillId="0" borderId="1" xfId="0" applyFont="1" applyBorder="1" applyAlignment="1">
      <alignment horizontal="center"/>
    </xf>
    <xf numFmtId="0" fontId="3" fillId="0" borderId="1" xfId="0" applyFont="1" applyBorder="1" applyAlignment="1">
      <alignment horizontal="center"/>
    </xf>
    <xf numFmtId="0" fontId="2" fillId="0" borderId="0" xfId="0" applyFont="1" applyFill="1" applyBorder="1" applyAlignment="1">
      <alignment horizontal="center" vertical="center" wrapText="1" readingOrder="1"/>
    </xf>
    <xf numFmtId="0" fontId="2" fillId="0" borderId="1" xfId="0" applyFont="1" applyBorder="1" applyAlignment="1">
      <alignment horizontal="center" wrapText="1" readingOrder="1"/>
    </xf>
    <xf numFmtId="0" fontId="1" fillId="2" borderId="1"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3" fillId="0" borderId="0" xfId="0" applyFont="1" applyAlignment="1">
      <alignment horizontal="left" readingOrder="1"/>
    </xf>
    <xf numFmtId="0" fontId="3" fillId="0" borderId="0" xfId="0" applyFont="1" applyAlignment="1">
      <alignment horizontal="left" vertical="center" readingOrder="1"/>
    </xf>
    <xf numFmtId="0" fontId="1" fillId="0" borderId="0" xfId="0" applyFont="1" applyAlignment="1">
      <alignment horizontal="center"/>
    </xf>
    <xf numFmtId="0" fontId="2" fillId="0" borderId="2" xfId="0" applyFont="1" applyBorder="1" applyAlignment="1">
      <alignment horizontal="center" wrapText="1" readingOrder="1"/>
    </xf>
    <xf numFmtId="0" fontId="1" fillId="0" borderId="0" xfId="0" applyFont="1" applyAlignment="1">
      <alignment horizontal="left"/>
    </xf>
    <xf numFmtId="0" fontId="1" fillId="0" borderId="1" xfId="0" applyFont="1" applyFill="1" applyBorder="1" applyAlignment="1">
      <alignment horizontal="center"/>
    </xf>
    <xf numFmtId="0" fontId="1" fillId="3" borderId="0" xfId="0" applyFont="1" applyFill="1" applyAlignment="1">
      <alignment horizontal="center"/>
    </xf>
    <xf numFmtId="9" fontId="1" fillId="0" borderId="0" xfId="2" applyFont="1" applyAlignment="1">
      <alignment horizontal="center"/>
    </xf>
    <xf numFmtId="0" fontId="1" fillId="0" borderId="0" xfId="0" applyFont="1" applyAlignment="1">
      <alignment horizontal="left" vertical="center"/>
    </xf>
    <xf numFmtId="0" fontId="8" fillId="0" borderId="1" xfId="1" applyFont="1" applyBorder="1" applyAlignment="1">
      <alignment horizontal="center"/>
    </xf>
    <xf numFmtId="0" fontId="8" fillId="0" borderId="1" xfId="1" quotePrefix="1" applyFont="1" applyBorder="1" applyAlignment="1">
      <alignment horizontal="center"/>
    </xf>
    <xf numFmtId="0" fontId="5" fillId="5" borderId="1" xfId="0" applyFont="1" applyFill="1" applyBorder="1" applyAlignment="1">
      <alignment horizontal="center"/>
    </xf>
    <xf numFmtId="0" fontId="9" fillId="2" borderId="1" xfId="0" applyFont="1" applyFill="1" applyBorder="1" applyAlignment="1">
      <alignment horizontal="center" vertical="center" wrapText="1" readingOrder="1"/>
    </xf>
    <xf numFmtId="0" fontId="9" fillId="0" borderId="1" xfId="0" applyFont="1" applyBorder="1" applyAlignment="1">
      <alignment horizontal="center" vertical="center" wrapText="1" readingOrder="1"/>
    </xf>
    <xf numFmtId="0" fontId="10" fillId="0" borderId="1" xfId="0" applyFont="1" applyBorder="1" applyAlignment="1">
      <alignment horizontal="center" vertical="center" readingOrder="1"/>
    </xf>
    <xf numFmtId="0" fontId="11" fillId="0" borderId="0" xfId="0" applyFont="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Alignment="1">
      <alignment horizontal="center" vertical="center" wrapText="1"/>
    </xf>
    <xf numFmtId="0" fontId="1" fillId="0" borderId="0" xfId="0" applyFont="1" applyBorder="1" applyAlignment="1">
      <alignment horizontal="center"/>
    </xf>
    <xf numFmtId="0" fontId="12" fillId="0" borderId="0" xfId="0" applyFont="1" applyFill="1" applyBorder="1" applyAlignment="1">
      <alignment horizontal="center"/>
    </xf>
    <xf numFmtId="0" fontId="1" fillId="0" borderId="0" xfId="0" applyFont="1" applyFill="1" applyBorder="1" applyAlignment="1">
      <alignment horizontal="center"/>
    </xf>
    <xf numFmtId="0" fontId="12" fillId="0" borderId="0" xfId="0" applyFont="1" applyBorder="1" applyAlignment="1">
      <alignment horizontal="center"/>
    </xf>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3" xfId="0" applyFill="1" applyBorder="1" applyAlignment="1"/>
    <xf numFmtId="10" fontId="0" fillId="0" borderId="3" xfId="0" applyNumberFormat="1" applyFill="1" applyBorder="1" applyAlignment="1"/>
    <xf numFmtId="0" fontId="13" fillId="0" borderId="4" xfId="0" applyFont="1" applyFill="1" applyBorder="1" applyAlignment="1">
      <alignment horizontal="center"/>
    </xf>
    <xf numFmtId="0" fontId="1" fillId="0" borderId="0" xfId="0" applyFont="1" applyAlignment="1">
      <alignment horizontal="left"/>
    </xf>
    <xf numFmtId="9" fontId="0" fillId="0" borderId="0" xfId="0" applyNumberFormat="1"/>
    <xf numFmtId="2" fontId="1" fillId="0" borderId="0" xfId="0" applyNumberFormat="1" applyFont="1" applyAlignment="1">
      <alignment horizontal="left"/>
    </xf>
    <xf numFmtId="0" fontId="1" fillId="0" borderId="0" xfId="0" applyFont="1" applyAlignment="1">
      <alignment horizontal="center"/>
    </xf>
    <xf numFmtId="0" fontId="1" fillId="0" borderId="0" xfId="0" applyFont="1" applyAlignment="1">
      <alignment horizontal="left"/>
    </xf>
    <xf numFmtId="17" fontId="0" fillId="0" borderId="0" xfId="0" applyNumberFormat="1"/>
    <xf numFmtId="164" fontId="10" fillId="0" borderId="1" xfId="0" applyNumberFormat="1" applyFont="1" applyBorder="1" applyAlignment="1">
      <alignment horizontal="center" vertical="center" readingOrder="1"/>
    </xf>
    <xf numFmtId="164" fontId="1" fillId="0" borderId="1" xfId="0" applyNumberFormat="1" applyFont="1" applyBorder="1" applyAlignment="1">
      <alignment horizontal="center"/>
    </xf>
    <xf numFmtId="0" fontId="1" fillId="0" borderId="1" xfId="0" applyFont="1" applyBorder="1"/>
    <xf numFmtId="1" fontId="0" fillId="0" borderId="0" xfId="0" applyNumberFormat="1"/>
    <xf numFmtId="2" fontId="0" fillId="0" borderId="0" xfId="0" applyNumberFormat="1"/>
    <xf numFmtId="10" fontId="0" fillId="0" borderId="0" xfId="0" applyNumberFormat="1"/>
    <xf numFmtId="0" fontId="13" fillId="0" borderId="4" xfId="0" applyFont="1" applyFill="1" applyBorder="1" applyAlignment="1">
      <alignment horizontal="centerContinuous"/>
    </xf>
    <xf numFmtId="49" fontId="1" fillId="0" borderId="0" xfId="0" applyNumberFormat="1" applyFont="1"/>
    <xf numFmtId="0" fontId="1" fillId="0" borderId="0" xfId="0" applyFont="1" applyAlignment="1">
      <alignment vertical="center" wrapText="1"/>
    </xf>
    <xf numFmtId="0" fontId="1" fillId="0" borderId="0" xfId="0" applyNumberFormat="1" applyFont="1"/>
    <xf numFmtId="0" fontId="1" fillId="0" borderId="0" xfId="0" applyNumberFormat="1" applyFont="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NumberFormat="1"/>
    <xf numFmtId="0" fontId="1" fillId="0" borderId="0" xfId="0" applyFont="1" applyAlignment="1">
      <alignment horizontal="center"/>
    </xf>
    <xf numFmtId="0" fontId="1" fillId="0" borderId="0" xfId="0" applyFont="1" applyAlignment="1">
      <alignment horizontal="left"/>
    </xf>
    <xf numFmtId="0" fontId="15" fillId="0" borderId="0" xfId="0" applyFont="1" applyAlignment="1">
      <alignment horizontal="left"/>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xf>
    <xf numFmtId="0" fontId="17" fillId="0" borderId="0" xfId="0" applyFont="1" applyBorder="1" applyAlignment="1">
      <alignment horizontal="center" wrapText="1"/>
    </xf>
    <xf numFmtId="0" fontId="16" fillId="0" borderId="0" xfId="0" applyFont="1" applyAlignment="1">
      <alignment horizontal="left" readingOrder="1"/>
    </xf>
    <xf numFmtId="0" fontId="15" fillId="0" borderId="0" xfId="0" applyFont="1" applyAlignment="1">
      <alignment horizontal="center"/>
    </xf>
    <xf numFmtId="0" fontId="16" fillId="0" borderId="0" xfId="0" applyFont="1"/>
    <xf numFmtId="9" fontId="1" fillId="0" borderId="0" xfId="0" applyNumberFormat="1" applyFont="1" applyAlignment="1">
      <alignment horizontal="center"/>
    </xf>
    <xf numFmtId="1" fontId="1" fillId="0" borderId="0" xfId="0" applyNumberFormat="1" applyFont="1"/>
    <xf numFmtId="0" fontId="0" fillId="0" borderId="0" xfId="0" applyFont="1"/>
    <xf numFmtId="0" fontId="18" fillId="0" borderId="0" xfId="0" applyFont="1"/>
    <xf numFmtId="0" fontId="0" fillId="0" borderId="0" xfId="0"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2" xfId="0" applyBorder="1"/>
    <xf numFmtId="0" fontId="0" fillId="0" borderId="0" xfId="0" applyBorder="1"/>
    <xf numFmtId="0" fontId="0" fillId="0" borderId="23" xfId="0" applyBorder="1"/>
    <xf numFmtId="0" fontId="0" fillId="0" borderId="3" xfId="0" applyBorder="1"/>
    <xf numFmtId="0" fontId="0" fillId="0" borderId="25" xfId="0" applyBorder="1"/>
    <xf numFmtId="0" fontId="0" fillId="0" borderId="5" xfId="0" applyBorder="1"/>
    <xf numFmtId="0" fontId="0" fillId="0" borderId="26" xfId="0" applyBorder="1"/>
    <xf numFmtId="0" fontId="0" fillId="0" borderId="6" xfId="0" applyBorder="1"/>
    <xf numFmtId="0" fontId="0" fillId="0" borderId="21" xfId="0" applyBorder="1"/>
    <xf numFmtId="0" fontId="0" fillId="0" borderId="22" xfId="0" applyFill="1" applyBorder="1"/>
    <xf numFmtId="0" fontId="0" fillId="0" borderId="24" xfId="0" applyBorder="1"/>
    <xf numFmtId="0" fontId="0" fillId="0" borderId="15" xfId="0" applyBorder="1" applyAlignment="1">
      <alignment horizontal="center"/>
    </xf>
    <xf numFmtId="0" fontId="0" fillId="0" borderId="0" xfId="0" applyFill="1" applyBorder="1" applyAlignment="1">
      <alignment horizontal="left"/>
    </xf>
    <xf numFmtId="49" fontId="0" fillId="0" borderId="0" xfId="0" applyNumberFormat="1"/>
    <xf numFmtId="0" fontId="0" fillId="0" borderId="5" xfId="0" applyBorder="1" applyAlignment="1">
      <alignment horizontal="center" vertic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0" xfId="0" applyAlignment="1">
      <alignment wrapText="1"/>
    </xf>
    <xf numFmtId="0" fontId="0" fillId="0" borderId="0" xfId="0" applyNumberFormat="1" applyAlignment="1">
      <alignment wrapText="1"/>
    </xf>
    <xf numFmtId="0" fontId="0" fillId="0" borderId="0" xfId="0" applyAlignment="1">
      <alignment horizontal="left" vertical="center" wrapText="1"/>
    </xf>
    <xf numFmtId="0" fontId="0" fillId="0" borderId="0" xfId="0" applyNumberFormat="1" applyAlignment="1">
      <alignment horizontal="left" vertical="center" wrapText="1"/>
    </xf>
    <xf numFmtId="0" fontId="0" fillId="0" borderId="0" xfId="0" applyAlignment="1">
      <alignment horizontal="left" vertical="center"/>
    </xf>
    <xf numFmtId="0" fontId="0" fillId="0" borderId="0" xfId="0" applyAlignment="1">
      <alignment horizontal="right"/>
    </xf>
    <xf numFmtId="0" fontId="0" fillId="0" borderId="0" xfId="0" applyAlignment="1">
      <alignment horizontal="center"/>
    </xf>
    <xf numFmtId="0" fontId="0" fillId="0" borderId="0" xfId="0" applyFont="1" applyAlignment="1">
      <alignment horizontal="left"/>
    </xf>
    <xf numFmtId="0" fontId="0" fillId="0" borderId="0" xfId="0" applyAlignment="1">
      <alignment horizontal="left"/>
    </xf>
    <xf numFmtId="0" fontId="0" fillId="0" borderId="0" xfId="0" pivotButton="1"/>
    <xf numFmtId="0" fontId="21" fillId="0" borderId="0" xfId="0" applyFont="1"/>
    <xf numFmtId="0" fontId="22" fillId="0" borderId="0" xfId="0" applyFont="1"/>
    <xf numFmtId="165" fontId="0" fillId="0" borderId="0" xfId="0" applyNumberFormat="1"/>
    <xf numFmtId="164" fontId="0" fillId="0" borderId="0" xfId="0" applyNumberFormat="1"/>
    <xf numFmtId="0" fontId="0" fillId="0" borderId="16" xfId="0" applyBorder="1"/>
    <xf numFmtId="0" fontId="0" fillId="0" borderId="26"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9" xfId="0" applyBorder="1" applyAlignment="1">
      <alignment horizontal="center"/>
    </xf>
    <xf numFmtId="0" fontId="0" fillId="0" borderId="25" xfId="0" applyBorder="1" applyAlignment="1">
      <alignment horizont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xf>
    <xf numFmtId="0" fontId="0" fillId="6" borderId="16" xfId="0" applyFill="1" applyBorder="1" applyAlignment="1">
      <alignment horizontal="center"/>
    </xf>
    <xf numFmtId="0" fontId="0" fillId="6" borderId="15" xfId="0" applyFill="1" applyBorder="1" applyAlignment="1">
      <alignment horizontal="center"/>
    </xf>
    <xf numFmtId="0" fontId="0" fillId="6" borderId="18" xfId="0" applyFill="1" applyBorder="1" applyAlignment="1">
      <alignment horizontal="center"/>
    </xf>
    <xf numFmtId="0" fontId="0" fillId="6" borderId="22" xfId="0" applyFill="1" applyBorder="1"/>
    <xf numFmtId="0" fontId="0" fillId="6" borderId="24" xfId="0" applyFill="1" applyBorder="1"/>
    <xf numFmtId="0" fontId="0" fillId="0" borderId="21" xfId="0" applyBorder="1" applyAlignment="1">
      <alignment horizontal="center" vertical="center"/>
    </xf>
    <xf numFmtId="0" fontId="0" fillId="6" borderId="15" xfId="0" applyFill="1" applyBorder="1" applyAlignment="1">
      <alignment horizontal="center" vertical="center"/>
    </xf>
    <xf numFmtId="0" fontId="0" fillId="6" borderId="17" xfId="0" applyFill="1" applyBorder="1" applyAlignment="1">
      <alignment horizontal="center" vertical="center"/>
    </xf>
    <xf numFmtId="9" fontId="0" fillId="6" borderId="5" xfId="0" applyNumberFormat="1" applyFill="1" applyBorder="1" applyAlignment="1">
      <alignment horizontal="center" vertical="center"/>
    </xf>
    <xf numFmtId="0" fontId="0" fillId="6" borderId="26" xfId="0" applyFill="1" applyBorder="1" applyAlignment="1">
      <alignment horizontal="center" vertical="center"/>
    </xf>
    <xf numFmtId="0" fontId="0" fillId="6" borderId="6" xfId="0" applyFill="1" applyBorder="1" applyAlignment="1">
      <alignment horizontal="center" vertical="center"/>
    </xf>
    <xf numFmtId="9" fontId="0" fillId="6" borderId="15" xfId="0" applyNumberFormat="1" applyFill="1" applyBorder="1" applyAlignment="1">
      <alignment horizontal="center" vertical="center"/>
    </xf>
    <xf numFmtId="0" fontId="0" fillId="0" borderId="15" xfId="0" applyBorder="1"/>
    <xf numFmtId="0" fontId="23" fillId="0" borderId="27" xfId="0" applyFont="1" applyFill="1" applyBorder="1" applyAlignment="1">
      <alignment horizontal="right"/>
    </xf>
    <xf numFmtId="0" fontId="0" fillId="6" borderId="19" xfId="0" applyFill="1" applyBorder="1" applyAlignment="1">
      <alignment horizontal="center" vertical="center"/>
    </xf>
    <xf numFmtId="0" fontId="0" fillId="6" borderId="16" xfId="0" applyFill="1" applyBorder="1" applyAlignment="1">
      <alignment horizontal="center" vertical="center"/>
    </xf>
    <xf numFmtId="0" fontId="0" fillId="6" borderId="22" xfId="0" applyFill="1" applyBorder="1" applyAlignment="1">
      <alignment horizontal="center" vertical="center"/>
    </xf>
    <xf numFmtId="0" fontId="0" fillId="6" borderId="24" xfId="0" applyFill="1" applyBorder="1" applyAlignment="1">
      <alignment horizontal="center" vertical="center"/>
    </xf>
    <xf numFmtId="0" fontId="0" fillId="6" borderId="5" xfId="0" applyFill="1" applyBorder="1" applyAlignment="1">
      <alignment horizontal="center" vertical="center"/>
    </xf>
    <xf numFmtId="0" fontId="0" fillId="6" borderId="21" xfId="0" applyFill="1" applyBorder="1" applyAlignment="1">
      <alignment horizontal="center" vertical="center"/>
    </xf>
    <xf numFmtId="0" fontId="0" fillId="6" borderId="18" xfId="0"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9" fontId="0" fillId="0" borderId="5" xfId="0" applyNumberFormat="1" applyBorder="1"/>
    <xf numFmtId="9" fontId="0" fillId="0" borderId="26" xfId="0" applyNumberFormat="1" applyBorder="1"/>
    <xf numFmtId="9" fontId="0" fillId="0" borderId="6" xfId="0" applyNumberFormat="1" applyBorder="1"/>
    <xf numFmtId="0" fontId="0" fillId="0" borderId="0" xfId="0" applyAlignment="1">
      <alignment horizontal="center" vertical="center"/>
    </xf>
    <xf numFmtId="0" fontId="0" fillId="6" borderId="22" xfId="0" applyFill="1"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3" xfId="0" applyBorder="1" applyAlignment="1">
      <alignment horizontal="center"/>
    </xf>
    <xf numFmtId="0" fontId="0" fillId="6" borderId="24" xfId="0" applyFill="1" applyBorder="1" applyAlignment="1">
      <alignment horizontal="center"/>
    </xf>
    <xf numFmtId="0" fontId="0" fillId="0" borderId="6" xfId="0" applyBorder="1" applyAlignment="1">
      <alignment horizontal="center"/>
    </xf>
    <xf numFmtId="0" fontId="0" fillId="6" borderId="3" xfId="0" applyFill="1" applyBorder="1" applyAlignment="1">
      <alignment horizontal="center" vertical="center"/>
    </xf>
    <xf numFmtId="1" fontId="0" fillId="0" borderId="23" xfId="0" applyNumberFormat="1" applyBorder="1" applyAlignment="1">
      <alignment horizontal="center" vertical="center"/>
    </xf>
    <xf numFmtId="1" fontId="0" fillId="0" borderId="21" xfId="0" applyNumberFormat="1" applyBorder="1" applyAlignment="1">
      <alignment horizontal="center" vertical="center"/>
    </xf>
    <xf numFmtId="1" fontId="0" fillId="0" borderId="25" xfId="0" applyNumberFormat="1" applyBorder="1" applyAlignment="1">
      <alignment horizontal="center" vertical="center"/>
    </xf>
    <xf numFmtId="1" fontId="0" fillId="6" borderId="25" xfId="0" applyNumberFormat="1" applyFill="1" applyBorder="1" applyAlignment="1">
      <alignment horizontal="center" vertical="center"/>
    </xf>
    <xf numFmtId="0" fontId="0" fillId="7" borderId="15" xfId="0" applyFill="1" applyBorder="1" applyAlignment="1">
      <alignment horizontal="center" vertical="center"/>
    </xf>
    <xf numFmtId="0" fontId="0" fillId="7" borderId="18" xfId="0" applyFill="1" applyBorder="1" applyAlignment="1">
      <alignment horizontal="center" vertical="center"/>
    </xf>
    <xf numFmtId="1" fontId="0" fillId="0" borderId="5" xfId="0" applyNumberFormat="1" applyBorder="1" applyAlignment="1">
      <alignment horizontal="center" vertical="center"/>
    </xf>
    <xf numFmtId="1" fontId="0" fillId="0" borderId="26" xfId="0" applyNumberFormat="1" applyBorder="1" applyAlignment="1">
      <alignment horizontal="center" vertical="center"/>
    </xf>
    <xf numFmtId="1" fontId="0" fillId="0" borderId="6" xfId="0" applyNumberForma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5" xfId="0" applyNumberFormat="1" applyBorder="1" applyAlignment="1">
      <alignment horizontal="center"/>
    </xf>
    <xf numFmtId="9" fontId="0" fillId="0" borderId="26" xfId="0" applyNumberFormat="1" applyBorder="1" applyAlignment="1">
      <alignment horizontal="center"/>
    </xf>
    <xf numFmtId="9" fontId="0" fillId="0" borderId="6" xfId="0" applyNumberFormat="1" applyBorder="1" applyAlignment="1">
      <alignment horizontal="center"/>
    </xf>
    <xf numFmtId="0" fontId="0" fillId="6" borderId="15" xfId="0" applyFill="1" applyBorder="1"/>
    <xf numFmtId="0" fontId="0" fillId="6" borderId="26" xfId="0" applyFill="1" applyBorder="1"/>
    <xf numFmtId="0" fontId="0" fillId="6" borderId="17" xfId="0" applyFill="1" applyBorder="1"/>
    <xf numFmtId="1" fontId="0" fillId="0" borderId="26" xfId="0" applyNumberFormat="1" applyBorder="1"/>
    <xf numFmtId="0" fontId="24" fillId="0" borderId="0" xfId="0" applyFont="1"/>
    <xf numFmtId="0" fontId="1" fillId="0" borderId="0" xfId="0" applyFont="1" applyAlignment="1">
      <alignment horizontal="center"/>
    </xf>
    <xf numFmtId="0" fontId="0" fillId="0" borderId="0" xfId="0" applyNumberFormat="1" applyAlignment="1">
      <alignment horizontal="left" vertical="center"/>
    </xf>
    <xf numFmtId="0" fontId="25" fillId="0" borderId="0" xfId="0" applyFont="1" applyAlignment="1">
      <alignment horizontal="left" indent="4"/>
    </xf>
    <xf numFmtId="0" fontId="25" fillId="0" borderId="0" xfId="0" applyFont="1" applyAlignment="1">
      <alignment horizontal="left" indent="8"/>
    </xf>
    <xf numFmtId="0" fontId="25" fillId="0" borderId="0" xfId="0" applyFont="1" applyAlignment="1"/>
    <xf numFmtId="166" fontId="0" fillId="0" borderId="0" xfId="0" applyNumberFormat="1"/>
    <xf numFmtId="0" fontId="0" fillId="0" borderId="0" xfId="0" applyAlignment="1"/>
    <xf numFmtId="0" fontId="1" fillId="0" borderId="0" xfId="0" applyFont="1" applyAlignment="1">
      <alignment horizontal="center"/>
    </xf>
    <xf numFmtId="0" fontId="1" fillId="0" borderId="0" xfId="0" applyFont="1" applyAlignment="1">
      <alignment horizontal="left"/>
    </xf>
    <xf numFmtId="49" fontId="1" fillId="0" borderId="0" xfId="0" applyNumberFormat="1" applyFont="1" applyAlignment="1">
      <alignment horizontal="center"/>
    </xf>
    <xf numFmtId="10" fontId="1" fillId="0" borderId="0" xfId="0" applyNumberFormat="1" applyFont="1" applyAlignment="1">
      <alignment horizontal="center"/>
    </xf>
    <xf numFmtId="0" fontId="5" fillId="5" borderId="13" xfId="0" applyFont="1" applyFill="1" applyBorder="1" applyAlignment="1">
      <alignment horizontal="left"/>
    </xf>
    <xf numFmtId="0" fontId="5" fillId="5" borderId="14" xfId="0" applyFont="1" applyFill="1" applyBorder="1" applyAlignment="1">
      <alignment horizontal="left"/>
    </xf>
    <xf numFmtId="0" fontId="5" fillId="5" borderId="1" xfId="0" applyFont="1" applyFill="1" applyBorder="1" applyAlignment="1">
      <alignment horizont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left"/>
    </xf>
    <xf numFmtId="0" fontId="1" fillId="4"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6" borderId="0" xfId="0" applyFill="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5" xfId="0" applyBorder="1" applyAlignment="1">
      <alignment horizontal="center"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0" fontId="0" fillId="0" borderId="20" xfId="0"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6" borderId="16" xfId="0" applyFill="1" applyBorder="1" applyAlignment="1">
      <alignment horizontal="center"/>
    </xf>
    <xf numFmtId="0" fontId="0" fillId="6" borderId="18" xfId="0" applyFill="1" applyBorder="1" applyAlignment="1">
      <alignment horizontal="center"/>
    </xf>
    <xf numFmtId="0" fontId="0" fillId="6" borderId="17"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cellXfs>
  <cellStyles count="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ED7D31"/>
      <color rgb="FFE38C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'Freq. Dist'!$E$4:$E$9</c:f>
              <c:numCache>
                <c:formatCode>0.000</c:formatCode>
                <c:ptCount val="6"/>
                <c:pt idx="0">
                  <c:v>0.125</c:v>
                </c:pt>
                <c:pt idx="1">
                  <c:v>0.32500000000000001</c:v>
                </c:pt>
                <c:pt idx="2">
                  <c:v>0.55000000000000004</c:v>
                </c:pt>
                <c:pt idx="3">
                  <c:v>0.8</c:v>
                </c:pt>
                <c:pt idx="4">
                  <c:v>0.95000000000000007</c:v>
                </c:pt>
                <c:pt idx="5">
                  <c:v>1</c:v>
                </c:pt>
              </c:numCache>
            </c:numRef>
          </c:val>
          <c:smooth val="0"/>
          <c:extLst>
            <c:ext xmlns:c16="http://schemas.microsoft.com/office/drawing/2014/chart" uri="{C3380CC4-5D6E-409C-BE32-E72D297353CC}">
              <c16:uniqueId val="{00000000-1F10-4630-99CA-010A730DB933}"/>
            </c:ext>
          </c:extLst>
        </c:ser>
        <c:dLbls>
          <c:showLegendKey val="0"/>
          <c:showVal val="0"/>
          <c:showCatName val="0"/>
          <c:showSerName val="0"/>
          <c:showPercent val="0"/>
          <c:showBubbleSize val="0"/>
        </c:dLbls>
        <c:smooth val="0"/>
        <c:axId val="82665856"/>
        <c:axId val="82667392"/>
      </c:lineChart>
      <c:catAx>
        <c:axId val="82665856"/>
        <c:scaling>
          <c:orientation val="minMax"/>
        </c:scaling>
        <c:delete val="0"/>
        <c:axPos val="b"/>
        <c:majorTickMark val="out"/>
        <c:minorTickMark val="none"/>
        <c:tickLblPos val="nextTo"/>
        <c:crossAx val="82667392"/>
        <c:crosses val="autoZero"/>
        <c:auto val="1"/>
        <c:lblAlgn val="ctr"/>
        <c:lblOffset val="100"/>
        <c:noMultiLvlLbl val="0"/>
      </c:catAx>
      <c:valAx>
        <c:axId val="82667392"/>
        <c:scaling>
          <c:orientation val="minMax"/>
        </c:scaling>
        <c:delete val="0"/>
        <c:axPos val="l"/>
        <c:majorGridlines/>
        <c:numFmt formatCode="0.000" sourceLinked="1"/>
        <c:majorTickMark val="out"/>
        <c:minorTickMark val="none"/>
        <c:tickLblPos val="nextTo"/>
        <c:crossAx val="82665856"/>
        <c:crosses val="autoZero"/>
        <c:crossBetween val="between"/>
      </c:valAx>
    </c:plotArea>
    <c:legend>
      <c:legendPos val="r"/>
      <c:overlay val="0"/>
    </c:legend>
    <c:plotVisOnly val="1"/>
    <c:dispBlanksAs val="gap"/>
    <c:showDLblsOverMax val="0"/>
  </c:chart>
  <c:printSettings>
    <c:headerFooter/>
    <c:pageMargins b="0.75000000000000588" l="0.70000000000000062" r="0.70000000000000062" t="0.7500000000000058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'Ogives and Hist.'!$I$48:$I$53</c:f>
              <c:strCache>
                <c:ptCount val="6"/>
                <c:pt idx="0">
                  <c:v>30-40</c:v>
                </c:pt>
                <c:pt idx="1">
                  <c:v>40-50</c:v>
                </c:pt>
                <c:pt idx="2">
                  <c:v>50-60</c:v>
                </c:pt>
                <c:pt idx="3">
                  <c:v>60-70</c:v>
                </c:pt>
                <c:pt idx="4">
                  <c:v>70-80</c:v>
                </c:pt>
                <c:pt idx="5">
                  <c:v>80-90</c:v>
                </c:pt>
              </c:strCache>
            </c:strRef>
          </c:cat>
          <c:val>
            <c:numRef>
              <c:f>'Ogives and Hist.'!$K$48:$K$53</c:f>
              <c:numCache>
                <c:formatCode>General</c:formatCode>
                <c:ptCount val="6"/>
                <c:pt idx="0">
                  <c:v>0.125</c:v>
                </c:pt>
                <c:pt idx="1">
                  <c:v>0.25</c:v>
                </c:pt>
                <c:pt idx="2">
                  <c:v>0.15</c:v>
                </c:pt>
                <c:pt idx="3">
                  <c:v>0.125</c:v>
                </c:pt>
                <c:pt idx="4">
                  <c:v>0.15</c:v>
                </c:pt>
                <c:pt idx="5">
                  <c:v>0.2</c:v>
                </c:pt>
              </c:numCache>
            </c:numRef>
          </c:val>
          <c:extLst>
            <c:ext xmlns:c16="http://schemas.microsoft.com/office/drawing/2014/chart" uri="{C3380CC4-5D6E-409C-BE32-E72D297353CC}">
              <c16:uniqueId val="{00000000-8E09-4D99-BD3D-FD214B493F49}"/>
            </c:ext>
          </c:extLst>
        </c:ser>
        <c:dLbls>
          <c:showLegendKey val="0"/>
          <c:showVal val="0"/>
          <c:showCatName val="0"/>
          <c:showSerName val="0"/>
          <c:showPercent val="0"/>
          <c:showBubbleSize val="0"/>
        </c:dLbls>
        <c:gapWidth val="150"/>
        <c:axId val="146938112"/>
        <c:axId val="146944000"/>
      </c:barChart>
      <c:catAx>
        <c:axId val="146938112"/>
        <c:scaling>
          <c:orientation val="minMax"/>
        </c:scaling>
        <c:delete val="0"/>
        <c:axPos val="b"/>
        <c:numFmt formatCode="General" sourceLinked="0"/>
        <c:majorTickMark val="out"/>
        <c:minorTickMark val="none"/>
        <c:tickLblPos val="nextTo"/>
        <c:crossAx val="146944000"/>
        <c:crosses val="autoZero"/>
        <c:auto val="1"/>
        <c:lblAlgn val="ctr"/>
        <c:lblOffset val="100"/>
        <c:noMultiLvlLbl val="0"/>
      </c:catAx>
      <c:valAx>
        <c:axId val="146944000"/>
        <c:scaling>
          <c:orientation val="minMax"/>
        </c:scaling>
        <c:delete val="0"/>
        <c:axPos val="l"/>
        <c:majorGridlines/>
        <c:numFmt formatCode="General" sourceLinked="1"/>
        <c:majorTickMark val="out"/>
        <c:minorTickMark val="none"/>
        <c:tickLblPos val="nextTo"/>
        <c:crossAx val="146938112"/>
        <c:crosses val="autoZero"/>
        <c:crossBetween val="between"/>
      </c:valAx>
    </c:plotArea>
    <c:legend>
      <c:legendPos val="r"/>
      <c:overlay val="0"/>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'Ogives and Hist.'!$C$83:$C$88</c:f>
              <c:strCache>
                <c:ptCount val="6"/>
                <c:pt idx="0">
                  <c:v>A</c:v>
                </c:pt>
                <c:pt idx="1">
                  <c:v>B</c:v>
                </c:pt>
                <c:pt idx="2">
                  <c:v>C</c:v>
                </c:pt>
                <c:pt idx="3">
                  <c:v>D</c:v>
                </c:pt>
                <c:pt idx="4">
                  <c:v>E</c:v>
                </c:pt>
                <c:pt idx="5">
                  <c:v>F</c:v>
                </c:pt>
              </c:strCache>
            </c:strRef>
          </c:cat>
          <c:val>
            <c:numRef>
              <c:f>'Ogives and Hist.'!$D$83:$D$88</c:f>
              <c:numCache>
                <c:formatCode>General</c:formatCode>
                <c:ptCount val="6"/>
                <c:pt idx="0">
                  <c:v>60</c:v>
                </c:pt>
                <c:pt idx="1">
                  <c:v>41</c:v>
                </c:pt>
                <c:pt idx="2">
                  <c:v>55</c:v>
                </c:pt>
                <c:pt idx="3">
                  <c:v>65</c:v>
                </c:pt>
                <c:pt idx="4">
                  <c:v>52</c:v>
                </c:pt>
                <c:pt idx="5">
                  <c:v>47</c:v>
                </c:pt>
              </c:numCache>
            </c:numRef>
          </c:val>
          <c:extLst>
            <c:ext xmlns:c16="http://schemas.microsoft.com/office/drawing/2014/chart" uri="{C3380CC4-5D6E-409C-BE32-E72D297353CC}">
              <c16:uniqueId val="{00000000-3AB2-46D1-B66D-AB4AEE6F8DA0}"/>
            </c:ext>
          </c:extLst>
        </c:ser>
        <c:dLbls>
          <c:showLegendKey val="0"/>
          <c:showVal val="0"/>
          <c:showCatName val="0"/>
          <c:showSerName val="0"/>
          <c:showPercent val="0"/>
          <c:showBubbleSize val="0"/>
        </c:dLbls>
        <c:gapWidth val="150"/>
        <c:axId val="146959360"/>
        <c:axId val="146969344"/>
      </c:barChart>
      <c:catAx>
        <c:axId val="146959360"/>
        <c:scaling>
          <c:orientation val="minMax"/>
        </c:scaling>
        <c:delete val="0"/>
        <c:axPos val="b"/>
        <c:numFmt formatCode="General" sourceLinked="0"/>
        <c:majorTickMark val="out"/>
        <c:minorTickMark val="none"/>
        <c:tickLblPos val="nextTo"/>
        <c:crossAx val="146969344"/>
        <c:crosses val="autoZero"/>
        <c:auto val="1"/>
        <c:lblAlgn val="ctr"/>
        <c:lblOffset val="100"/>
        <c:noMultiLvlLbl val="0"/>
      </c:catAx>
      <c:valAx>
        <c:axId val="146969344"/>
        <c:scaling>
          <c:orientation val="minMax"/>
        </c:scaling>
        <c:delete val="0"/>
        <c:axPos val="l"/>
        <c:majorGridlines/>
        <c:numFmt formatCode="General" sourceLinked="1"/>
        <c:majorTickMark val="out"/>
        <c:minorTickMark val="none"/>
        <c:tickLblPos val="nextTo"/>
        <c:crossAx val="146959360"/>
        <c:crosses val="autoZero"/>
        <c:crossBetween val="between"/>
      </c:valAx>
    </c:plotArea>
    <c:legend>
      <c:legendPos val="r"/>
      <c:overlay val="0"/>
    </c:legend>
    <c:plotVisOnly val="1"/>
    <c:dispBlanksAs val="gap"/>
    <c:showDLblsOverMax val="0"/>
  </c:chart>
  <c:printSettings>
    <c:headerFooter/>
    <c:pageMargins b="0.75000000000000466" l="0.70000000000000062" r="0.70000000000000062" t="0.750000000000004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11297467397727147"/>
          <c:y val="0.20039773874419581"/>
          <c:w val="0.71358847159811989"/>
          <c:h val="0.50890530991318395"/>
        </c:manualLayout>
      </c:layout>
      <c:barChart>
        <c:barDir val="col"/>
        <c:grouping val="clustered"/>
        <c:varyColors val="0"/>
        <c:ser>
          <c:idx val="0"/>
          <c:order val="0"/>
          <c:tx>
            <c:v>Frequency</c:v>
          </c:tx>
          <c:invertIfNegative val="0"/>
          <c:cat>
            <c:strRef>
              <c:f>'Ogives and Hist.'!$D$20:$D$29</c:f>
              <c:strCache>
                <c:ptCount val="10"/>
                <c:pt idx="0">
                  <c:v>0</c:v>
                </c:pt>
                <c:pt idx="1">
                  <c:v>10</c:v>
                </c:pt>
                <c:pt idx="2">
                  <c:v>20</c:v>
                </c:pt>
                <c:pt idx="3">
                  <c:v>30</c:v>
                </c:pt>
                <c:pt idx="4">
                  <c:v>40</c:v>
                </c:pt>
                <c:pt idx="5">
                  <c:v>50</c:v>
                </c:pt>
                <c:pt idx="6">
                  <c:v>60</c:v>
                </c:pt>
                <c:pt idx="7">
                  <c:v>70</c:v>
                </c:pt>
                <c:pt idx="8">
                  <c:v>80</c:v>
                </c:pt>
                <c:pt idx="9">
                  <c:v>More</c:v>
                </c:pt>
              </c:strCache>
            </c:strRef>
          </c:cat>
          <c:val>
            <c:numRef>
              <c:f>'Ogives and Hist.'!$E$20:$E$29</c:f>
              <c:numCache>
                <c:formatCode>General</c:formatCode>
                <c:ptCount val="10"/>
                <c:pt idx="0">
                  <c:v>0</c:v>
                </c:pt>
                <c:pt idx="1">
                  <c:v>0</c:v>
                </c:pt>
                <c:pt idx="2">
                  <c:v>3</c:v>
                </c:pt>
                <c:pt idx="3">
                  <c:v>7</c:v>
                </c:pt>
                <c:pt idx="4">
                  <c:v>4</c:v>
                </c:pt>
                <c:pt idx="5">
                  <c:v>4</c:v>
                </c:pt>
                <c:pt idx="6">
                  <c:v>2</c:v>
                </c:pt>
                <c:pt idx="7">
                  <c:v>0</c:v>
                </c:pt>
                <c:pt idx="8">
                  <c:v>0</c:v>
                </c:pt>
                <c:pt idx="9">
                  <c:v>0</c:v>
                </c:pt>
              </c:numCache>
            </c:numRef>
          </c:val>
          <c:extLst>
            <c:ext xmlns:c16="http://schemas.microsoft.com/office/drawing/2014/chart" uri="{C3380CC4-5D6E-409C-BE32-E72D297353CC}">
              <c16:uniqueId val="{00000000-D002-4684-ACAC-850F9622F36E}"/>
            </c:ext>
          </c:extLst>
        </c:ser>
        <c:dLbls>
          <c:showLegendKey val="0"/>
          <c:showVal val="0"/>
          <c:showCatName val="0"/>
          <c:showSerName val="0"/>
          <c:showPercent val="0"/>
          <c:showBubbleSize val="0"/>
        </c:dLbls>
        <c:gapWidth val="150"/>
        <c:axId val="152182784"/>
        <c:axId val="152184704"/>
      </c:barChart>
      <c:catAx>
        <c:axId val="152182784"/>
        <c:scaling>
          <c:orientation val="minMax"/>
        </c:scaling>
        <c:delete val="0"/>
        <c:axPos val="b"/>
        <c:title>
          <c:tx>
            <c:rich>
              <a:bodyPr/>
              <a:lstStyle/>
              <a:p>
                <a:pPr>
                  <a:defRPr/>
                </a:pPr>
                <a:r>
                  <a:rPr lang="en-IN"/>
                  <a:t>Bin</a:t>
                </a:r>
              </a:p>
            </c:rich>
          </c:tx>
          <c:overlay val="0"/>
        </c:title>
        <c:numFmt formatCode="General" sourceLinked="0"/>
        <c:majorTickMark val="out"/>
        <c:minorTickMark val="none"/>
        <c:tickLblPos val="nextTo"/>
        <c:crossAx val="152184704"/>
        <c:crosses val="autoZero"/>
        <c:auto val="1"/>
        <c:lblAlgn val="ctr"/>
        <c:lblOffset val="100"/>
        <c:noMultiLvlLbl val="0"/>
      </c:catAx>
      <c:valAx>
        <c:axId val="15218470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2182784"/>
        <c:crosses val="autoZero"/>
        <c:crossBetween val="between"/>
      </c:valAx>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'Ogives and Hist.'!$E$101:$E$112</c:f>
              <c:strCache>
                <c:ptCount val="12"/>
                <c:pt idx="0">
                  <c:v>10</c:v>
                </c:pt>
                <c:pt idx="1">
                  <c:v>15</c:v>
                </c:pt>
                <c:pt idx="2">
                  <c:v>20</c:v>
                </c:pt>
                <c:pt idx="3">
                  <c:v>25</c:v>
                </c:pt>
                <c:pt idx="4">
                  <c:v>30</c:v>
                </c:pt>
                <c:pt idx="5">
                  <c:v>35</c:v>
                </c:pt>
                <c:pt idx="6">
                  <c:v>40</c:v>
                </c:pt>
                <c:pt idx="7">
                  <c:v>45</c:v>
                </c:pt>
                <c:pt idx="8">
                  <c:v>50</c:v>
                </c:pt>
                <c:pt idx="9">
                  <c:v>55</c:v>
                </c:pt>
                <c:pt idx="10">
                  <c:v>60</c:v>
                </c:pt>
                <c:pt idx="11">
                  <c:v>More</c:v>
                </c:pt>
              </c:strCache>
            </c:strRef>
          </c:cat>
          <c:val>
            <c:numRef>
              <c:f>'Ogives and Hist.'!$F$101:$F$112</c:f>
              <c:numCache>
                <c:formatCode>General</c:formatCode>
                <c:ptCount val="12"/>
                <c:pt idx="0">
                  <c:v>0</c:v>
                </c:pt>
                <c:pt idx="1">
                  <c:v>2</c:v>
                </c:pt>
                <c:pt idx="2">
                  <c:v>1</c:v>
                </c:pt>
                <c:pt idx="3">
                  <c:v>3</c:v>
                </c:pt>
                <c:pt idx="4">
                  <c:v>4</c:v>
                </c:pt>
                <c:pt idx="5">
                  <c:v>2</c:v>
                </c:pt>
                <c:pt idx="6">
                  <c:v>2</c:v>
                </c:pt>
                <c:pt idx="7">
                  <c:v>3</c:v>
                </c:pt>
                <c:pt idx="8">
                  <c:v>1</c:v>
                </c:pt>
                <c:pt idx="9">
                  <c:v>1</c:v>
                </c:pt>
                <c:pt idx="10">
                  <c:v>1</c:v>
                </c:pt>
                <c:pt idx="11">
                  <c:v>0</c:v>
                </c:pt>
              </c:numCache>
            </c:numRef>
          </c:val>
          <c:extLst>
            <c:ext xmlns:c16="http://schemas.microsoft.com/office/drawing/2014/chart" uri="{C3380CC4-5D6E-409C-BE32-E72D297353CC}">
              <c16:uniqueId val="{00000000-FFDC-4656-A627-32CBE924D289}"/>
            </c:ext>
          </c:extLst>
        </c:ser>
        <c:dLbls>
          <c:showLegendKey val="0"/>
          <c:showVal val="0"/>
          <c:showCatName val="0"/>
          <c:showSerName val="0"/>
          <c:showPercent val="0"/>
          <c:showBubbleSize val="0"/>
        </c:dLbls>
        <c:gapWidth val="150"/>
        <c:axId val="152209280"/>
        <c:axId val="152227840"/>
      </c:barChart>
      <c:catAx>
        <c:axId val="152209280"/>
        <c:scaling>
          <c:orientation val="minMax"/>
        </c:scaling>
        <c:delete val="0"/>
        <c:axPos val="b"/>
        <c:title>
          <c:tx>
            <c:rich>
              <a:bodyPr/>
              <a:lstStyle/>
              <a:p>
                <a:pPr>
                  <a:defRPr/>
                </a:pPr>
                <a:r>
                  <a:rPr lang="en-IN"/>
                  <a:t>Bin</a:t>
                </a:r>
              </a:p>
            </c:rich>
          </c:tx>
          <c:overlay val="0"/>
        </c:title>
        <c:numFmt formatCode="General" sourceLinked="0"/>
        <c:majorTickMark val="out"/>
        <c:minorTickMark val="none"/>
        <c:tickLblPos val="nextTo"/>
        <c:crossAx val="152227840"/>
        <c:crosses val="autoZero"/>
        <c:auto val="1"/>
        <c:lblAlgn val="ctr"/>
        <c:lblOffset val="100"/>
        <c:noMultiLvlLbl val="0"/>
      </c:catAx>
      <c:valAx>
        <c:axId val="15222784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2209280"/>
        <c:crosses val="autoZero"/>
        <c:crossBetween val="between"/>
      </c:valAx>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'Ogives and Hist.'!$I$116:$I$126</c:f>
              <c:numCache>
                <c:formatCode>General</c:formatCode>
                <c:ptCount val="11"/>
                <c:pt idx="0">
                  <c:v>0</c:v>
                </c:pt>
                <c:pt idx="1">
                  <c:v>0.1</c:v>
                </c:pt>
                <c:pt idx="2">
                  <c:v>0.15000000000000002</c:v>
                </c:pt>
                <c:pt idx="3">
                  <c:v>0.30000000000000004</c:v>
                </c:pt>
                <c:pt idx="4">
                  <c:v>0.5</c:v>
                </c:pt>
                <c:pt idx="5">
                  <c:v>0.6</c:v>
                </c:pt>
                <c:pt idx="6">
                  <c:v>0.7</c:v>
                </c:pt>
                <c:pt idx="7">
                  <c:v>0.85</c:v>
                </c:pt>
                <c:pt idx="8">
                  <c:v>0.9</c:v>
                </c:pt>
                <c:pt idx="9">
                  <c:v>0.95000000000000007</c:v>
                </c:pt>
                <c:pt idx="10">
                  <c:v>1</c:v>
                </c:pt>
              </c:numCache>
            </c:numRef>
          </c:val>
          <c:smooth val="0"/>
          <c:extLst>
            <c:ext xmlns:c16="http://schemas.microsoft.com/office/drawing/2014/chart" uri="{C3380CC4-5D6E-409C-BE32-E72D297353CC}">
              <c16:uniqueId val="{00000000-9335-44B1-8B09-CA1C62BC809E}"/>
            </c:ext>
          </c:extLst>
        </c:ser>
        <c:dLbls>
          <c:showLegendKey val="0"/>
          <c:showVal val="0"/>
          <c:showCatName val="0"/>
          <c:showSerName val="0"/>
          <c:showPercent val="0"/>
          <c:showBubbleSize val="0"/>
        </c:dLbls>
        <c:smooth val="0"/>
        <c:axId val="152117248"/>
        <c:axId val="152118784"/>
      </c:lineChart>
      <c:catAx>
        <c:axId val="152117248"/>
        <c:scaling>
          <c:orientation val="minMax"/>
        </c:scaling>
        <c:delete val="0"/>
        <c:axPos val="b"/>
        <c:majorTickMark val="out"/>
        <c:minorTickMark val="none"/>
        <c:tickLblPos val="nextTo"/>
        <c:crossAx val="152118784"/>
        <c:crosses val="autoZero"/>
        <c:auto val="1"/>
        <c:lblAlgn val="ctr"/>
        <c:lblOffset val="100"/>
        <c:noMultiLvlLbl val="0"/>
      </c:catAx>
      <c:valAx>
        <c:axId val="152118784"/>
        <c:scaling>
          <c:orientation val="minMax"/>
        </c:scaling>
        <c:delete val="0"/>
        <c:axPos val="l"/>
        <c:majorGridlines/>
        <c:numFmt formatCode="General" sourceLinked="1"/>
        <c:majorTickMark val="out"/>
        <c:minorTickMark val="none"/>
        <c:tickLblPos val="nextTo"/>
        <c:crossAx val="152117248"/>
        <c:crosses val="autoZero"/>
        <c:crossBetween val="between"/>
      </c:valAx>
    </c:plotArea>
    <c:legend>
      <c:legendPos val="r"/>
      <c:overlay val="0"/>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B0F0"/>
              </a:solidFill>
            </c:spPr>
            <c:extLst>
              <c:ext xmlns:c16="http://schemas.microsoft.com/office/drawing/2014/chart" uri="{C3380CC4-5D6E-409C-BE32-E72D297353CC}">
                <c16:uniqueId val="{00000000-B44C-4A2D-BE80-71396593A9FD}"/>
              </c:ext>
            </c:extLst>
          </c:dPt>
          <c:dLbls>
            <c:spPr>
              <a:noFill/>
              <a:ln>
                <a:noFill/>
              </a:ln>
              <a:effectLst/>
            </c:sp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'Pie Chart'!$A$4:$A$8</c:f>
              <c:strCache>
                <c:ptCount val="5"/>
                <c:pt idx="0">
                  <c:v>Stocks </c:v>
                </c:pt>
                <c:pt idx="1">
                  <c:v>Bonds </c:v>
                </c:pt>
                <c:pt idx="2">
                  <c:v>CD </c:v>
                </c:pt>
                <c:pt idx="3">
                  <c:v>Savings </c:v>
                </c:pt>
                <c:pt idx="4">
                  <c:v>Total </c:v>
                </c:pt>
              </c:strCache>
            </c:strRef>
          </c:cat>
          <c:val>
            <c:numRef>
              <c:f>'Pie Chart'!$B$4:$B$8</c:f>
              <c:numCache>
                <c:formatCode>General</c:formatCode>
                <c:ptCount val="5"/>
                <c:pt idx="0">
                  <c:v>46.5</c:v>
                </c:pt>
                <c:pt idx="1">
                  <c:v>32</c:v>
                </c:pt>
                <c:pt idx="2">
                  <c:v>15.5</c:v>
                </c:pt>
                <c:pt idx="3">
                  <c:v>16</c:v>
                </c:pt>
                <c:pt idx="4">
                  <c:v>110</c:v>
                </c:pt>
              </c:numCache>
            </c:numRef>
          </c:val>
          <c:extLst>
            <c:ext xmlns:c16="http://schemas.microsoft.com/office/drawing/2014/chart" uri="{C3380CC4-5D6E-409C-BE32-E72D297353CC}">
              <c16:uniqueId val="{00000001-B44C-4A2D-BE80-71396593A9F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'Pie Chart'!$A$12:$A$15</c:f>
              <c:strCache>
                <c:ptCount val="4"/>
                <c:pt idx="0">
                  <c:v>Stocks </c:v>
                </c:pt>
                <c:pt idx="1">
                  <c:v>Bonds </c:v>
                </c:pt>
                <c:pt idx="2">
                  <c:v>CD </c:v>
                </c:pt>
                <c:pt idx="3">
                  <c:v>Savings </c:v>
                </c:pt>
              </c:strCache>
            </c:strRef>
          </c:cat>
          <c:val>
            <c:numRef>
              <c:f>'Pie Chart'!$C$12:$C$15</c:f>
              <c:numCache>
                <c:formatCode>General</c:formatCode>
                <c:ptCount val="4"/>
                <c:pt idx="0">
                  <c:v>42.272727272727273</c:v>
                </c:pt>
                <c:pt idx="1">
                  <c:v>29.09090909090909</c:v>
                </c:pt>
                <c:pt idx="2">
                  <c:v>14.09090909090909</c:v>
                </c:pt>
                <c:pt idx="3">
                  <c:v>14.545454545454545</c:v>
                </c:pt>
              </c:numCache>
            </c:numRef>
          </c:val>
          <c:extLst>
            <c:ext xmlns:c16="http://schemas.microsoft.com/office/drawing/2014/chart" uri="{C3380CC4-5D6E-409C-BE32-E72D297353CC}">
              <c16:uniqueId val="{00000000-1E04-4C01-A775-AB29F790FE3B}"/>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44450">
              <a:solidFill>
                <a:schemeClr val="accent2">
                  <a:lumMod val="75000"/>
                </a:schemeClr>
              </a:solidFill>
            </a:ln>
          </c:spPr>
          <c:val>
            <c:numRef>
              <c:f>'Line Chart'!$B$4:$B$25</c:f>
              <c:numCache>
                <c:formatCode>General</c:formatCode>
                <c:ptCount val="22"/>
                <c:pt idx="0">
                  <c:v>3.56</c:v>
                </c:pt>
                <c:pt idx="1">
                  <c:v>1.86</c:v>
                </c:pt>
                <c:pt idx="2">
                  <c:v>3.65</c:v>
                </c:pt>
                <c:pt idx="3">
                  <c:v>4.1399999999999997</c:v>
                </c:pt>
                <c:pt idx="4">
                  <c:v>4.82</c:v>
                </c:pt>
                <c:pt idx="5">
                  <c:v>5.4</c:v>
                </c:pt>
                <c:pt idx="6">
                  <c:v>4.21</c:v>
                </c:pt>
                <c:pt idx="7">
                  <c:v>3.01</c:v>
                </c:pt>
                <c:pt idx="8">
                  <c:v>2.99</c:v>
                </c:pt>
                <c:pt idx="9">
                  <c:v>2.56</c:v>
                </c:pt>
                <c:pt idx="10">
                  <c:v>2.83</c:v>
                </c:pt>
                <c:pt idx="11">
                  <c:v>2.95</c:v>
                </c:pt>
                <c:pt idx="12">
                  <c:v>2.29</c:v>
                </c:pt>
                <c:pt idx="13">
                  <c:v>1.56</c:v>
                </c:pt>
                <c:pt idx="14">
                  <c:v>2.21</c:v>
                </c:pt>
                <c:pt idx="15">
                  <c:v>3.36</c:v>
                </c:pt>
                <c:pt idx="16">
                  <c:v>2.85</c:v>
                </c:pt>
                <c:pt idx="17">
                  <c:v>1.59</c:v>
                </c:pt>
                <c:pt idx="18">
                  <c:v>2.27</c:v>
                </c:pt>
                <c:pt idx="19">
                  <c:v>2.68</c:v>
                </c:pt>
                <c:pt idx="20">
                  <c:v>3.39</c:v>
                </c:pt>
                <c:pt idx="21">
                  <c:v>3.24</c:v>
                </c:pt>
              </c:numCache>
            </c:numRef>
          </c:val>
          <c:smooth val="0"/>
          <c:extLst>
            <c:ext xmlns:c16="http://schemas.microsoft.com/office/drawing/2014/chart" uri="{C3380CC4-5D6E-409C-BE32-E72D297353CC}">
              <c16:uniqueId val="{00000000-10D3-4A96-BC91-A94C4AEC136B}"/>
            </c:ext>
          </c:extLst>
        </c:ser>
        <c:dLbls>
          <c:showLegendKey val="0"/>
          <c:showVal val="0"/>
          <c:showCatName val="0"/>
          <c:showSerName val="0"/>
          <c:showPercent val="0"/>
          <c:showBubbleSize val="0"/>
        </c:dLbls>
        <c:marker val="1"/>
        <c:smooth val="0"/>
        <c:axId val="152316160"/>
        <c:axId val="152330240"/>
      </c:lineChart>
      <c:catAx>
        <c:axId val="152316160"/>
        <c:scaling>
          <c:orientation val="minMax"/>
        </c:scaling>
        <c:delete val="0"/>
        <c:axPos val="b"/>
        <c:majorTickMark val="out"/>
        <c:minorTickMark val="none"/>
        <c:tickLblPos val="nextTo"/>
        <c:crossAx val="152330240"/>
        <c:crosses val="autoZero"/>
        <c:auto val="1"/>
        <c:lblAlgn val="ctr"/>
        <c:lblOffset val="100"/>
        <c:noMultiLvlLbl val="0"/>
      </c:catAx>
      <c:valAx>
        <c:axId val="152330240"/>
        <c:scaling>
          <c:orientation val="minMax"/>
        </c:scaling>
        <c:delete val="0"/>
        <c:axPos val="l"/>
        <c:majorGridlines/>
        <c:numFmt formatCode="General" sourceLinked="1"/>
        <c:majorTickMark val="out"/>
        <c:minorTickMark val="none"/>
        <c:tickLblPos val="nextTo"/>
        <c:crossAx val="152316160"/>
        <c:crosses val="autoZero"/>
        <c:crossBetween val="between"/>
      </c:valAx>
    </c:plotArea>
    <c:legend>
      <c:legendPos val="r"/>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Chart'!$B$3</c:f>
              <c:strCache>
                <c:ptCount val="1"/>
                <c:pt idx="0">
                  <c:v>Inflation Rate </c:v>
                </c:pt>
              </c:strCache>
            </c:strRef>
          </c:tx>
          <c:val>
            <c:numRef>
              <c:f>'Line Chart'!$B$4:$B$25</c:f>
              <c:numCache>
                <c:formatCode>General</c:formatCode>
                <c:ptCount val="22"/>
                <c:pt idx="0">
                  <c:v>3.56</c:v>
                </c:pt>
                <c:pt idx="1">
                  <c:v>1.86</c:v>
                </c:pt>
                <c:pt idx="2">
                  <c:v>3.65</c:v>
                </c:pt>
                <c:pt idx="3">
                  <c:v>4.1399999999999997</c:v>
                </c:pt>
                <c:pt idx="4">
                  <c:v>4.82</c:v>
                </c:pt>
                <c:pt idx="5">
                  <c:v>5.4</c:v>
                </c:pt>
                <c:pt idx="6">
                  <c:v>4.21</c:v>
                </c:pt>
                <c:pt idx="7">
                  <c:v>3.01</c:v>
                </c:pt>
                <c:pt idx="8">
                  <c:v>2.99</c:v>
                </c:pt>
                <c:pt idx="9">
                  <c:v>2.56</c:v>
                </c:pt>
                <c:pt idx="10">
                  <c:v>2.83</c:v>
                </c:pt>
                <c:pt idx="11">
                  <c:v>2.95</c:v>
                </c:pt>
                <c:pt idx="12">
                  <c:v>2.29</c:v>
                </c:pt>
                <c:pt idx="13">
                  <c:v>1.56</c:v>
                </c:pt>
                <c:pt idx="14">
                  <c:v>2.21</c:v>
                </c:pt>
                <c:pt idx="15">
                  <c:v>3.36</c:v>
                </c:pt>
                <c:pt idx="16">
                  <c:v>2.85</c:v>
                </c:pt>
                <c:pt idx="17">
                  <c:v>1.59</c:v>
                </c:pt>
                <c:pt idx="18">
                  <c:v>2.27</c:v>
                </c:pt>
                <c:pt idx="19">
                  <c:v>2.68</c:v>
                </c:pt>
                <c:pt idx="20">
                  <c:v>3.39</c:v>
                </c:pt>
                <c:pt idx="21">
                  <c:v>3.24</c:v>
                </c:pt>
              </c:numCache>
            </c:numRef>
          </c:val>
          <c:smooth val="0"/>
          <c:extLst>
            <c:ext xmlns:c16="http://schemas.microsoft.com/office/drawing/2014/chart" uri="{C3380CC4-5D6E-409C-BE32-E72D297353CC}">
              <c16:uniqueId val="{00000000-F923-4624-AB3A-0053F28FA05E}"/>
            </c:ext>
          </c:extLst>
        </c:ser>
        <c:dLbls>
          <c:showLegendKey val="0"/>
          <c:showVal val="0"/>
          <c:showCatName val="0"/>
          <c:showSerName val="0"/>
          <c:showPercent val="0"/>
          <c:showBubbleSize val="0"/>
        </c:dLbls>
        <c:marker val="1"/>
        <c:smooth val="0"/>
        <c:axId val="152349696"/>
        <c:axId val="152351488"/>
      </c:lineChart>
      <c:catAx>
        <c:axId val="152349696"/>
        <c:scaling>
          <c:orientation val="minMax"/>
        </c:scaling>
        <c:delete val="0"/>
        <c:axPos val="b"/>
        <c:majorTickMark val="out"/>
        <c:minorTickMark val="none"/>
        <c:tickLblPos val="nextTo"/>
        <c:crossAx val="152351488"/>
        <c:crosses val="autoZero"/>
        <c:auto val="1"/>
        <c:lblAlgn val="ctr"/>
        <c:lblOffset val="100"/>
        <c:noMultiLvlLbl val="0"/>
      </c:catAx>
      <c:valAx>
        <c:axId val="152351488"/>
        <c:scaling>
          <c:orientation val="minMax"/>
        </c:scaling>
        <c:delete val="0"/>
        <c:axPos val="l"/>
        <c:majorGridlines/>
        <c:numFmt formatCode="General" sourceLinked="1"/>
        <c:majorTickMark val="out"/>
        <c:minorTickMark val="none"/>
        <c:tickLblPos val="nextTo"/>
        <c:crossAx val="152349696"/>
        <c:crosses val="autoZero"/>
        <c:crossBetween val="between"/>
      </c:valAx>
    </c:plotArea>
    <c:legend>
      <c:legendPos val="t"/>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09951881014872"/>
          <c:y val="6.5289442986293383E-2"/>
          <c:w val="0.59028171478564373"/>
          <c:h val="0.74804206765821635"/>
        </c:manualLayout>
      </c:layout>
      <c:lineChart>
        <c:grouping val="standard"/>
        <c:varyColors val="0"/>
        <c:ser>
          <c:idx val="1"/>
          <c:order val="0"/>
          <c:tx>
            <c:strRef>
              <c:f>'Line Chart'!$B$3</c:f>
              <c:strCache>
                <c:ptCount val="1"/>
                <c:pt idx="0">
                  <c:v>Inflation Rate </c:v>
                </c:pt>
              </c:strCache>
            </c:strRef>
          </c:tx>
          <c:cat>
            <c:strRef>
              <c:f>'Line Chart'!$A$3:$A$25</c:f>
              <c:strCache>
                <c:ptCount val="23"/>
                <c:pt idx="0">
                  <c:v>Year </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strCache>
            </c:strRef>
          </c:cat>
          <c:val>
            <c:numRef>
              <c:f>'Line Chart'!$B$4:$B$25</c:f>
              <c:numCache>
                <c:formatCode>General</c:formatCode>
                <c:ptCount val="22"/>
                <c:pt idx="0">
                  <c:v>3.56</c:v>
                </c:pt>
                <c:pt idx="1">
                  <c:v>1.86</c:v>
                </c:pt>
                <c:pt idx="2">
                  <c:v>3.65</c:v>
                </c:pt>
                <c:pt idx="3">
                  <c:v>4.1399999999999997</c:v>
                </c:pt>
                <c:pt idx="4">
                  <c:v>4.82</c:v>
                </c:pt>
                <c:pt idx="5">
                  <c:v>5.4</c:v>
                </c:pt>
                <c:pt idx="6">
                  <c:v>4.21</c:v>
                </c:pt>
                <c:pt idx="7">
                  <c:v>3.01</c:v>
                </c:pt>
                <c:pt idx="8">
                  <c:v>2.99</c:v>
                </c:pt>
                <c:pt idx="9">
                  <c:v>2.56</c:v>
                </c:pt>
                <c:pt idx="10">
                  <c:v>2.83</c:v>
                </c:pt>
                <c:pt idx="11">
                  <c:v>2.95</c:v>
                </c:pt>
                <c:pt idx="12">
                  <c:v>2.29</c:v>
                </c:pt>
                <c:pt idx="13">
                  <c:v>1.56</c:v>
                </c:pt>
                <c:pt idx="14">
                  <c:v>2.21</c:v>
                </c:pt>
                <c:pt idx="15">
                  <c:v>3.36</c:v>
                </c:pt>
                <c:pt idx="16">
                  <c:v>2.85</c:v>
                </c:pt>
                <c:pt idx="17">
                  <c:v>1.59</c:v>
                </c:pt>
                <c:pt idx="18">
                  <c:v>2.27</c:v>
                </c:pt>
                <c:pt idx="19">
                  <c:v>2.68</c:v>
                </c:pt>
                <c:pt idx="20">
                  <c:v>3.39</c:v>
                </c:pt>
                <c:pt idx="21">
                  <c:v>3.24</c:v>
                </c:pt>
              </c:numCache>
            </c:numRef>
          </c:val>
          <c:smooth val="0"/>
          <c:extLst>
            <c:ext xmlns:c16="http://schemas.microsoft.com/office/drawing/2014/chart" uri="{C3380CC4-5D6E-409C-BE32-E72D297353CC}">
              <c16:uniqueId val="{00000000-B7F0-43AB-971B-50D888143741}"/>
            </c:ext>
          </c:extLst>
        </c:ser>
        <c:ser>
          <c:idx val="0"/>
          <c:order val="1"/>
          <c:tx>
            <c:strRef>
              <c:f>'Line Chart'!$A$3</c:f>
              <c:strCache>
                <c:ptCount val="1"/>
                <c:pt idx="0">
                  <c:v>Year </c:v>
                </c:pt>
              </c:strCache>
            </c:strRef>
          </c:tx>
          <c:cat>
            <c:strRef>
              <c:f>'Line Chart'!$A$3:$A$25</c:f>
              <c:strCache>
                <c:ptCount val="23"/>
                <c:pt idx="0">
                  <c:v>Year </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strCache>
            </c:strRef>
          </c:cat>
          <c:val>
            <c:numRef>
              <c:f>'Line Chart'!$A$4:$A$25</c:f>
              <c:numCache>
                <c:formatCode>General</c:formatCode>
                <c:ptCount val="22"/>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numCache>
            </c:numRef>
          </c:val>
          <c:smooth val="0"/>
          <c:extLst>
            <c:ext xmlns:c16="http://schemas.microsoft.com/office/drawing/2014/chart" uri="{C3380CC4-5D6E-409C-BE32-E72D297353CC}">
              <c16:uniqueId val="{00000001-B7F0-43AB-971B-50D888143741}"/>
            </c:ext>
          </c:extLst>
        </c:ser>
        <c:dLbls>
          <c:showLegendKey val="0"/>
          <c:showVal val="0"/>
          <c:showCatName val="0"/>
          <c:showSerName val="0"/>
          <c:showPercent val="0"/>
          <c:showBubbleSize val="0"/>
        </c:dLbls>
        <c:marker val="1"/>
        <c:smooth val="0"/>
        <c:axId val="152446464"/>
        <c:axId val="152448000"/>
      </c:lineChart>
      <c:catAx>
        <c:axId val="152446464"/>
        <c:scaling>
          <c:orientation val="minMax"/>
        </c:scaling>
        <c:delete val="0"/>
        <c:axPos val="b"/>
        <c:numFmt formatCode="General" sourceLinked="0"/>
        <c:majorTickMark val="out"/>
        <c:minorTickMark val="none"/>
        <c:tickLblPos val="nextTo"/>
        <c:crossAx val="152448000"/>
        <c:crosses val="autoZero"/>
        <c:auto val="1"/>
        <c:lblAlgn val="ctr"/>
        <c:lblOffset val="100"/>
        <c:noMultiLvlLbl val="0"/>
      </c:catAx>
      <c:valAx>
        <c:axId val="152448000"/>
        <c:scaling>
          <c:orientation val="minMax"/>
          <c:max val="6"/>
          <c:min val="0"/>
        </c:scaling>
        <c:delete val="0"/>
        <c:axPos val="l"/>
        <c:majorGridlines/>
        <c:numFmt formatCode="General" sourceLinked="1"/>
        <c:majorTickMark val="out"/>
        <c:minorTickMark val="none"/>
        <c:tickLblPos val="nextTo"/>
        <c:crossAx val="152446464"/>
        <c:crosses val="autoZero"/>
        <c:crossBetween val="between"/>
        <c:majorUnit val="500"/>
        <c:minorUnit val="100"/>
      </c:valAx>
    </c:plotArea>
    <c:legend>
      <c:legendPos val="r"/>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'Freq. Dist'!$A$4:$A$9</c:f>
              <c:strCache>
                <c:ptCount val="6"/>
                <c:pt idx="0">
                  <c:v>20-30</c:v>
                </c:pt>
                <c:pt idx="1">
                  <c:v>30-40</c:v>
                </c:pt>
                <c:pt idx="2">
                  <c:v>40-50</c:v>
                </c:pt>
                <c:pt idx="3">
                  <c:v>50-60</c:v>
                </c:pt>
                <c:pt idx="4">
                  <c:v>60-70</c:v>
                </c:pt>
                <c:pt idx="5">
                  <c:v>70-80</c:v>
                </c:pt>
              </c:strCache>
            </c:strRef>
          </c:cat>
          <c:val>
            <c:numRef>
              <c:f>'Freq. Dist'!$B$4:$B$9</c:f>
              <c:numCache>
                <c:formatCode>General</c:formatCode>
                <c:ptCount val="6"/>
                <c:pt idx="0">
                  <c:v>5</c:v>
                </c:pt>
                <c:pt idx="1">
                  <c:v>8</c:v>
                </c:pt>
                <c:pt idx="2">
                  <c:v>9</c:v>
                </c:pt>
                <c:pt idx="3">
                  <c:v>10</c:v>
                </c:pt>
                <c:pt idx="4">
                  <c:v>6</c:v>
                </c:pt>
                <c:pt idx="5">
                  <c:v>2</c:v>
                </c:pt>
              </c:numCache>
            </c:numRef>
          </c:val>
          <c:extLst>
            <c:ext xmlns:c16="http://schemas.microsoft.com/office/drawing/2014/chart" uri="{C3380CC4-5D6E-409C-BE32-E72D297353CC}">
              <c16:uniqueId val="{00000000-2336-4863-A6AA-4E4FA2CE802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'Line Chart'!$A$4:$A$25</c:f>
              <c:numCache>
                <c:formatCode>General</c:formatCode>
                <c:ptCount val="22"/>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numCache>
            </c:numRef>
          </c:cat>
          <c:val>
            <c:numRef>
              <c:f>'Line Chart'!$B$4:$B$25</c:f>
              <c:numCache>
                <c:formatCode>General</c:formatCode>
                <c:ptCount val="22"/>
                <c:pt idx="0">
                  <c:v>3.56</c:v>
                </c:pt>
                <c:pt idx="1">
                  <c:v>1.86</c:v>
                </c:pt>
                <c:pt idx="2">
                  <c:v>3.65</c:v>
                </c:pt>
                <c:pt idx="3">
                  <c:v>4.1399999999999997</c:v>
                </c:pt>
                <c:pt idx="4">
                  <c:v>4.82</c:v>
                </c:pt>
                <c:pt idx="5">
                  <c:v>5.4</c:v>
                </c:pt>
                <c:pt idx="6">
                  <c:v>4.21</c:v>
                </c:pt>
                <c:pt idx="7">
                  <c:v>3.01</c:v>
                </c:pt>
                <c:pt idx="8">
                  <c:v>2.99</c:v>
                </c:pt>
                <c:pt idx="9">
                  <c:v>2.56</c:v>
                </c:pt>
                <c:pt idx="10">
                  <c:v>2.83</c:v>
                </c:pt>
                <c:pt idx="11">
                  <c:v>2.95</c:v>
                </c:pt>
                <c:pt idx="12">
                  <c:v>2.29</c:v>
                </c:pt>
                <c:pt idx="13">
                  <c:v>1.56</c:v>
                </c:pt>
                <c:pt idx="14">
                  <c:v>2.21</c:v>
                </c:pt>
                <c:pt idx="15">
                  <c:v>3.36</c:v>
                </c:pt>
                <c:pt idx="16">
                  <c:v>2.85</c:v>
                </c:pt>
                <c:pt idx="17">
                  <c:v>1.59</c:v>
                </c:pt>
                <c:pt idx="18">
                  <c:v>2.27</c:v>
                </c:pt>
                <c:pt idx="19">
                  <c:v>2.68</c:v>
                </c:pt>
                <c:pt idx="20">
                  <c:v>3.39</c:v>
                </c:pt>
                <c:pt idx="21">
                  <c:v>3.24</c:v>
                </c:pt>
              </c:numCache>
            </c:numRef>
          </c:val>
          <c:smooth val="0"/>
          <c:extLst>
            <c:ext xmlns:c16="http://schemas.microsoft.com/office/drawing/2014/chart" uri="{C3380CC4-5D6E-409C-BE32-E72D297353CC}">
              <c16:uniqueId val="{00000000-D3B4-49FF-9DFD-4397BD94217F}"/>
            </c:ext>
          </c:extLst>
        </c:ser>
        <c:dLbls>
          <c:showLegendKey val="0"/>
          <c:showVal val="0"/>
          <c:showCatName val="0"/>
          <c:showSerName val="0"/>
          <c:showPercent val="0"/>
          <c:showBubbleSize val="0"/>
        </c:dLbls>
        <c:marker val="1"/>
        <c:smooth val="0"/>
        <c:axId val="152471808"/>
        <c:axId val="152477696"/>
      </c:lineChart>
      <c:catAx>
        <c:axId val="152471808"/>
        <c:scaling>
          <c:orientation val="minMax"/>
        </c:scaling>
        <c:delete val="0"/>
        <c:axPos val="b"/>
        <c:numFmt formatCode="General" sourceLinked="1"/>
        <c:majorTickMark val="out"/>
        <c:minorTickMark val="none"/>
        <c:tickLblPos val="nextTo"/>
        <c:crossAx val="152477696"/>
        <c:crosses val="autoZero"/>
        <c:auto val="1"/>
        <c:lblAlgn val="ctr"/>
        <c:lblOffset val="100"/>
        <c:noMultiLvlLbl val="0"/>
      </c:catAx>
      <c:valAx>
        <c:axId val="152477696"/>
        <c:scaling>
          <c:orientation val="minMax"/>
        </c:scaling>
        <c:delete val="0"/>
        <c:axPos val="l"/>
        <c:majorGridlines/>
        <c:numFmt formatCode="General" sourceLinked="1"/>
        <c:majorTickMark val="out"/>
        <c:minorTickMark val="none"/>
        <c:tickLblPos val="nextTo"/>
        <c:crossAx val="152471808"/>
        <c:crosses val="autoZero"/>
        <c:crossBetween val="between"/>
      </c:valAx>
    </c:plotArea>
    <c:legend>
      <c:legendPos val="r"/>
      <c:overlay val="0"/>
    </c:legend>
    <c:plotVisOnly val="1"/>
    <c:dispBlanksAs val="gap"/>
    <c:showDLblsOverMax val="0"/>
  </c:chart>
  <c:printSettings>
    <c:headerFooter/>
    <c:pageMargins b="0.75000000000000522" l="0.70000000000000062" r="0.70000000000000062" t="0.7500000000000052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'Scatter Plot'!$B$3</c:f>
              <c:strCache>
                <c:ptCount val="1"/>
                <c:pt idx="0">
                  <c:v>Cost per day </c:v>
                </c:pt>
              </c:strCache>
            </c:strRef>
          </c:tx>
          <c:spPr>
            <a:ln w="28575">
              <a:noFill/>
            </a:ln>
          </c:spPr>
          <c:xVal>
            <c:numRef>
              <c:f>'Scatter Plot'!$A$4:$A$12</c:f>
              <c:numCache>
                <c:formatCode>General</c:formatCode>
                <c:ptCount val="9"/>
                <c:pt idx="0">
                  <c:v>23</c:v>
                </c:pt>
                <c:pt idx="1">
                  <c:v>26</c:v>
                </c:pt>
                <c:pt idx="2">
                  <c:v>29</c:v>
                </c:pt>
                <c:pt idx="3">
                  <c:v>33</c:v>
                </c:pt>
                <c:pt idx="4">
                  <c:v>38</c:v>
                </c:pt>
                <c:pt idx="5">
                  <c:v>42</c:v>
                </c:pt>
                <c:pt idx="6">
                  <c:v>50</c:v>
                </c:pt>
                <c:pt idx="7">
                  <c:v>55</c:v>
                </c:pt>
                <c:pt idx="8">
                  <c:v>60</c:v>
                </c:pt>
              </c:numCache>
            </c:numRef>
          </c:xVal>
          <c:yVal>
            <c:numRef>
              <c:f>'Scatter Plot'!$B$4:$B$12</c:f>
              <c:numCache>
                <c:formatCode>General</c:formatCode>
                <c:ptCount val="9"/>
                <c:pt idx="0">
                  <c:v>125</c:v>
                </c:pt>
                <c:pt idx="1">
                  <c:v>140</c:v>
                </c:pt>
                <c:pt idx="2">
                  <c:v>146</c:v>
                </c:pt>
                <c:pt idx="3">
                  <c:v>160</c:v>
                </c:pt>
                <c:pt idx="4">
                  <c:v>167</c:v>
                </c:pt>
                <c:pt idx="5">
                  <c:v>170</c:v>
                </c:pt>
                <c:pt idx="6">
                  <c:v>188</c:v>
                </c:pt>
                <c:pt idx="7">
                  <c:v>195</c:v>
                </c:pt>
                <c:pt idx="8">
                  <c:v>200</c:v>
                </c:pt>
              </c:numCache>
            </c:numRef>
          </c:yVal>
          <c:smooth val="0"/>
          <c:extLst>
            <c:ext xmlns:c16="http://schemas.microsoft.com/office/drawing/2014/chart" uri="{C3380CC4-5D6E-409C-BE32-E72D297353CC}">
              <c16:uniqueId val="{00000000-419A-438C-A604-1DB1DF0CBD1F}"/>
            </c:ext>
          </c:extLst>
        </c:ser>
        <c:dLbls>
          <c:showLegendKey val="0"/>
          <c:showVal val="0"/>
          <c:showCatName val="0"/>
          <c:showSerName val="0"/>
          <c:showPercent val="0"/>
          <c:showBubbleSize val="0"/>
        </c:dLbls>
        <c:axId val="152484480"/>
        <c:axId val="152555904"/>
      </c:scatterChart>
      <c:valAx>
        <c:axId val="152484480"/>
        <c:scaling>
          <c:orientation val="minMax"/>
        </c:scaling>
        <c:delete val="0"/>
        <c:axPos val="b"/>
        <c:numFmt formatCode="General" sourceLinked="1"/>
        <c:majorTickMark val="out"/>
        <c:minorTickMark val="none"/>
        <c:tickLblPos val="nextTo"/>
        <c:crossAx val="152555904"/>
        <c:crosses val="autoZero"/>
        <c:crossBetween val="midCat"/>
      </c:valAx>
      <c:valAx>
        <c:axId val="152555904"/>
        <c:scaling>
          <c:orientation val="minMax"/>
        </c:scaling>
        <c:delete val="0"/>
        <c:axPos val="l"/>
        <c:majorGridlines/>
        <c:numFmt formatCode="General" sourceLinked="1"/>
        <c:majorTickMark val="out"/>
        <c:minorTickMark val="none"/>
        <c:tickLblPos val="nextTo"/>
        <c:crossAx val="152484480"/>
        <c:crosses val="autoZero"/>
        <c:crossBetween val="midCat"/>
      </c:valAx>
    </c:plotArea>
    <c:legend>
      <c:legendPos val="r"/>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'Scatter Plot'!$A$17:$A$25</c:f>
              <c:numCache>
                <c:formatCode>General</c:formatCode>
                <c:ptCount val="9"/>
                <c:pt idx="0">
                  <c:v>23</c:v>
                </c:pt>
                <c:pt idx="1">
                  <c:v>26</c:v>
                </c:pt>
                <c:pt idx="2">
                  <c:v>29</c:v>
                </c:pt>
                <c:pt idx="3">
                  <c:v>33</c:v>
                </c:pt>
                <c:pt idx="4">
                  <c:v>38</c:v>
                </c:pt>
                <c:pt idx="5">
                  <c:v>42</c:v>
                </c:pt>
                <c:pt idx="6">
                  <c:v>50</c:v>
                </c:pt>
                <c:pt idx="7">
                  <c:v>55</c:v>
                </c:pt>
                <c:pt idx="8">
                  <c:v>60</c:v>
                </c:pt>
              </c:numCache>
            </c:numRef>
          </c:xVal>
          <c:yVal>
            <c:numRef>
              <c:f>'Scatter Plot'!$B$17:$B$25</c:f>
              <c:numCache>
                <c:formatCode>General</c:formatCode>
                <c:ptCount val="9"/>
                <c:pt idx="0">
                  <c:v>45</c:v>
                </c:pt>
                <c:pt idx="1">
                  <c:v>556</c:v>
                </c:pt>
                <c:pt idx="2">
                  <c:v>561</c:v>
                </c:pt>
                <c:pt idx="3">
                  <c:v>84</c:v>
                </c:pt>
                <c:pt idx="4">
                  <c:v>16</c:v>
                </c:pt>
                <c:pt idx="5">
                  <c:v>674</c:v>
                </c:pt>
                <c:pt idx="6">
                  <c:v>64</c:v>
                </c:pt>
                <c:pt idx="7">
                  <c:v>45</c:v>
                </c:pt>
                <c:pt idx="8">
                  <c:v>85</c:v>
                </c:pt>
              </c:numCache>
            </c:numRef>
          </c:yVal>
          <c:smooth val="0"/>
          <c:extLst>
            <c:ext xmlns:c16="http://schemas.microsoft.com/office/drawing/2014/chart" uri="{C3380CC4-5D6E-409C-BE32-E72D297353CC}">
              <c16:uniqueId val="{00000000-6E74-4131-B3BE-D97EBEB8FB55}"/>
            </c:ext>
          </c:extLst>
        </c:ser>
        <c:dLbls>
          <c:showLegendKey val="0"/>
          <c:showVal val="0"/>
          <c:showCatName val="0"/>
          <c:showSerName val="0"/>
          <c:showPercent val="0"/>
          <c:showBubbleSize val="0"/>
        </c:dLbls>
        <c:axId val="152571904"/>
        <c:axId val="152573440"/>
      </c:scatterChart>
      <c:valAx>
        <c:axId val="152571904"/>
        <c:scaling>
          <c:orientation val="minMax"/>
        </c:scaling>
        <c:delete val="0"/>
        <c:axPos val="b"/>
        <c:numFmt formatCode="General" sourceLinked="1"/>
        <c:majorTickMark val="out"/>
        <c:minorTickMark val="none"/>
        <c:tickLblPos val="nextTo"/>
        <c:crossAx val="152573440"/>
        <c:crosses val="autoZero"/>
        <c:crossBetween val="midCat"/>
      </c:valAx>
      <c:valAx>
        <c:axId val="152573440"/>
        <c:scaling>
          <c:orientation val="minMax"/>
        </c:scaling>
        <c:delete val="0"/>
        <c:axPos val="l"/>
        <c:majorGridlines/>
        <c:numFmt formatCode="General" sourceLinked="1"/>
        <c:majorTickMark val="out"/>
        <c:minorTickMark val="none"/>
        <c:tickLblPos val="nextTo"/>
        <c:crossAx val="152571904"/>
        <c:crosses val="autoZero"/>
        <c:crossBetween val="midCat"/>
      </c:valAx>
    </c:plotArea>
    <c:legend>
      <c:legendPos val="r"/>
      <c:overlay val="0"/>
    </c:legend>
    <c:plotVisOnly val="1"/>
    <c:dispBlanksAs val="gap"/>
    <c:showDLblsOverMax val="0"/>
  </c:chart>
  <c:printSettings>
    <c:headerFooter/>
    <c:pageMargins b="0.75000000000000466" l="0.70000000000000062" r="0.70000000000000062" t="0.7500000000000046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IN"/>
              <a:t>Histogram</a:t>
            </a:r>
          </a:p>
        </c:rich>
      </c:tx>
      <c:overlay val="0"/>
    </c:title>
    <c:autoTitleDeleted val="0"/>
    <c:plotArea>
      <c:layout/>
      <c:barChart>
        <c:barDir val="col"/>
        <c:grouping val="clustered"/>
        <c:varyColors val="0"/>
        <c:ser>
          <c:idx val="0"/>
          <c:order val="0"/>
          <c:tx>
            <c:v>Frequency</c:v>
          </c:tx>
          <c:invertIfNegative val="0"/>
          <c:cat>
            <c:strRef>
              <c:f>'Skewness and kurt'!$G$6:$G$18</c:f>
              <c:strCache>
                <c:ptCount val="13"/>
                <c:pt idx="0">
                  <c:v>0</c:v>
                </c:pt>
                <c:pt idx="1">
                  <c:v>15.25</c:v>
                </c:pt>
                <c:pt idx="2">
                  <c:v>30.5</c:v>
                </c:pt>
                <c:pt idx="3">
                  <c:v>45.75</c:v>
                </c:pt>
                <c:pt idx="4">
                  <c:v>61</c:v>
                </c:pt>
                <c:pt idx="5">
                  <c:v>76.25</c:v>
                </c:pt>
                <c:pt idx="6">
                  <c:v>91.5</c:v>
                </c:pt>
                <c:pt idx="7">
                  <c:v>106.75</c:v>
                </c:pt>
                <c:pt idx="8">
                  <c:v>122</c:v>
                </c:pt>
                <c:pt idx="9">
                  <c:v>137.25</c:v>
                </c:pt>
                <c:pt idx="10">
                  <c:v>152.5</c:v>
                </c:pt>
                <c:pt idx="11">
                  <c:v>167.75</c:v>
                </c:pt>
                <c:pt idx="12">
                  <c:v>More</c:v>
                </c:pt>
              </c:strCache>
            </c:strRef>
          </c:cat>
          <c:val>
            <c:numRef>
              <c:f>'Skewness and kurt'!$H$6:$H$18</c:f>
              <c:numCache>
                <c:formatCode>General</c:formatCode>
                <c:ptCount val="13"/>
                <c:pt idx="0">
                  <c:v>10</c:v>
                </c:pt>
                <c:pt idx="1">
                  <c:v>41</c:v>
                </c:pt>
                <c:pt idx="2">
                  <c:v>23</c:v>
                </c:pt>
                <c:pt idx="3">
                  <c:v>20</c:v>
                </c:pt>
                <c:pt idx="4">
                  <c:v>12</c:v>
                </c:pt>
                <c:pt idx="5">
                  <c:v>10</c:v>
                </c:pt>
                <c:pt idx="6">
                  <c:v>12</c:v>
                </c:pt>
                <c:pt idx="7">
                  <c:v>8</c:v>
                </c:pt>
                <c:pt idx="8">
                  <c:v>9</c:v>
                </c:pt>
                <c:pt idx="9">
                  <c:v>5</c:v>
                </c:pt>
                <c:pt idx="10">
                  <c:v>1</c:v>
                </c:pt>
                <c:pt idx="11">
                  <c:v>0</c:v>
                </c:pt>
                <c:pt idx="12">
                  <c:v>1</c:v>
                </c:pt>
              </c:numCache>
            </c:numRef>
          </c:val>
          <c:extLst>
            <c:ext xmlns:c16="http://schemas.microsoft.com/office/drawing/2014/chart" uri="{C3380CC4-5D6E-409C-BE32-E72D297353CC}">
              <c16:uniqueId val="{00000000-0559-456E-A5C7-872B67DEDDB5}"/>
            </c:ext>
          </c:extLst>
        </c:ser>
        <c:dLbls>
          <c:showLegendKey val="0"/>
          <c:showVal val="0"/>
          <c:showCatName val="0"/>
          <c:showSerName val="0"/>
          <c:showPercent val="0"/>
          <c:showBubbleSize val="0"/>
        </c:dLbls>
        <c:gapWidth val="150"/>
        <c:axId val="152819968"/>
        <c:axId val="152822144"/>
      </c:barChart>
      <c:catAx>
        <c:axId val="152819968"/>
        <c:scaling>
          <c:orientation val="minMax"/>
        </c:scaling>
        <c:delete val="0"/>
        <c:axPos val="b"/>
        <c:title>
          <c:tx>
            <c:rich>
              <a:bodyPr/>
              <a:lstStyle/>
              <a:p>
                <a:pPr>
                  <a:defRPr lang="en-US"/>
                </a:pPr>
                <a:r>
                  <a:rPr lang="en-IN"/>
                  <a:t>Bin</a:t>
                </a:r>
              </a:p>
            </c:rich>
          </c:tx>
          <c:overlay val="0"/>
        </c:title>
        <c:numFmt formatCode="General" sourceLinked="1"/>
        <c:majorTickMark val="out"/>
        <c:minorTickMark val="none"/>
        <c:tickLblPos val="nextTo"/>
        <c:txPr>
          <a:bodyPr/>
          <a:lstStyle/>
          <a:p>
            <a:pPr>
              <a:defRPr lang="en-US"/>
            </a:pPr>
            <a:endParaRPr lang="en-US"/>
          </a:p>
        </c:txPr>
        <c:crossAx val="152822144"/>
        <c:crosses val="autoZero"/>
        <c:auto val="1"/>
        <c:lblAlgn val="ctr"/>
        <c:lblOffset val="100"/>
        <c:noMultiLvlLbl val="0"/>
      </c:catAx>
      <c:valAx>
        <c:axId val="152822144"/>
        <c:scaling>
          <c:orientation val="minMax"/>
        </c:scaling>
        <c:delete val="0"/>
        <c:axPos val="l"/>
        <c:title>
          <c:tx>
            <c:rich>
              <a:bodyPr/>
              <a:lstStyle/>
              <a:p>
                <a:pPr>
                  <a:defRPr lang="en-US"/>
                </a:pPr>
                <a:r>
                  <a:rPr lang="en-IN"/>
                  <a:t>Frequency</a:t>
                </a:r>
              </a:p>
            </c:rich>
          </c:tx>
          <c:overlay val="0"/>
        </c:title>
        <c:numFmt formatCode="General" sourceLinked="1"/>
        <c:majorTickMark val="out"/>
        <c:minorTickMark val="none"/>
        <c:tickLblPos val="nextTo"/>
        <c:txPr>
          <a:bodyPr/>
          <a:lstStyle/>
          <a:p>
            <a:pPr>
              <a:defRPr lang="en-US"/>
            </a:pPr>
            <a:endParaRPr lang="en-US"/>
          </a:p>
        </c:txPr>
        <c:crossAx val="152819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677" l="0.70000000000000062" r="0.70000000000000062" t="0.75000000000000677"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'Skewness and kurt'!$J$19:$J$39</c:f>
              <c:strCache>
                <c:ptCount val="21"/>
                <c:pt idx="0">
                  <c:v>0</c:v>
                </c:pt>
                <c:pt idx="1">
                  <c:v>5</c:v>
                </c:pt>
                <c:pt idx="2">
                  <c:v>15</c:v>
                </c:pt>
                <c:pt idx="3">
                  <c:v>25</c:v>
                </c:pt>
                <c:pt idx="4">
                  <c:v>35</c:v>
                </c:pt>
                <c:pt idx="5">
                  <c:v>45</c:v>
                </c:pt>
                <c:pt idx="6">
                  <c:v>55</c:v>
                </c:pt>
                <c:pt idx="7">
                  <c:v>65</c:v>
                </c:pt>
                <c:pt idx="8">
                  <c:v>75</c:v>
                </c:pt>
                <c:pt idx="9">
                  <c:v>85</c:v>
                </c:pt>
                <c:pt idx="10">
                  <c:v>95</c:v>
                </c:pt>
                <c:pt idx="11">
                  <c:v>105</c:v>
                </c:pt>
                <c:pt idx="12">
                  <c:v>115</c:v>
                </c:pt>
                <c:pt idx="13">
                  <c:v>125</c:v>
                </c:pt>
                <c:pt idx="14">
                  <c:v>135</c:v>
                </c:pt>
                <c:pt idx="15">
                  <c:v>145</c:v>
                </c:pt>
                <c:pt idx="16">
                  <c:v>155</c:v>
                </c:pt>
                <c:pt idx="17">
                  <c:v>165</c:v>
                </c:pt>
                <c:pt idx="18">
                  <c:v>175</c:v>
                </c:pt>
                <c:pt idx="19">
                  <c:v>185</c:v>
                </c:pt>
                <c:pt idx="20">
                  <c:v>More</c:v>
                </c:pt>
              </c:strCache>
            </c:strRef>
          </c:cat>
          <c:val>
            <c:numRef>
              <c:f>'Skewness and kurt'!$K$19:$K$39</c:f>
              <c:numCache>
                <c:formatCode>General</c:formatCode>
                <c:ptCount val="21"/>
                <c:pt idx="0">
                  <c:v>10</c:v>
                </c:pt>
                <c:pt idx="1">
                  <c:v>19</c:v>
                </c:pt>
                <c:pt idx="2">
                  <c:v>22</c:v>
                </c:pt>
                <c:pt idx="3">
                  <c:v>18</c:v>
                </c:pt>
                <c:pt idx="4">
                  <c:v>16</c:v>
                </c:pt>
                <c:pt idx="5">
                  <c:v>9</c:v>
                </c:pt>
                <c:pt idx="6">
                  <c:v>8</c:v>
                </c:pt>
                <c:pt idx="7">
                  <c:v>7</c:v>
                </c:pt>
                <c:pt idx="8">
                  <c:v>7</c:v>
                </c:pt>
                <c:pt idx="9">
                  <c:v>8</c:v>
                </c:pt>
                <c:pt idx="10">
                  <c:v>5</c:v>
                </c:pt>
                <c:pt idx="11">
                  <c:v>6</c:v>
                </c:pt>
                <c:pt idx="12">
                  <c:v>8</c:v>
                </c:pt>
                <c:pt idx="13">
                  <c:v>3</c:v>
                </c:pt>
                <c:pt idx="14">
                  <c:v>3</c:v>
                </c:pt>
                <c:pt idx="15">
                  <c:v>2</c:v>
                </c:pt>
                <c:pt idx="16">
                  <c:v>0</c:v>
                </c:pt>
                <c:pt idx="17">
                  <c:v>0</c:v>
                </c:pt>
                <c:pt idx="18">
                  <c:v>0</c:v>
                </c:pt>
                <c:pt idx="19">
                  <c:v>1</c:v>
                </c:pt>
                <c:pt idx="20">
                  <c:v>0</c:v>
                </c:pt>
              </c:numCache>
            </c:numRef>
          </c:val>
          <c:extLst>
            <c:ext xmlns:c16="http://schemas.microsoft.com/office/drawing/2014/chart" uri="{C3380CC4-5D6E-409C-BE32-E72D297353CC}">
              <c16:uniqueId val="{00000001-99FC-43FD-8228-6BD691306FDA}"/>
            </c:ext>
          </c:extLst>
        </c:ser>
        <c:dLbls>
          <c:showLegendKey val="0"/>
          <c:showVal val="0"/>
          <c:showCatName val="0"/>
          <c:showSerName val="0"/>
          <c:showPercent val="0"/>
          <c:showBubbleSize val="0"/>
        </c:dLbls>
        <c:gapWidth val="150"/>
        <c:axId val="487135384"/>
        <c:axId val="487136368"/>
      </c:barChart>
      <c:catAx>
        <c:axId val="487135384"/>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487136368"/>
        <c:crosses val="autoZero"/>
        <c:auto val="1"/>
        <c:lblAlgn val="ctr"/>
        <c:lblOffset val="100"/>
        <c:noMultiLvlLbl val="0"/>
      </c:catAx>
      <c:valAx>
        <c:axId val="4871363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4871353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'Probability Distribution'!$D$376:$D$386</c:f>
              <c:numCache>
                <c:formatCode>General</c:formatCode>
                <c:ptCount val="11"/>
                <c:pt idx="0">
                  <c:v>9.765625E-4</c:v>
                </c:pt>
                <c:pt idx="1">
                  <c:v>9.7656250000000017E-3</c:v>
                </c:pt>
                <c:pt idx="2">
                  <c:v>4.3945312499999972E-2</c:v>
                </c:pt>
                <c:pt idx="3">
                  <c:v>0.11718750000000003</c:v>
                </c:pt>
                <c:pt idx="4">
                  <c:v>0.20507812500000006</c:v>
                </c:pt>
                <c:pt idx="5">
                  <c:v>0.24609375000000008</c:v>
                </c:pt>
                <c:pt idx="6">
                  <c:v>0.20507812500000006</c:v>
                </c:pt>
                <c:pt idx="7">
                  <c:v>0.11718750000000003</c:v>
                </c:pt>
                <c:pt idx="8">
                  <c:v>4.3945312499999986E-2</c:v>
                </c:pt>
                <c:pt idx="9">
                  <c:v>9.7656250000000017E-3</c:v>
                </c:pt>
                <c:pt idx="10">
                  <c:v>9.765625E-4</c:v>
                </c:pt>
              </c:numCache>
            </c:numRef>
          </c:val>
          <c:extLst>
            <c:ext xmlns:c16="http://schemas.microsoft.com/office/drawing/2014/chart" uri="{C3380CC4-5D6E-409C-BE32-E72D297353CC}">
              <c16:uniqueId val="{00000000-959B-4321-9094-8AC15DC6BDDF}"/>
            </c:ext>
          </c:extLst>
        </c:ser>
        <c:dLbls>
          <c:showLegendKey val="0"/>
          <c:showVal val="0"/>
          <c:showCatName val="0"/>
          <c:showSerName val="0"/>
          <c:showPercent val="0"/>
          <c:showBubbleSize val="0"/>
        </c:dLbls>
        <c:gapWidth val="150"/>
        <c:axId val="158419968"/>
        <c:axId val="158421760"/>
      </c:barChart>
      <c:catAx>
        <c:axId val="158419968"/>
        <c:scaling>
          <c:orientation val="minMax"/>
        </c:scaling>
        <c:delete val="0"/>
        <c:axPos val="b"/>
        <c:majorTickMark val="out"/>
        <c:minorTickMark val="none"/>
        <c:tickLblPos val="nextTo"/>
        <c:crossAx val="158421760"/>
        <c:crosses val="autoZero"/>
        <c:auto val="1"/>
        <c:lblAlgn val="ctr"/>
        <c:lblOffset val="100"/>
        <c:noMultiLvlLbl val="0"/>
      </c:catAx>
      <c:valAx>
        <c:axId val="158421760"/>
        <c:scaling>
          <c:orientation val="minMax"/>
        </c:scaling>
        <c:delete val="0"/>
        <c:axPos val="l"/>
        <c:majorGridlines/>
        <c:numFmt formatCode="General" sourceLinked="1"/>
        <c:majorTickMark val="out"/>
        <c:minorTickMark val="none"/>
        <c:tickLblPos val="nextTo"/>
        <c:crossAx val="158419968"/>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'Contiuous Probability'!$J$4:$J$24</c:f>
              <c:strCache>
                <c:ptCount val="21"/>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pt idx="20">
                  <c:v>More</c:v>
                </c:pt>
              </c:strCache>
            </c:strRef>
          </c:cat>
          <c:val>
            <c:numRef>
              <c:f>'Contiuous Probability'!$K$4:$K$24</c:f>
              <c:numCache>
                <c:formatCode>General</c:formatCode>
                <c:ptCount val="21"/>
                <c:pt idx="0">
                  <c:v>30</c:v>
                </c:pt>
                <c:pt idx="1">
                  <c:v>28</c:v>
                </c:pt>
                <c:pt idx="2">
                  <c:v>22</c:v>
                </c:pt>
                <c:pt idx="3">
                  <c:v>26</c:v>
                </c:pt>
                <c:pt idx="4">
                  <c:v>20</c:v>
                </c:pt>
                <c:pt idx="5">
                  <c:v>32</c:v>
                </c:pt>
                <c:pt idx="6">
                  <c:v>24</c:v>
                </c:pt>
                <c:pt idx="7">
                  <c:v>21</c:v>
                </c:pt>
                <c:pt idx="8">
                  <c:v>20</c:v>
                </c:pt>
                <c:pt idx="9">
                  <c:v>25</c:v>
                </c:pt>
                <c:pt idx="10">
                  <c:v>18</c:v>
                </c:pt>
                <c:pt idx="11">
                  <c:v>14</c:v>
                </c:pt>
                <c:pt idx="12">
                  <c:v>24</c:v>
                </c:pt>
                <c:pt idx="13">
                  <c:v>27</c:v>
                </c:pt>
                <c:pt idx="14">
                  <c:v>24</c:v>
                </c:pt>
                <c:pt idx="15">
                  <c:v>30</c:v>
                </c:pt>
                <c:pt idx="16">
                  <c:v>31</c:v>
                </c:pt>
                <c:pt idx="17">
                  <c:v>24</c:v>
                </c:pt>
                <c:pt idx="18">
                  <c:v>29</c:v>
                </c:pt>
                <c:pt idx="19">
                  <c:v>29</c:v>
                </c:pt>
                <c:pt idx="20">
                  <c:v>0</c:v>
                </c:pt>
              </c:numCache>
            </c:numRef>
          </c:val>
          <c:extLst>
            <c:ext xmlns:c16="http://schemas.microsoft.com/office/drawing/2014/chart" uri="{C3380CC4-5D6E-409C-BE32-E72D297353CC}">
              <c16:uniqueId val="{00000000-CE9F-4197-88E3-0AB5D3018DBE}"/>
            </c:ext>
          </c:extLst>
        </c:ser>
        <c:dLbls>
          <c:showLegendKey val="0"/>
          <c:showVal val="0"/>
          <c:showCatName val="0"/>
          <c:showSerName val="0"/>
          <c:showPercent val="0"/>
          <c:showBubbleSize val="0"/>
        </c:dLbls>
        <c:gapWidth val="150"/>
        <c:axId val="158660096"/>
        <c:axId val="158662016"/>
      </c:barChart>
      <c:catAx>
        <c:axId val="158660096"/>
        <c:scaling>
          <c:orientation val="minMax"/>
        </c:scaling>
        <c:delete val="0"/>
        <c:axPos val="b"/>
        <c:title>
          <c:tx>
            <c:rich>
              <a:bodyPr/>
              <a:lstStyle/>
              <a:p>
                <a:pPr>
                  <a:defRPr/>
                </a:pPr>
                <a:r>
                  <a:rPr lang="en-IN"/>
                  <a:t>0</a:t>
                </a:r>
              </a:p>
            </c:rich>
          </c:tx>
          <c:overlay val="0"/>
        </c:title>
        <c:numFmt formatCode="General" sourceLinked="0"/>
        <c:majorTickMark val="out"/>
        <c:minorTickMark val="none"/>
        <c:tickLblPos val="nextTo"/>
        <c:crossAx val="158662016"/>
        <c:crosses val="autoZero"/>
        <c:auto val="1"/>
        <c:lblAlgn val="ctr"/>
        <c:lblOffset val="100"/>
        <c:noMultiLvlLbl val="0"/>
      </c:catAx>
      <c:valAx>
        <c:axId val="15866201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8660096"/>
        <c:crosses val="autoZero"/>
        <c:crossBetween val="between"/>
      </c:valAx>
    </c:plotArea>
    <c:legend>
      <c:legendPos val="r"/>
      <c:overlay val="0"/>
    </c:legend>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'Contiuous Probability'!$V$19:$V$31</c:f>
              <c:strCache>
                <c:ptCount val="13"/>
                <c:pt idx="0">
                  <c:v>10</c:v>
                </c:pt>
                <c:pt idx="1">
                  <c:v>15</c:v>
                </c:pt>
                <c:pt idx="2">
                  <c:v>20</c:v>
                </c:pt>
                <c:pt idx="3">
                  <c:v>25</c:v>
                </c:pt>
                <c:pt idx="4">
                  <c:v>30</c:v>
                </c:pt>
                <c:pt idx="5">
                  <c:v>35</c:v>
                </c:pt>
                <c:pt idx="6">
                  <c:v>40</c:v>
                </c:pt>
                <c:pt idx="7">
                  <c:v>45</c:v>
                </c:pt>
                <c:pt idx="8">
                  <c:v>50</c:v>
                </c:pt>
                <c:pt idx="9">
                  <c:v>55</c:v>
                </c:pt>
                <c:pt idx="10">
                  <c:v>60</c:v>
                </c:pt>
                <c:pt idx="11">
                  <c:v>65</c:v>
                </c:pt>
                <c:pt idx="12">
                  <c:v>More</c:v>
                </c:pt>
              </c:strCache>
            </c:strRef>
          </c:cat>
          <c:val>
            <c:numRef>
              <c:f>'Contiuous Probability'!$W$19:$W$31</c:f>
              <c:numCache>
                <c:formatCode>General</c:formatCode>
                <c:ptCount val="13"/>
                <c:pt idx="0">
                  <c:v>0</c:v>
                </c:pt>
                <c:pt idx="1">
                  <c:v>0</c:v>
                </c:pt>
                <c:pt idx="2">
                  <c:v>28</c:v>
                </c:pt>
                <c:pt idx="3">
                  <c:v>95</c:v>
                </c:pt>
                <c:pt idx="4">
                  <c:v>263</c:v>
                </c:pt>
                <c:pt idx="5">
                  <c:v>343</c:v>
                </c:pt>
                <c:pt idx="6">
                  <c:v>276</c:v>
                </c:pt>
                <c:pt idx="7">
                  <c:v>192</c:v>
                </c:pt>
                <c:pt idx="8">
                  <c:v>130</c:v>
                </c:pt>
                <c:pt idx="9">
                  <c:v>96</c:v>
                </c:pt>
                <c:pt idx="10">
                  <c:v>47</c:v>
                </c:pt>
                <c:pt idx="11">
                  <c:v>0</c:v>
                </c:pt>
                <c:pt idx="12">
                  <c:v>0</c:v>
                </c:pt>
              </c:numCache>
            </c:numRef>
          </c:val>
          <c:extLst>
            <c:ext xmlns:c16="http://schemas.microsoft.com/office/drawing/2014/chart" uri="{C3380CC4-5D6E-409C-BE32-E72D297353CC}">
              <c16:uniqueId val="{00000000-E2E7-4CB1-BB14-01B4B2A2AE70}"/>
            </c:ext>
          </c:extLst>
        </c:ser>
        <c:dLbls>
          <c:showLegendKey val="0"/>
          <c:showVal val="0"/>
          <c:showCatName val="0"/>
          <c:showSerName val="0"/>
          <c:showPercent val="0"/>
          <c:showBubbleSize val="0"/>
        </c:dLbls>
        <c:gapWidth val="150"/>
        <c:axId val="158751744"/>
        <c:axId val="158762112"/>
      </c:barChart>
      <c:catAx>
        <c:axId val="158751744"/>
        <c:scaling>
          <c:orientation val="minMax"/>
        </c:scaling>
        <c:delete val="0"/>
        <c:axPos val="b"/>
        <c:title>
          <c:tx>
            <c:rich>
              <a:bodyPr/>
              <a:lstStyle/>
              <a:p>
                <a:pPr>
                  <a:defRPr/>
                </a:pPr>
                <a:r>
                  <a:rPr lang="en-IN"/>
                  <a:t>Bin</a:t>
                </a:r>
              </a:p>
            </c:rich>
          </c:tx>
          <c:overlay val="0"/>
        </c:title>
        <c:numFmt formatCode="General" sourceLinked="0"/>
        <c:majorTickMark val="out"/>
        <c:minorTickMark val="none"/>
        <c:tickLblPos val="nextTo"/>
        <c:crossAx val="158762112"/>
        <c:crosses val="autoZero"/>
        <c:auto val="1"/>
        <c:lblAlgn val="ctr"/>
        <c:lblOffset val="100"/>
        <c:noMultiLvlLbl val="0"/>
      </c:catAx>
      <c:valAx>
        <c:axId val="15876211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8751744"/>
        <c:crosses val="autoZero"/>
        <c:crossBetween val="between"/>
      </c:valAx>
    </c:plotArea>
    <c:legend>
      <c:legendPos val="r"/>
      <c:overlay val="0"/>
    </c:legend>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Sheet2!$E$4:$E$9</c:f>
              <c:numCache>
                <c:formatCode>General</c:formatCode>
                <c:ptCount val="6"/>
                <c:pt idx="0">
                  <c:v>9.765625E-4</c:v>
                </c:pt>
                <c:pt idx="1">
                  <c:v>9.7656250000000017E-3</c:v>
                </c:pt>
                <c:pt idx="2">
                  <c:v>4.3945312499999972E-2</c:v>
                </c:pt>
                <c:pt idx="3">
                  <c:v>0.11718750000000003</c:v>
                </c:pt>
                <c:pt idx="4">
                  <c:v>0.20507812500000006</c:v>
                </c:pt>
                <c:pt idx="5">
                  <c:v>0.24609375000000008</c:v>
                </c:pt>
              </c:numCache>
            </c:numRef>
          </c:val>
          <c:extLst>
            <c:ext xmlns:c16="http://schemas.microsoft.com/office/drawing/2014/chart" uri="{C3380CC4-5D6E-409C-BE32-E72D297353CC}">
              <c16:uniqueId val="{00000000-F0A3-4262-8070-AF4493F47FE9}"/>
            </c:ext>
          </c:extLst>
        </c:ser>
        <c:dLbls>
          <c:showLegendKey val="0"/>
          <c:showVal val="0"/>
          <c:showCatName val="0"/>
          <c:showSerName val="0"/>
          <c:showPercent val="0"/>
          <c:showBubbleSize val="0"/>
        </c:dLbls>
        <c:gapWidth val="150"/>
        <c:axId val="158581888"/>
        <c:axId val="158768512"/>
      </c:barChart>
      <c:catAx>
        <c:axId val="158581888"/>
        <c:scaling>
          <c:orientation val="minMax"/>
        </c:scaling>
        <c:delete val="0"/>
        <c:axPos val="b"/>
        <c:majorTickMark val="out"/>
        <c:minorTickMark val="none"/>
        <c:tickLblPos val="nextTo"/>
        <c:crossAx val="158768512"/>
        <c:crosses val="autoZero"/>
        <c:auto val="1"/>
        <c:lblAlgn val="ctr"/>
        <c:lblOffset val="100"/>
        <c:noMultiLvlLbl val="0"/>
      </c:catAx>
      <c:valAx>
        <c:axId val="158768512"/>
        <c:scaling>
          <c:orientation val="minMax"/>
        </c:scaling>
        <c:delete val="0"/>
        <c:axPos val="l"/>
        <c:majorGridlines/>
        <c:numFmt formatCode="General" sourceLinked="1"/>
        <c:majorTickMark val="out"/>
        <c:minorTickMark val="none"/>
        <c:tickLblPos val="nextTo"/>
        <c:crossAx val="158581888"/>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Sheet4!$G$20:$G$31</c:f>
              <c:strCache>
                <c:ptCount val="12"/>
                <c:pt idx="0">
                  <c:v>15</c:v>
                </c:pt>
                <c:pt idx="1">
                  <c:v>20</c:v>
                </c:pt>
                <c:pt idx="2">
                  <c:v>25</c:v>
                </c:pt>
                <c:pt idx="3">
                  <c:v>30</c:v>
                </c:pt>
                <c:pt idx="4">
                  <c:v>35</c:v>
                </c:pt>
                <c:pt idx="5">
                  <c:v>40</c:v>
                </c:pt>
                <c:pt idx="6">
                  <c:v>45</c:v>
                </c:pt>
                <c:pt idx="7">
                  <c:v>50</c:v>
                </c:pt>
                <c:pt idx="8">
                  <c:v>55</c:v>
                </c:pt>
                <c:pt idx="9">
                  <c:v>60</c:v>
                </c:pt>
                <c:pt idx="10">
                  <c:v>65</c:v>
                </c:pt>
                <c:pt idx="11">
                  <c:v>More</c:v>
                </c:pt>
              </c:strCache>
            </c:strRef>
          </c:cat>
          <c:val>
            <c:numRef>
              <c:f>Sheet4!$H$20:$H$31</c:f>
              <c:numCache>
                <c:formatCode>General</c:formatCode>
                <c:ptCount val="12"/>
                <c:pt idx="0">
                  <c:v>0</c:v>
                </c:pt>
                <c:pt idx="1">
                  <c:v>28</c:v>
                </c:pt>
                <c:pt idx="2">
                  <c:v>95</c:v>
                </c:pt>
                <c:pt idx="3">
                  <c:v>263</c:v>
                </c:pt>
                <c:pt idx="4">
                  <c:v>343</c:v>
                </c:pt>
                <c:pt idx="5">
                  <c:v>276</c:v>
                </c:pt>
                <c:pt idx="6">
                  <c:v>192</c:v>
                </c:pt>
                <c:pt idx="7">
                  <c:v>130</c:v>
                </c:pt>
                <c:pt idx="8">
                  <c:v>96</c:v>
                </c:pt>
                <c:pt idx="9">
                  <c:v>47</c:v>
                </c:pt>
                <c:pt idx="10">
                  <c:v>0</c:v>
                </c:pt>
                <c:pt idx="11">
                  <c:v>0</c:v>
                </c:pt>
              </c:numCache>
            </c:numRef>
          </c:val>
          <c:extLst>
            <c:ext xmlns:c16="http://schemas.microsoft.com/office/drawing/2014/chart" uri="{C3380CC4-5D6E-409C-BE32-E72D297353CC}">
              <c16:uniqueId val="{00000000-65C1-4184-95E0-C354A4A37F73}"/>
            </c:ext>
          </c:extLst>
        </c:ser>
        <c:dLbls>
          <c:showLegendKey val="0"/>
          <c:showVal val="0"/>
          <c:showCatName val="0"/>
          <c:showSerName val="0"/>
          <c:showPercent val="0"/>
          <c:showBubbleSize val="0"/>
        </c:dLbls>
        <c:gapWidth val="150"/>
        <c:axId val="159226496"/>
        <c:axId val="159236864"/>
      </c:barChart>
      <c:lineChart>
        <c:grouping val="standard"/>
        <c:varyColors val="0"/>
        <c:ser>
          <c:idx val="1"/>
          <c:order val="1"/>
          <c:tx>
            <c:v>Cumulative %</c:v>
          </c:tx>
          <c:cat>
            <c:strRef>
              <c:f>Sheet4!$G$20:$G$31</c:f>
              <c:strCache>
                <c:ptCount val="12"/>
                <c:pt idx="0">
                  <c:v>15</c:v>
                </c:pt>
                <c:pt idx="1">
                  <c:v>20</c:v>
                </c:pt>
                <c:pt idx="2">
                  <c:v>25</c:v>
                </c:pt>
                <c:pt idx="3">
                  <c:v>30</c:v>
                </c:pt>
                <c:pt idx="4">
                  <c:v>35</c:v>
                </c:pt>
                <c:pt idx="5">
                  <c:v>40</c:v>
                </c:pt>
                <c:pt idx="6">
                  <c:v>45</c:v>
                </c:pt>
                <c:pt idx="7">
                  <c:v>50</c:v>
                </c:pt>
                <c:pt idx="8">
                  <c:v>55</c:v>
                </c:pt>
                <c:pt idx="9">
                  <c:v>60</c:v>
                </c:pt>
                <c:pt idx="10">
                  <c:v>65</c:v>
                </c:pt>
                <c:pt idx="11">
                  <c:v>More</c:v>
                </c:pt>
              </c:strCache>
            </c:strRef>
          </c:cat>
          <c:val>
            <c:numRef>
              <c:f>Sheet4!$I$20:$I$31</c:f>
              <c:numCache>
                <c:formatCode>0.00%</c:formatCode>
                <c:ptCount val="12"/>
                <c:pt idx="0">
                  <c:v>0</c:v>
                </c:pt>
                <c:pt idx="1">
                  <c:v>1.9047619047619049E-2</c:v>
                </c:pt>
                <c:pt idx="2">
                  <c:v>8.3673469387755106E-2</c:v>
                </c:pt>
                <c:pt idx="3">
                  <c:v>0.26258503401360545</c:v>
                </c:pt>
                <c:pt idx="4">
                  <c:v>0.49591836734693878</c:v>
                </c:pt>
                <c:pt idx="5">
                  <c:v>0.68367346938775508</c:v>
                </c:pt>
                <c:pt idx="6">
                  <c:v>0.81428571428571428</c:v>
                </c:pt>
                <c:pt idx="7">
                  <c:v>0.90272108843537413</c:v>
                </c:pt>
                <c:pt idx="8">
                  <c:v>0.96802721088435373</c:v>
                </c:pt>
                <c:pt idx="9">
                  <c:v>1</c:v>
                </c:pt>
                <c:pt idx="10">
                  <c:v>1</c:v>
                </c:pt>
                <c:pt idx="11">
                  <c:v>1</c:v>
                </c:pt>
              </c:numCache>
            </c:numRef>
          </c:val>
          <c:smooth val="0"/>
          <c:extLst>
            <c:ext xmlns:c16="http://schemas.microsoft.com/office/drawing/2014/chart" uri="{C3380CC4-5D6E-409C-BE32-E72D297353CC}">
              <c16:uniqueId val="{00000001-65C1-4184-95E0-C354A4A37F73}"/>
            </c:ext>
          </c:extLst>
        </c:ser>
        <c:dLbls>
          <c:showLegendKey val="0"/>
          <c:showVal val="0"/>
          <c:showCatName val="0"/>
          <c:showSerName val="0"/>
          <c:showPercent val="0"/>
          <c:showBubbleSize val="0"/>
        </c:dLbls>
        <c:marker val="1"/>
        <c:smooth val="0"/>
        <c:axId val="159240576"/>
        <c:axId val="159238784"/>
      </c:lineChart>
      <c:catAx>
        <c:axId val="159226496"/>
        <c:scaling>
          <c:orientation val="minMax"/>
        </c:scaling>
        <c:delete val="0"/>
        <c:axPos val="b"/>
        <c:title>
          <c:tx>
            <c:rich>
              <a:bodyPr/>
              <a:lstStyle/>
              <a:p>
                <a:pPr>
                  <a:defRPr/>
                </a:pPr>
                <a:r>
                  <a:rPr lang="en-IN"/>
                  <a:t>Bin</a:t>
                </a:r>
              </a:p>
            </c:rich>
          </c:tx>
          <c:overlay val="0"/>
        </c:title>
        <c:numFmt formatCode="General" sourceLinked="0"/>
        <c:majorTickMark val="out"/>
        <c:minorTickMark val="none"/>
        <c:tickLblPos val="nextTo"/>
        <c:crossAx val="159236864"/>
        <c:crosses val="autoZero"/>
        <c:auto val="1"/>
        <c:lblAlgn val="ctr"/>
        <c:lblOffset val="100"/>
        <c:noMultiLvlLbl val="0"/>
      </c:catAx>
      <c:valAx>
        <c:axId val="15923686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9226496"/>
        <c:crosses val="autoZero"/>
        <c:crossBetween val="between"/>
      </c:valAx>
      <c:valAx>
        <c:axId val="159238784"/>
        <c:scaling>
          <c:orientation val="minMax"/>
        </c:scaling>
        <c:delete val="0"/>
        <c:axPos val="r"/>
        <c:numFmt formatCode="0.00%" sourceLinked="1"/>
        <c:majorTickMark val="out"/>
        <c:minorTickMark val="none"/>
        <c:tickLblPos val="nextTo"/>
        <c:crossAx val="159240576"/>
        <c:crosses val="max"/>
        <c:crossBetween val="between"/>
      </c:valAx>
      <c:catAx>
        <c:axId val="159240576"/>
        <c:scaling>
          <c:orientation val="minMax"/>
        </c:scaling>
        <c:delete val="1"/>
        <c:axPos val="b"/>
        <c:numFmt formatCode="General" sourceLinked="1"/>
        <c:majorTickMark val="out"/>
        <c:minorTickMark val="none"/>
        <c:tickLblPos val="nextTo"/>
        <c:crossAx val="159238784"/>
        <c:crosses val="autoZero"/>
        <c:auto val="1"/>
        <c:lblAlgn val="ctr"/>
        <c:lblOffset val="100"/>
        <c:noMultiLvlLbl val="0"/>
      </c:cat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'Freq. Dist'!$A$4:$A$9</c:f>
              <c:strCache>
                <c:ptCount val="6"/>
                <c:pt idx="0">
                  <c:v>20-30</c:v>
                </c:pt>
                <c:pt idx="1">
                  <c:v>30-40</c:v>
                </c:pt>
                <c:pt idx="2">
                  <c:v>40-50</c:v>
                </c:pt>
                <c:pt idx="3">
                  <c:v>50-60</c:v>
                </c:pt>
                <c:pt idx="4">
                  <c:v>60-70</c:v>
                </c:pt>
                <c:pt idx="5">
                  <c:v>70-80</c:v>
                </c:pt>
              </c:strCache>
            </c:strRef>
          </c:cat>
          <c:val>
            <c:numRef>
              <c:f>'Freq. Dist'!$B$4:$B$9</c:f>
              <c:numCache>
                <c:formatCode>General</c:formatCode>
                <c:ptCount val="6"/>
                <c:pt idx="0">
                  <c:v>5</c:v>
                </c:pt>
                <c:pt idx="1">
                  <c:v>8</c:v>
                </c:pt>
                <c:pt idx="2">
                  <c:v>9</c:v>
                </c:pt>
                <c:pt idx="3">
                  <c:v>10</c:v>
                </c:pt>
                <c:pt idx="4">
                  <c:v>6</c:v>
                </c:pt>
                <c:pt idx="5">
                  <c:v>2</c:v>
                </c:pt>
              </c:numCache>
            </c:numRef>
          </c:val>
          <c:extLst>
            <c:ext xmlns:c16="http://schemas.microsoft.com/office/drawing/2014/chart" uri="{C3380CC4-5D6E-409C-BE32-E72D297353CC}">
              <c16:uniqueId val="{00000000-ABF7-4DCD-9F2D-56E028D6AF63}"/>
            </c:ext>
          </c:extLst>
        </c:ser>
        <c:dLbls>
          <c:showLegendKey val="0"/>
          <c:showVal val="0"/>
          <c:showCatName val="0"/>
          <c:showSerName val="0"/>
          <c:showPercent val="0"/>
          <c:showBubbleSize val="0"/>
        </c:dLbls>
        <c:gapWidth val="150"/>
        <c:axId val="82701696"/>
        <c:axId val="82752640"/>
      </c:barChart>
      <c:catAx>
        <c:axId val="82701696"/>
        <c:scaling>
          <c:orientation val="minMax"/>
        </c:scaling>
        <c:delete val="0"/>
        <c:axPos val="b"/>
        <c:numFmt formatCode="General" sourceLinked="0"/>
        <c:majorTickMark val="out"/>
        <c:minorTickMark val="none"/>
        <c:tickLblPos val="nextTo"/>
        <c:crossAx val="82752640"/>
        <c:crosses val="autoZero"/>
        <c:auto val="1"/>
        <c:lblAlgn val="ctr"/>
        <c:lblOffset val="100"/>
        <c:noMultiLvlLbl val="0"/>
      </c:catAx>
      <c:valAx>
        <c:axId val="82752640"/>
        <c:scaling>
          <c:orientation val="minMax"/>
        </c:scaling>
        <c:delete val="0"/>
        <c:axPos val="l"/>
        <c:majorGridlines/>
        <c:numFmt formatCode="General" sourceLinked="1"/>
        <c:majorTickMark val="out"/>
        <c:minorTickMark val="none"/>
        <c:tickLblPos val="nextTo"/>
        <c:crossAx val="82701696"/>
        <c:crosses val="autoZero"/>
        <c:crossBetween val="between"/>
      </c:valAx>
    </c:plotArea>
    <c:legend>
      <c:legendPos val="r"/>
      <c:overlay val="0"/>
    </c:legend>
    <c:plotVisOnly val="1"/>
    <c:dispBlanksAs val="gap"/>
    <c:showDLblsOverMax val="0"/>
  </c:chart>
  <c:printSettings>
    <c:headerFooter/>
    <c:pageMargins b="0.75000000000000466" l="0.70000000000000062" r="0.70000000000000062" t="0.750000000000004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'Freq. Dist'!$A$4:$A$9</c:f>
              <c:strCache>
                <c:ptCount val="6"/>
                <c:pt idx="0">
                  <c:v>20-30</c:v>
                </c:pt>
                <c:pt idx="1">
                  <c:v>30-40</c:v>
                </c:pt>
                <c:pt idx="2">
                  <c:v>40-50</c:v>
                </c:pt>
                <c:pt idx="3">
                  <c:v>50-60</c:v>
                </c:pt>
                <c:pt idx="4">
                  <c:v>60-70</c:v>
                </c:pt>
                <c:pt idx="5">
                  <c:v>70-80</c:v>
                </c:pt>
              </c:strCache>
            </c:strRef>
          </c:cat>
          <c:val>
            <c:numRef>
              <c:f>'Freq. Dist'!$C$4:$C$9</c:f>
              <c:numCache>
                <c:formatCode>0.000</c:formatCode>
                <c:ptCount val="6"/>
                <c:pt idx="0">
                  <c:v>0.125</c:v>
                </c:pt>
                <c:pt idx="1">
                  <c:v>0.2</c:v>
                </c:pt>
                <c:pt idx="2">
                  <c:v>0.22500000000000001</c:v>
                </c:pt>
                <c:pt idx="3">
                  <c:v>0.25</c:v>
                </c:pt>
                <c:pt idx="4">
                  <c:v>0.15</c:v>
                </c:pt>
                <c:pt idx="5">
                  <c:v>0.05</c:v>
                </c:pt>
              </c:numCache>
            </c:numRef>
          </c:val>
          <c:extLst>
            <c:ext xmlns:c16="http://schemas.microsoft.com/office/drawing/2014/chart" uri="{C3380CC4-5D6E-409C-BE32-E72D297353CC}">
              <c16:uniqueId val="{00000000-B115-4570-A119-7C3EE36FF4C7}"/>
            </c:ext>
          </c:extLst>
        </c:ser>
        <c:dLbls>
          <c:showLegendKey val="0"/>
          <c:showVal val="0"/>
          <c:showCatName val="0"/>
          <c:showSerName val="0"/>
          <c:showPercent val="0"/>
          <c:showBubbleSize val="0"/>
        </c:dLbls>
        <c:gapWidth val="150"/>
        <c:axId val="145904000"/>
        <c:axId val="145905536"/>
      </c:barChart>
      <c:catAx>
        <c:axId val="145904000"/>
        <c:scaling>
          <c:orientation val="minMax"/>
        </c:scaling>
        <c:delete val="0"/>
        <c:axPos val="b"/>
        <c:numFmt formatCode="General" sourceLinked="0"/>
        <c:majorTickMark val="out"/>
        <c:minorTickMark val="none"/>
        <c:tickLblPos val="nextTo"/>
        <c:crossAx val="145905536"/>
        <c:crosses val="autoZero"/>
        <c:auto val="1"/>
        <c:lblAlgn val="ctr"/>
        <c:lblOffset val="100"/>
        <c:noMultiLvlLbl val="0"/>
      </c:catAx>
      <c:valAx>
        <c:axId val="145905536"/>
        <c:scaling>
          <c:orientation val="minMax"/>
        </c:scaling>
        <c:delete val="0"/>
        <c:axPos val="l"/>
        <c:majorGridlines/>
        <c:numFmt formatCode="0.000" sourceLinked="1"/>
        <c:majorTickMark val="out"/>
        <c:minorTickMark val="none"/>
        <c:tickLblPos val="nextTo"/>
        <c:crossAx val="14590400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'Ogives and Hist.'!$G$12:$G$15</c:f>
              <c:numCache>
                <c:formatCode>General</c:formatCode>
                <c:ptCount val="4"/>
                <c:pt idx="0">
                  <c:v>10</c:v>
                </c:pt>
                <c:pt idx="1">
                  <c:v>30</c:v>
                </c:pt>
                <c:pt idx="2">
                  <c:v>50</c:v>
                </c:pt>
                <c:pt idx="3">
                  <c:v>70</c:v>
                </c:pt>
              </c:numCache>
            </c:numRef>
          </c:val>
          <c:extLst>
            <c:ext xmlns:c16="http://schemas.microsoft.com/office/drawing/2014/chart" uri="{C3380CC4-5D6E-409C-BE32-E72D297353CC}">
              <c16:uniqueId val="{00000000-C7E2-4AB8-8BC8-9E8789394BC3}"/>
            </c:ext>
          </c:extLst>
        </c:ser>
        <c:ser>
          <c:idx val="1"/>
          <c:order val="1"/>
          <c:invertIfNegative val="0"/>
          <c:val>
            <c:numRef>
              <c:f>'Ogives and Hist.'!$H$12:$H$15</c:f>
              <c:numCache>
                <c:formatCode>General</c:formatCode>
                <c:ptCount val="4"/>
                <c:pt idx="0">
                  <c:v>0</c:v>
                </c:pt>
                <c:pt idx="1">
                  <c:v>10</c:v>
                </c:pt>
                <c:pt idx="2">
                  <c:v>8</c:v>
                </c:pt>
                <c:pt idx="3">
                  <c:v>2</c:v>
                </c:pt>
              </c:numCache>
            </c:numRef>
          </c:val>
          <c:extLst>
            <c:ext xmlns:c16="http://schemas.microsoft.com/office/drawing/2014/chart" uri="{C3380CC4-5D6E-409C-BE32-E72D297353CC}">
              <c16:uniqueId val="{00000001-C7E2-4AB8-8BC8-9E8789394BC3}"/>
            </c:ext>
          </c:extLst>
        </c:ser>
        <c:dLbls>
          <c:showLegendKey val="0"/>
          <c:showVal val="0"/>
          <c:showCatName val="0"/>
          <c:showSerName val="0"/>
          <c:showPercent val="0"/>
          <c:showBubbleSize val="0"/>
        </c:dLbls>
        <c:gapWidth val="150"/>
        <c:axId val="146671872"/>
        <c:axId val="146677760"/>
      </c:barChart>
      <c:catAx>
        <c:axId val="146671872"/>
        <c:scaling>
          <c:orientation val="minMax"/>
        </c:scaling>
        <c:delete val="0"/>
        <c:axPos val="b"/>
        <c:majorTickMark val="out"/>
        <c:minorTickMark val="none"/>
        <c:tickLblPos val="nextTo"/>
        <c:crossAx val="146677760"/>
        <c:crosses val="autoZero"/>
        <c:auto val="1"/>
        <c:lblAlgn val="ctr"/>
        <c:lblOffset val="100"/>
        <c:noMultiLvlLbl val="0"/>
      </c:catAx>
      <c:valAx>
        <c:axId val="146677760"/>
        <c:scaling>
          <c:orientation val="minMax"/>
        </c:scaling>
        <c:delete val="0"/>
        <c:axPos val="l"/>
        <c:majorGridlines/>
        <c:numFmt formatCode="General" sourceLinked="1"/>
        <c:majorTickMark val="out"/>
        <c:minorTickMark val="none"/>
        <c:tickLblPos val="nextTo"/>
        <c:crossAx val="146671872"/>
        <c:crosses val="autoZero"/>
        <c:crossBetween val="between"/>
      </c:valAx>
    </c:plotArea>
    <c:legend>
      <c:legendPos val="r"/>
      <c:overlay val="0"/>
    </c:legend>
    <c:plotVisOnly val="1"/>
    <c:dispBlanksAs val="gap"/>
    <c:showDLblsOverMax val="0"/>
  </c:chart>
  <c:printSettings>
    <c:headerFooter/>
    <c:pageMargins b="0.75000000000000655" l="0.70000000000000062" r="0.70000000000000062" t="0.750000000000006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488407699037621E-2"/>
          <c:y val="7.4290748258543912E-2"/>
          <c:w val="0.73970734908136448"/>
          <c:h val="0.79892324878075349"/>
        </c:manualLayout>
      </c:layout>
      <c:barChart>
        <c:barDir val="col"/>
        <c:grouping val="clustered"/>
        <c:varyColors val="0"/>
        <c:ser>
          <c:idx val="0"/>
          <c:order val="0"/>
          <c:invertIfNegative val="0"/>
          <c:val>
            <c:numRef>
              <c:f>'Ogives and Hist.'!$H$12:$H$15</c:f>
              <c:numCache>
                <c:formatCode>General</c:formatCode>
                <c:ptCount val="4"/>
                <c:pt idx="0">
                  <c:v>0</c:v>
                </c:pt>
                <c:pt idx="1">
                  <c:v>10</c:v>
                </c:pt>
                <c:pt idx="2">
                  <c:v>8</c:v>
                </c:pt>
                <c:pt idx="3">
                  <c:v>2</c:v>
                </c:pt>
              </c:numCache>
            </c:numRef>
          </c:val>
          <c:extLst>
            <c:ext xmlns:c16="http://schemas.microsoft.com/office/drawing/2014/chart" uri="{C3380CC4-5D6E-409C-BE32-E72D297353CC}">
              <c16:uniqueId val="{00000000-843D-445F-A0C1-95CE65DB3EE7}"/>
            </c:ext>
          </c:extLst>
        </c:ser>
        <c:dLbls>
          <c:showLegendKey val="0"/>
          <c:showVal val="0"/>
          <c:showCatName val="0"/>
          <c:showSerName val="0"/>
          <c:showPercent val="0"/>
          <c:showBubbleSize val="0"/>
        </c:dLbls>
        <c:gapWidth val="150"/>
        <c:axId val="146689024"/>
        <c:axId val="146703104"/>
      </c:barChart>
      <c:catAx>
        <c:axId val="146689024"/>
        <c:scaling>
          <c:orientation val="minMax"/>
        </c:scaling>
        <c:delete val="0"/>
        <c:axPos val="b"/>
        <c:majorTickMark val="out"/>
        <c:minorTickMark val="none"/>
        <c:tickLblPos val="nextTo"/>
        <c:crossAx val="146703104"/>
        <c:crosses val="autoZero"/>
        <c:auto val="1"/>
        <c:lblAlgn val="ctr"/>
        <c:lblOffset val="100"/>
        <c:noMultiLvlLbl val="0"/>
      </c:catAx>
      <c:valAx>
        <c:axId val="146703104"/>
        <c:scaling>
          <c:orientation val="minMax"/>
        </c:scaling>
        <c:delete val="0"/>
        <c:axPos val="l"/>
        <c:majorGridlines/>
        <c:numFmt formatCode="General" sourceLinked="1"/>
        <c:majorTickMark val="out"/>
        <c:minorTickMark val="none"/>
        <c:tickLblPos val="nextTo"/>
        <c:crossAx val="146689024"/>
        <c:crosses val="autoZero"/>
        <c:crossBetween val="between"/>
      </c:valAx>
    </c:plotArea>
    <c:legend>
      <c:legendPos val="r"/>
      <c:overlay val="0"/>
    </c:legend>
    <c:plotVisOnly val="1"/>
    <c:dispBlanksAs val="gap"/>
    <c:showDLblsOverMax val="0"/>
  </c:chart>
  <c:printSettings>
    <c:headerFooter/>
    <c:pageMargins b="0.75000000000000655" l="0.70000000000000062" r="0.70000000000000062" t="0.750000000000006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'Ogives and Hist.'!$L$2:$L$9</c:f>
              <c:numCache>
                <c:formatCode>0.00%</c:formatCode>
                <c:ptCount val="8"/>
                <c:pt idx="0">
                  <c:v>0</c:v>
                </c:pt>
                <c:pt idx="1">
                  <c:v>0</c:v>
                </c:pt>
                <c:pt idx="2">
                  <c:v>0.15</c:v>
                </c:pt>
                <c:pt idx="3">
                  <c:v>0.5</c:v>
                </c:pt>
                <c:pt idx="4">
                  <c:v>0.7</c:v>
                </c:pt>
                <c:pt idx="5">
                  <c:v>0.9</c:v>
                </c:pt>
                <c:pt idx="6">
                  <c:v>1</c:v>
                </c:pt>
                <c:pt idx="7">
                  <c:v>1</c:v>
                </c:pt>
              </c:numCache>
            </c:numRef>
          </c:val>
          <c:smooth val="0"/>
          <c:extLst>
            <c:ext xmlns:c16="http://schemas.microsoft.com/office/drawing/2014/chart" uri="{C3380CC4-5D6E-409C-BE32-E72D297353CC}">
              <c16:uniqueId val="{00000000-C04A-4DBF-A90C-337051C2E1E9}"/>
            </c:ext>
          </c:extLst>
        </c:ser>
        <c:dLbls>
          <c:showLegendKey val="0"/>
          <c:showVal val="0"/>
          <c:showCatName val="0"/>
          <c:showSerName val="0"/>
          <c:showPercent val="0"/>
          <c:showBubbleSize val="0"/>
        </c:dLbls>
        <c:smooth val="0"/>
        <c:axId val="146731008"/>
        <c:axId val="146732544"/>
      </c:lineChart>
      <c:catAx>
        <c:axId val="146731008"/>
        <c:scaling>
          <c:orientation val="minMax"/>
        </c:scaling>
        <c:delete val="0"/>
        <c:axPos val="b"/>
        <c:majorTickMark val="out"/>
        <c:minorTickMark val="none"/>
        <c:tickLblPos val="nextTo"/>
        <c:crossAx val="146732544"/>
        <c:crosses val="autoZero"/>
        <c:auto val="1"/>
        <c:lblAlgn val="ctr"/>
        <c:lblOffset val="100"/>
        <c:noMultiLvlLbl val="0"/>
      </c:catAx>
      <c:valAx>
        <c:axId val="146732544"/>
        <c:scaling>
          <c:orientation val="minMax"/>
        </c:scaling>
        <c:delete val="0"/>
        <c:axPos val="l"/>
        <c:majorGridlines/>
        <c:numFmt formatCode="0.00%" sourceLinked="1"/>
        <c:majorTickMark val="out"/>
        <c:minorTickMark val="none"/>
        <c:tickLblPos val="nextTo"/>
        <c:crossAx val="146731008"/>
        <c:crosses val="autoZero"/>
        <c:crossBetween val="between"/>
      </c:valAx>
    </c:plotArea>
    <c:legend>
      <c:legendPos val="r"/>
      <c:overlay val="0"/>
    </c:legend>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'Ogives and Hist.'!$L$48:$L$53</c:f>
              <c:numCache>
                <c:formatCode>General</c:formatCode>
                <c:ptCount val="6"/>
                <c:pt idx="0">
                  <c:v>0.125</c:v>
                </c:pt>
                <c:pt idx="1">
                  <c:v>0.375</c:v>
                </c:pt>
                <c:pt idx="2">
                  <c:v>0.52500000000000002</c:v>
                </c:pt>
                <c:pt idx="3">
                  <c:v>0.65</c:v>
                </c:pt>
                <c:pt idx="4">
                  <c:v>0.8</c:v>
                </c:pt>
                <c:pt idx="5">
                  <c:v>1</c:v>
                </c:pt>
              </c:numCache>
            </c:numRef>
          </c:val>
          <c:smooth val="0"/>
          <c:extLst>
            <c:ext xmlns:c16="http://schemas.microsoft.com/office/drawing/2014/chart" uri="{C3380CC4-5D6E-409C-BE32-E72D297353CC}">
              <c16:uniqueId val="{00000000-01EF-4947-ADB6-3E17C3B2D730}"/>
            </c:ext>
          </c:extLst>
        </c:ser>
        <c:dLbls>
          <c:showLegendKey val="0"/>
          <c:showVal val="0"/>
          <c:showCatName val="0"/>
          <c:showSerName val="0"/>
          <c:showPercent val="0"/>
          <c:showBubbleSize val="0"/>
        </c:dLbls>
        <c:marker val="1"/>
        <c:smooth val="0"/>
        <c:axId val="146887424"/>
        <c:axId val="146888960"/>
      </c:lineChart>
      <c:catAx>
        <c:axId val="146887424"/>
        <c:scaling>
          <c:orientation val="minMax"/>
        </c:scaling>
        <c:delete val="0"/>
        <c:axPos val="b"/>
        <c:majorTickMark val="out"/>
        <c:minorTickMark val="none"/>
        <c:tickLblPos val="nextTo"/>
        <c:crossAx val="146888960"/>
        <c:crosses val="autoZero"/>
        <c:auto val="1"/>
        <c:lblAlgn val="ctr"/>
        <c:lblOffset val="100"/>
        <c:noMultiLvlLbl val="0"/>
      </c:catAx>
      <c:valAx>
        <c:axId val="146888960"/>
        <c:scaling>
          <c:orientation val="minMax"/>
        </c:scaling>
        <c:delete val="0"/>
        <c:axPos val="l"/>
        <c:majorGridlines/>
        <c:numFmt formatCode="General" sourceLinked="1"/>
        <c:majorTickMark val="out"/>
        <c:minorTickMark val="none"/>
        <c:tickLblPos val="nextTo"/>
        <c:crossAx val="146887424"/>
        <c:crosses val="autoZero"/>
        <c:crossBetween val="between"/>
      </c:valAx>
    </c:plotArea>
    <c:legend>
      <c:legendPos val="r"/>
      <c:overlay val="0"/>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'Ogives and Hist.'!$K$48:$K$53</c:f>
              <c:numCache>
                <c:formatCode>General</c:formatCode>
                <c:ptCount val="6"/>
                <c:pt idx="0">
                  <c:v>0.125</c:v>
                </c:pt>
                <c:pt idx="1">
                  <c:v>0.25</c:v>
                </c:pt>
                <c:pt idx="2">
                  <c:v>0.15</c:v>
                </c:pt>
                <c:pt idx="3">
                  <c:v>0.125</c:v>
                </c:pt>
                <c:pt idx="4">
                  <c:v>0.15</c:v>
                </c:pt>
                <c:pt idx="5">
                  <c:v>0.2</c:v>
                </c:pt>
              </c:numCache>
            </c:numRef>
          </c:val>
          <c:smooth val="0"/>
          <c:extLst>
            <c:ext xmlns:c16="http://schemas.microsoft.com/office/drawing/2014/chart" uri="{C3380CC4-5D6E-409C-BE32-E72D297353CC}">
              <c16:uniqueId val="{00000000-2207-4E6F-8514-CB083A6238D6}"/>
            </c:ext>
          </c:extLst>
        </c:ser>
        <c:dLbls>
          <c:showLegendKey val="0"/>
          <c:showVal val="0"/>
          <c:showCatName val="0"/>
          <c:showSerName val="0"/>
          <c:showPercent val="0"/>
          <c:showBubbleSize val="0"/>
        </c:dLbls>
        <c:marker val="1"/>
        <c:smooth val="0"/>
        <c:axId val="146912768"/>
        <c:axId val="146914304"/>
      </c:lineChart>
      <c:catAx>
        <c:axId val="146912768"/>
        <c:scaling>
          <c:orientation val="minMax"/>
        </c:scaling>
        <c:delete val="0"/>
        <c:axPos val="b"/>
        <c:majorTickMark val="out"/>
        <c:minorTickMark val="none"/>
        <c:tickLblPos val="nextTo"/>
        <c:crossAx val="146914304"/>
        <c:crosses val="autoZero"/>
        <c:auto val="1"/>
        <c:lblAlgn val="ctr"/>
        <c:lblOffset val="100"/>
        <c:noMultiLvlLbl val="0"/>
      </c:catAx>
      <c:valAx>
        <c:axId val="146914304"/>
        <c:scaling>
          <c:orientation val="minMax"/>
        </c:scaling>
        <c:delete val="0"/>
        <c:axPos val="l"/>
        <c:majorGridlines/>
        <c:numFmt formatCode="General" sourceLinked="1"/>
        <c:majorTickMark val="out"/>
        <c:minorTickMark val="none"/>
        <c:tickLblPos val="nextTo"/>
        <c:crossAx val="146912768"/>
        <c:crosses val="autoZero"/>
        <c:crossBetween val="between"/>
      </c:valAx>
    </c:plotArea>
    <c:legend>
      <c:legendPos val="r"/>
      <c:overlay val="0"/>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15.jpe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285750</xdr:colOff>
      <xdr:row>2</xdr:row>
      <xdr:rowOff>266700</xdr:rowOff>
    </xdr:from>
    <xdr:to>
      <xdr:col>13</xdr:col>
      <xdr:colOff>133350</xdr:colOff>
      <xdr:row>13</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1371600</xdr:colOff>
      <xdr:row>15</xdr:row>
      <xdr:rowOff>38100</xdr:rowOff>
    </xdr:from>
    <xdr:to>
      <xdr:col>9</xdr:col>
      <xdr:colOff>142875</xdr:colOff>
      <xdr:row>26</xdr:row>
      <xdr:rowOff>57150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12</xdr:row>
      <xdr:rowOff>57150</xdr:rowOff>
    </xdr:from>
    <xdr:to>
      <xdr:col>3</xdr:col>
      <xdr:colOff>1057275</xdr:colOff>
      <xdr:row>23</xdr:row>
      <xdr:rowOff>76200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15</xdr:row>
      <xdr:rowOff>28575</xdr:rowOff>
    </xdr:from>
    <xdr:to>
      <xdr:col>17</xdr:col>
      <xdr:colOff>342900</xdr:colOff>
      <xdr:row>26</xdr:row>
      <xdr:rowOff>47625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600075</xdr:colOff>
      <xdr:row>2</xdr:row>
      <xdr:rowOff>0</xdr:rowOff>
    </xdr:from>
    <xdr:to>
      <xdr:col>17</xdr:col>
      <xdr:colOff>600075</xdr:colOff>
      <xdr:row>12</xdr:row>
      <xdr:rowOff>0</xdr:rowOff>
    </xdr:to>
    <xdr:graphicFrame macro="">
      <xdr:nvGraphicFramePr>
        <xdr:cNvPr id="6" name="Chart 5">
          <a:extLst>
            <a:ext uri="{FF2B5EF4-FFF2-40B4-BE49-F238E27FC236}">
              <a16:creationId xmlns:a16="http://schemas.microsoft.com/office/drawing/2014/main" id="{00000000-0008-0000-1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1047749</xdr:colOff>
      <xdr:row>17</xdr:row>
      <xdr:rowOff>1</xdr:rowOff>
    </xdr:from>
    <xdr:to>
      <xdr:col>31</xdr:col>
      <xdr:colOff>104774</xdr:colOff>
      <xdr:row>31</xdr:row>
      <xdr:rowOff>47625</xdr:rowOff>
    </xdr:to>
    <xdr:graphicFrame macro="">
      <xdr:nvGraphicFramePr>
        <xdr:cNvPr id="3" name="Chart 2">
          <a:extLst>
            <a:ext uri="{FF2B5EF4-FFF2-40B4-BE49-F238E27FC236}">
              <a16:creationId xmlns:a16="http://schemas.microsoft.com/office/drawing/2014/main" id="{00000000-0008-0000-1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604112</xdr:colOff>
      <xdr:row>7</xdr:row>
      <xdr:rowOff>38100</xdr:rowOff>
    </xdr:from>
    <xdr:to>
      <xdr:col>9</xdr:col>
      <xdr:colOff>125186</xdr:colOff>
      <xdr:row>20</xdr:row>
      <xdr:rowOff>38100</xdr:rowOff>
    </xdr:to>
    <xdr:pic>
      <xdr:nvPicPr>
        <xdr:cNvPr id="1025" name="Picture 1">
          <a:extLst>
            <a:ext uri="{FF2B5EF4-FFF2-40B4-BE49-F238E27FC236}">
              <a16:creationId xmlns:a16="http://schemas.microsoft.com/office/drawing/2014/main" id="{00000000-0008-0000-16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04112" y="1371600"/>
          <a:ext cx="5272813" cy="2476500"/>
        </a:xfrm>
        <a:prstGeom prst="rect">
          <a:avLst/>
        </a:prstGeom>
        <a:noFill/>
        <a:ln w="1">
          <a:noFill/>
          <a:miter lim="800000"/>
          <a:headEnd/>
          <a:tailEnd type="none" w="med" len="med"/>
        </a:ln>
        <a:effectLst/>
      </xdr:spPr>
    </xdr:pic>
    <xdr:clientData/>
  </xdr:twoCellAnchor>
  <xdr:twoCellAnchor editAs="oneCell">
    <xdr:from>
      <xdr:col>1</xdr:col>
      <xdr:colOff>54428</xdr:colOff>
      <xdr:row>23</xdr:row>
      <xdr:rowOff>115660</xdr:rowOff>
    </xdr:from>
    <xdr:to>
      <xdr:col>8</xdr:col>
      <xdr:colOff>555032</xdr:colOff>
      <xdr:row>36</xdr:row>
      <xdr:rowOff>118381</xdr:rowOff>
    </xdr:to>
    <xdr:pic>
      <xdr:nvPicPr>
        <xdr:cNvPr id="1026" name="Picture 2">
          <a:extLst>
            <a:ext uri="{FF2B5EF4-FFF2-40B4-BE49-F238E27FC236}">
              <a16:creationId xmlns:a16="http://schemas.microsoft.com/office/drawing/2014/main" id="{00000000-0008-0000-1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66749" y="4497160"/>
          <a:ext cx="5052194" cy="2479221"/>
        </a:xfrm>
        <a:prstGeom prst="rect">
          <a:avLst/>
        </a:prstGeom>
        <a:noFill/>
        <a:ln w="1">
          <a:noFill/>
          <a:miter lim="800000"/>
          <a:headEnd/>
          <a:tailEnd type="none" w="med" len="med"/>
        </a:ln>
        <a:effectLst/>
      </xdr:spPr>
    </xdr:pic>
    <xdr:clientData/>
  </xdr:twoCellAnchor>
  <xdr:twoCellAnchor editAs="oneCell">
    <xdr:from>
      <xdr:col>1</xdr:col>
      <xdr:colOff>81643</xdr:colOff>
      <xdr:row>46</xdr:row>
      <xdr:rowOff>122464</xdr:rowOff>
    </xdr:from>
    <xdr:to>
      <xdr:col>8</xdr:col>
      <xdr:colOff>299222</xdr:colOff>
      <xdr:row>58</xdr:row>
      <xdr:rowOff>54428</xdr:rowOff>
    </xdr:to>
    <xdr:pic>
      <xdr:nvPicPr>
        <xdr:cNvPr id="1027" name="Picture 3">
          <a:extLst>
            <a:ext uri="{FF2B5EF4-FFF2-40B4-BE49-F238E27FC236}">
              <a16:creationId xmlns:a16="http://schemas.microsoft.com/office/drawing/2014/main" id="{00000000-0008-0000-16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693964" y="8885464"/>
          <a:ext cx="4769169" cy="2217964"/>
        </a:xfrm>
        <a:prstGeom prst="rect">
          <a:avLst/>
        </a:prstGeom>
        <a:noFill/>
        <a:ln w="1">
          <a:noFill/>
          <a:miter lim="800000"/>
          <a:headEnd/>
          <a:tailEnd type="none" w="med" len="med"/>
        </a:ln>
        <a:effectLst/>
      </xdr:spPr>
    </xdr:pic>
    <xdr:clientData/>
  </xdr:twoCellAnchor>
  <xdr:twoCellAnchor editAs="oneCell">
    <xdr:from>
      <xdr:col>0</xdr:col>
      <xdr:colOff>585108</xdr:colOff>
      <xdr:row>70</xdr:row>
      <xdr:rowOff>5417</xdr:rowOff>
    </xdr:from>
    <xdr:to>
      <xdr:col>8</xdr:col>
      <xdr:colOff>534761</xdr:colOff>
      <xdr:row>82</xdr:row>
      <xdr:rowOff>39460</xdr:rowOff>
    </xdr:to>
    <xdr:pic>
      <xdr:nvPicPr>
        <xdr:cNvPr id="1028" name="Picture 4">
          <a:extLst>
            <a:ext uri="{FF2B5EF4-FFF2-40B4-BE49-F238E27FC236}">
              <a16:creationId xmlns:a16="http://schemas.microsoft.com/office/drawing/2014/main" id="{00000000-0008-0000-1600-00000404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585108" y="13340417"/>
          <a:ext cx="5113564" cy="2320043"/>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6</xdr:col>
      <xdr:colOff>411973</xdr:colOff>
      <xdr:row>39</xdr:row>
      <xdr:rowOff>0</xdr:rowOff>
    </xdr:to>
    <xdr:pic>
      <xdr:nvPicPr>
        <xdr:cNvPr id="3073" name="Picture 1">
          <a:extLst>
            <a:ext uri="{FF2B5EF4-FFF2-40B4-BE49-F238E27FC236}">
              <a16:creationId xmlns:a16="http://schemas.microsoft.com/office/drawing/2014/main" id="{00000000-0008-0000-1700-0000010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09600" y="4381500"/>
          <a:ext cx="6010275" cy="3048000"/>
        </a:xfrm>
        <a:prstGeom prst="rect">
          <a:avLst/>
        </a:prstGeom>
        <a:noFill/>
        <a:ln w="1">
          <a:noFill/>
          <a:miter lim="800000"/>
          <a:headEnd/>
          <a:tailEnd type="none" w="med" len="med"/>
        </a:ln>
        <a:effectLst/>
      </xdr:spPr>
    </xdr:pic>
    <xdr:clientData/>
  </xdr:twoCellAnchor>
  <xdr:twoCellAnchor editAs="oneCell">
    <xdr:from>
      <xdr:col>3</xdr:col>
      <xdr:colOff>243808</xdr:colOff>
      <xdr:row>44</xdr:row>
      <xdr:rowOff>174625</xdr:rowOff>
    </xdr:from>
    <xdr:to>
      <xdr:col>8</xdr:col>
      <xdr:colOff>701019</xdr:colOff>
      <xdr:row>57</xdr:row>
      <xdr:rowOff>87312</xdr:rowOff>
    </xdr:to>
    <xdr:pic>
      <xdr:nvPicPr>
        <xdr:cNvPr id="1025" name="Picture 1">
          <a:extLst>
            <a:ext uri="{FF2B5EF4-FFF2-40B4-BE49-F238E27FC236}">
              <a16:creationId xmlns:a16="http://schemas.microsoft.com/office/drawing/2014/main" id="{00000000-0008-0000-17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077371" y="8556625"/>
          <a:ext cx="6072854" cy="2389187"/>
        </a:xfrm>
        <a:prstGeom prst="rect">
          <a:avLst/>
        </a:prstGeom>
        <a:noFill/>
        <a:ln w="1">
          <a:noFill/>
          <a:miter lim="800000"/>
          <a:headEnd/>
          <a:tailEnd type="none" w="med" len="med"/>
        </a:ln>
        <a:effectLst/>
      </xdr:spPr>
    </xdr:pic>
    <xdr:clientData/>
  </xdr:twoCellAnchor>
  <xdr:twoCellAnchor editAs="oneCell">
    <xdr:from>
      <xdr:col>5</xdr:col>
      <xdr:colOff>301624</xdr:colOff>
      <xdr:row>145</xdr:row>
      <xdr:rowOff>110087</xdr:rowOff>
    </xdr:from>
    <xdr:to>
      <xdr:col>9</xdr:col>
      <xdr:colOff>1059096</xdr:colOff>
      <xdr:row>157</xdr:row>
      <xdr:rowOff>6351</xdr:rowOff>
    </xdr:to>
    <xdr:pic>
      <xdr:nvPicPr>
        <xdr:cNvPr id="2" name="Picture 1">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3357562" y="27732587"/>
          <a:ext cx="5253038" cy="2182264"/>
        </a:xfrm>
        <a:prstGeom prst="rect">
          <a:avLst/>
        </a:prstGeom>
        <a:noFill/>
        <a:ln w="1">
          <a:noFill/>
          <a:miter lim="800000"/>
          <a:headEnd/>
          <a:tailEnd type="none" w="med" len="med"/>
        </a:ln>
        <a:effectLst/>
      </xdr:spPr>
    </xdr:pic>
    <xdr:clientData/>
  </xdr:twoCellAnchor>
  <xdr:twoCellAnchor editAs="oneCell">
    <xdr:from>
      <xdr:col>5</xdr:col>
      <xdr:colOff>65942</xdr:colOff>
      <xdr:row>191</xdr:row>
      <xdr:rowOff>48337</xdr:rowOff>
    </xdr:from>
    <xdr:to>
      <xdr:col>9</xdr:col>
      <xdr:colOff>485641</xdr:colOff>
      <xdr:row>202</xdr:row>
      <xdr:rowOff>89386</xdr:rowOff>
    </xdr:to>
    <xdr:pic>
      <xdr:nvPicPr>
        <xdr:cNvPr id="1026" name="Picture 2">
          <a:extLst>
            <a:ext uri="{FF2B5EF4-FFF2-40B4-BE49-F238E27FC236}">
              <a16:creationId xmlns:a16="http://schemas.microsoft.com/office/drawing/2014/main" id="{00000000-0008-0000-1700-00000204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2886807" y="36433837"/>
          <a:ext cx="4887790" cy="2136549"/>
        </a:xfrm>
        <a:prstGeom prst="rect">
          <a:avLst/>
        </a:prstGeom>
        <a:noFill/>
        <a:ln w="1">
          <a:noFill/>
          <a:miter lim="800000"/>
          <a:headEnd/>
          <a:tailEnd type="none" w="med" len="med"/>
        </a:ln>
        <a:effectLst/>
      </xdr:spPr>
    </xdr:pic>
    <xdr:clientData/>
  </xdr:twoCellAnchor>
  <xdr:twoCellAnchor editAs="oneCell">
    <xdr:from>
      <xdr:col>0</xdr:col>
      <xdr:colOff>952500</xdr:colOff>
      <xdr:row>283</xdr:row>
      <xdr:rowOff>65942</xdr:rowOff>
    </xdr:from>
    <xdr:to>
      <xdr:col>6</xdr:col>
      <xdr:colOff>441614</xdr:colOff>
      <xdr:row>289</xdr:row>
      <xdr:rowOff>8792</xdr:rowOff>
    </xdr:to>
    <xdr:pic>
      <xdr:nvPicPr>
        <xdr:cNvPr id="3" name="Picture 1">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952500" y="54050711"/>
          <a:ext cx="6191250" cy="1085850"/>
        </a:xfrm>
        <a:prstGeom prst="rect">
          <a:avLst/>
        </a:prstGeom>
        <a:noFill/>
        <a:ln w="1">
          <a:noFill/>
          <a:miter lim="800000"/>
          <a:headEnd/>
          <a:tailEnd type="none" w="med" len="med"/>
        </a:ln>
        <a:effectLst/>
      </xdr:spPr>
    </xdr:pic>
    <xdr:clientData/>
  </xdr:twoCellAnchor>
  <xdr:twoCellAnchor editAs="oneCell">
    <xdr:from>
      <xdr:col>0</xdr:col>
      <xdr:colOff>183173</xdr:colOff>
      <xdr:row>290</xdr:row>
      <xdr:rowOff>124557</xdr:rowOff>
    </xdr:from>
    <xdr:to>
      <xdr:col>10</xdr:col>
      <xdr:colOff>242921</xdr:colOff>
      <xdr:row>308</xdr:row>
      <xdr:rowOff>105507</xdr:rowOff>
    </xdr:to>
    <xdr:pic>
      <xdr:nvPicPr>
        <xdr:cNvPr id="4" name="Picture 2">
          <a:extLst>
            <a:ext uri="{FF2B5EF4-FFF2-40B4-BE49-F238E27FC236}">
              <a16:creationId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83173" y="55442826"/>
          <a:ext cx="11229975" cy="3409950"/>
        </a:xfrm>
        <a:prstGeom prst="rect">
          <a:avLst/>
        </a:prstGeom>
        <a:noFill/>
        <a:ln w="1">
          <a:noFill/>
          <a:miter lim="800000"/>
          <a:headEnd/>
          <a:tailEnd type="none" w="med" len="med"/>
        </a:ln>
        <a:effectLst/>
      </xdr:spPr>
    </xdr:pic>
    <xdr:clientData/>
  </xdr:twoCellAnchor>
  <xdr:twoCellAnchor editAs="oneCell">
    <xdr:from>
      <xdr:col>0</xdr:col>
      <xdr:colOff>307731</xdr:colOff>
      <xdr:row>309</xdr:row>
      <xdr:rowOff>43961</xdr:rowOff>
    </xdr:from>
    <xdr:to>
      <xdr:col>7</xdr:col>
      <xdr:colOff>118097</xdr:colOff>
      <xdr:row>337</xdr:row>
      <xdr:rowOff>167786</xdr:rowOff>
    </xdr:to>
    <xdr:pic>
      <xdr:nvPicPr>
        <xdr:cNvPr id="1027" name="Picture 3">
          <a:extLst>
            <a:ext uri="{FF2B5EF4-FFF2-40B4-BE49-F238E27FC236}">
              <a16:creationId xmlns:a16="http://schemas.microsoft.com/office/drawing/2014/main" id="{00000000-0008-0000-1700-000003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307731" y="58981730"/>
          <a:ext cx="7629525" cy="5457825"/>
        </a:xfrm>
        <a:prstGeom prst="rect">
          <a:avLst/>
        </a:prstGeom>
        <a:noFill/>
        <a:ln w="1">
          <a:noFill/>
          <a:miter lim="800000"/>
          <a:headEnd/>
          <a:tailEnd type="none" w="med" len="med"/>
        </a:ln>
        <a:effectLst/>
      </xdr:spPr>
    </xdr:pic>
    <xdr:clientData/>
  </xdr:twoCellAnchor>
  <xdr:twoCellAnchor>
    <xdr:from>
      <xdr:col>5</xdr:col>
      <xdr:colOff>652096</xdr:colOff>
      <xdr:row>391</xdr:row>
      <xdr:rowOff>153866</xdr:rowOff>
    </xdr:from>
    <xdr:to>
      <xdr:col>10</xdr:col>
      <xdr:colOff>122496</xdr:colOff>
      <xdr:row>413</xdr:row>
      <xdr:rowOff>165778</xdr:rowOff>
    </xdr:to>
    <xdr:grpSp>
      <xdr:nvGrpSpPr>
        <xdr:cNvPr id="9" name="object 14">
          <a:extLst>
            <a:ext uri="{FF2B5EF4-FFF2-40B4-BE49-F238E27FC236}">
              <a16:creationId xmlns:a16="http://schemas.microsoft.com/office/drawing/2014/main" id="{00000000-0008-0000-1700-000009000000}"/>
            </a:ext>
          </a:extLst>
        </xdr:cNvPr>
        <xdr:cNvGrpSpPr/>
      </xdr:nvGrpSpPr>
      <xdr:grpSpPr>
        <a:xfrm>
          <a:off x="6367096" y="70922884"/>
          <a:ext cx="5185400" cy="3974312"/>
          <a:chOff x="6650745" y="765141"/>
          <a:chExt cx="4709150" cy="4012412"/>
        </a:xfrm>
      </xdr:grpSpPr>
      <xdr:pic>
        <xdr:nvPicPr>
          <xdr:cNvPr id="10" name="object 15">
            <a:extLst>
              <a:ext uri="{FF2B5EF4-FFF2-40B4-BE49-F238E27FC236}">
                <a16:creationId xmlns:a16="http://schemas.microsoft.com/office/drawing/2014/main" id="{00000000-0008-0000-1700-00000A000000}"/>
              </a:ext>
            </a:extLst>
          </xdr:cNvPr>
          <xdr:cNvPicPr/>
        </xdr:nvPicPr>
        <xdr:blipFill>
          <a:blip xmlns:r="http://schemas.openxmlformats.org/officeDocument/2006/relationships" r:embed="rId8" cstate="print"/>
          <a:stretch>
            <a:fillRect/>
          </a:stretch>
        </xdr:blipFill>
        <xdr:spPr>
          <a:xfrm>
            <a:off x="6650745" y="765141"/>
            <a:ext cx="4709150" cy="4012412"/>
          </a:xfrm>
          <a:prstGeom prst="rect">
            <a:avLst/>
          </a:prstGeom>
        </xdr:spPr>
      </xdr:pic>
      <xdr:sp macro="" textlink="">
        <xdr:nvSpPr>
          <xdr:cNvPr id="11" name="object 16">
            <a:extLst>
              <a:ext uri="{FF2B5EF4-FFF2-40B4-BE49-F238E27FC236}">
                <a16:creationId xmlns:a16="http://schemas.microsoft.com/office/drawing/2014/main" id="{00000000-0008-0000-1700-00000B000000}"/>
              </a:ext>
            </a:extLst>
          </xdr:cNvPr>
          <xdr:cNvSpPr/>
        </xdr:nvSpPr>
        <xdr:spPr>
          <a:xfrm>
            <a:off x="6816090" y="835914"/>
            <a:ext cx="1423670" cy="1590040"/>
          </a:xfrm>
          <a:custGeom>
            <a:avLst/>
            <a:gdLst/>
            <a:ahLst/>
            <a:cxnLst/>
            <a:rect l="l" t="t" r="r" b="b"/>
            <a:pathLst>
              <a:path w="1423670" h="1590039">
                <a:moveTo>
                  <a:pt x="960119" y="77215"/>
                </a:moveTo>
                <a:lnTo>
                  <a:pt x="966184" y="47148"/>
                </a:lnTo>
                <a:lnTo>
                  <a:pt x="982725" y="22605"/>
                </a:lnTo>
                <a:lnTo>
                  <a:pt x="1007268" y="6064"/>
                </a:lnTo>
                <a:lnTo>
                  <a:pt x="1037335" y="0"/>
                </a:lnTo>
                <a:lnTo>
                  <a:pt x="1346200" y="0"/>
                </a:lnTo>
                <a:lnTo>
                  <a:pt x="1376267" y="6064"/>
                </a:lnTo>
                <a:lnTo>
                  <a:pt x="1400809" y="22606"/>
                </a:lnTo>
                <a:lnTo>
                  <a:pt x="1417351" y="47148"/>
                </a:lnTo>
                <a:lnTo>
                  <a:pt x="1423415" y="77215"/>
                </a:lnTo>
                <a:lnTo>
                  <a:pt x="1423415" y="1512315"/>
                </a:lnTo>
                <a:lnTo>
                  <a:pt x="1417351" y="1542383"/>
                </a:lnTo>
                <a:lnTo>
                  <a:pt x="1400809" y="1566926"/>
                </a:lnTo>
                <a:lnTo>
                  <a:pt x="1376267" y="1583467"/>
                </a:lnTo>
                <a:lnTo>
                  <a:pt x="1346200" y="1589532"/>
                </a:lnTo>
                <a:lnTo>
                  <a:pt x="1037335" y="1589532"/>
                </a:lnTo>
                <a:lnTo>
                  <a:pt x="1007268" y="1583467"/>
                </a:lnTo>
                <a:lnTo>
                  <a:pt x="982725" y="1566926"/>
                </a:lnTo>
                <a:lnTo>
                  <a:pt x="966184" y="1542383"/>
                </a:lnTo>
                <a:lnTo>
                  <a:pt x="960119" y="1512315"/>
                </a:lnTo>
                <a:lnTo>
                  <a:pt x="960119" y="77215"/>
                </a:lnTo>
                <a:close/>
              </a:path>
              <a:path w="1423670" h="1590039">
                <a:moveTo>
                  <a:pt x="0" y="1456182"/>
                </a:moveTo>
                <a:lnTo>
                  <a:pt x="2095" y="1445799"/>
                </a:lnTo>
                <a:lnTo>
                  <a:pt x="7810" y="1437322"/>
                </a:lnTo>
                <a:lnTo>
                  <a:pt x="16287" y="1431607"/>
                </a:lnTo>
                <a:lnTo>
                  <a:pt x="26669" y="1429512"/>
                </a:lnTo>
                <a:lnTo>
                  <a:pt x="1387602" y="1429512"/>
                </a:lnTo>
                <a:lnTo>
                  <a:pt x="1397984" y="1431607"/>
                </a:lnTo>
                <a:lnTo>
                  <a:pt x="1406461" y="1437322"/>
                </a:lnTo>
                <a:lnTo>
                  <a:pt x="1412176" y="1445799"/>
                </a:lnTo>
                <a:lnTo>
                  <a:pt x="1414271" y="1456182"/>
                </a:lnTo>
                <a:lnTo>
                  <a:pt x="1414271" y="1562862"/>
                </a:lnTo>
                <a:lnTo>
                  <a:pt x="1412176" y="1573244"/>
                </a:lnTo>
                <a:lnTo>
                  <a:pt x="1406461" y="1581721"/>
                </a:lnTo>
                <a:lnTo>
                  <a:pt x="1397984" y="1587436"/>
                </a:lnTo>
                <a:lnTo>
                  <a:pt x="1387602" y="1589532"/>
                </a:lnTo>
                <a:lnTo>
                  <a:pt x="26669" y="1589532"/>
                </a:lnTo>
                <a:lnTo>
                  <a:pt x="16287" y="1587436"/>
                </a:lnTo>
                <a:lnTo>
                  <a:pt x="7810" y="1581721"/>
                </a:lnTo>
                <a:lnTo>
                  <a:pt x="2095" y="1573244"/>
                </a:lnTo>
                <a:lnTo>
                  <a:pt x="0" y="1562862"/>
                </a:lnTo>
                <a:lnTo>
                  <a:pt x="0" y="1456182"/>
                </a:lnTo>
                <a:close/>
              </a:path>
            </a:pathLst>
          </a:custGeom>
          <a:ln w="28956">
            <a:solidFill>
              <a:srgbClr val="C00000"/>
            </a:solidFill>
          </a:ln>
        </xdr:spPr>
        <xdr:txBody>
          <a:bodyPr wrap="square" lIns="0" tIns="0" rIns="0" bIns="0" rtlCol="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228600</xdr:colOff>
      <xdr:row>2</xdr:row>
      <xdr:rowOff>28575</xdr:rowOff>
    </xdr:from>
    <xdr:to>
      <xdr:col>18</xdr:col>
      <xdr:colOff>533400</xdr:colOff>
      <xdr:row>16</xdr:row>
      <xdr:rowOff>104775</xdr:rowOff>
    </xdr:to>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0</xdr:colOff>
      <xdr:row>11</xdr:row>
      <xdr:rowOff>152400</xdr:rowOff>
    </xdr:from>
    <xdr:to>
      <xdr:col>23</xdr:col>
      <xdr:colOff>400050</xdr:colOff>
      <xdr:row>28</xdr:row>
      <xdr:rowOff>0</xdr:rowOff>
    </xdr:to>
    <xdr:graphicFrame macro="">
      <xdr:nvGraphicFramePr>
        <xdr:cNvPr id="2" name="Chart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333375</xdr:colOff>
      <xdr:row>29</xdr:row>
      <xdr:rowOff>200025</xdr:rowOff>
    </xdr:from>
    <xdr:to>
      <xdr:col>18</xdr:col>
      <xdr:colOff>180975</xdr:colOff>
      <xdr:row>40</xdr:row>
      <xdr:rowOff>219075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17</xdr:row>
      <xdr:rowOff>133350</xdr:rowOff>
    </xdr:from>
    <xdr:to>
      <xdr:col>18</xdr:col>
      <xdr:colOff>95250</xdr:colOff>
      <xdr:row>28</xdr:row>
      <xdr:rowOff>161925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247650</xdr:colOff>
      <xdr:row>2</xdr:row>
      <xdr:rowOff>76200</xdr:rowOff>
    </xdr:from>
    <xdr:to>
      <xdr:col>23</xdr:col>
      <xdr:colOff>95250</xdr:colOff>
      <xdr:row>13</xdr:row>
      <xdr:rowOff>76200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590550</xdr:colOff>
      <xdr:row>47</xdr:row>
      <xdr:rowOff>228600</xdr:rowOff>
    </xdr:from>
    <xdr:to>
      <xdr:col>7</xdr:col>
      <xdr:colOff>114300</xdr:colOff>
      <xdr:row>59</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123825</xdr:colOff>
      <xdr:row>54</xdr:row>
      <xdr:rowOff>161925</xdr:rowOff>
    </xdr:from>
    <xdr:to>
      <xdr:col>12</xdr:col>
      <xdr:colOff>419100</xdr:colOff>
      <xdr:row>65</xdr:row>
      <xdr:rowOff>180975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542925</xdr:colOff>
      <xdr:row>66</xdr:row>
      <xdr:rowOff>209550</xdr:rowOff>
    </xdr:from>
    <xdr:to>
      <xdr:col>12</xdr:col>
      <xdr:colOff>247650</xdr:colOff>
      <xdr:row>77</xdr:row>
      <xdr:rowOff>228600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447675</xdr:colOff>
      <xdr:row>84</xdr:row>
      <xdr:rowOff>0</xdr:rowOff>
    </xdr:from>
    <xdr:to>
      <xdr:col>13</xdr:col>
      <xdr:colOff>152400</xdr:colOff>
      <xdr:row>95</xdr:row>
      <xdr:rowOff>19050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457201</xdr:colOff>
      <xdr:row>28</xdr:row>
      <xdr:rowOff>209550</xdr:rowOff>
    </xdr:from>
    <xdr:to>
      <xdr:col>10</xdr:col>
      <xdr:colOff>133351</xdr:colOff>
      <xdr:row>38</xdr:row>
      <xdr:rowOff>190500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99</xdr:row>
      <xdr:rowOff>0</xdr:rowOff>
    </xdr:from>
    <xdr:to>
      <xdr:col>13</xdr:col>
      <xdr:colOff>0</xdr:colOff>
      <xdr:row>109</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276225</xdr:colOff>
      <xdr:row>122</xdr:row>
      <xdr:rowOff>85725</xdr:rowOff>
    </xdr:from>
    <xdr:to>
      <xdr:col>16</xdr:col>
      <xdr:colOff>323850</xdr:colOff>
      <xdr:row>133</xdr:row>
      <xdr:rowOff>95250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3</xdr:row>
      <xdr:rowOff>104775</xdr:rowOff>
    </xdr:from>
    <xdr:to>
      <xdr:col>11</xdr:col>
      <xdr:colOff>381000</xdr:colOff>
      <xdr:row>14</xdr:row>
      <xdr:rowOff>123825</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15</xdr:row>
      <xdr:rowOff>28575</xdr:rowOff>
    </xdr:from>
    <xdr:to>
      <xdr:col>11</xdr:col>
      <xdr:colOff>447675</xdr:colOff>
      <xdr:row>26</xdr:row>
      <xdr:rowOff>47625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495300</xdr:colOff>
      <xdr:row>11</xdr:row>
      <xdr:rowOff>57150</xdr:rowOff>
    </xdr:from>
    <xdr:to>
      <xdr:col>13</xdr:col>
      <xdr:colOff>342900</xdr:colOff>
      <xdr:row>22</xdr:row>
      <xdr:rowOff>76200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361950</xdr:colOff>
      <xdr:row>11</xdr:row>
      <xdr:rowOff>219075</xdr:rowOff>
    </xdr:from>
    <xdr:to>
      <xdr:col>22</xdr:col>
      <xdr:colOff>209550</xdr:colOff>
      <xdr:row>22</xdr:row>
      <xdr:rowOff>238125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1</xdr:row>
      <xdr:rowOff>76200</xdr:rowOff>
    </xdr:from>
    <xdr:to>
      <xdr:col>17</xdr:col>
      <xdr:colOff>390525</xdr:colOff>
      <xdr:row>11</xdr:row>
      <xdr:rowOff>95250</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161925</xdr:colOff>
      <xdr:row>23</xdr:row>
      <xdr:rowOff>152400</xdr:rowOff>
    </xdr:from>
    <xdr:to>
      <xdr:col>15</xdr:col>
      <xdr:colOff>9524</xdr:colOff>
      <xdr:row>34</xdr:row>
      <xdr:rowOff>171450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xdr:colOff>
      <xdr:row>1</xdr:row>
      <xdr:rowOff>152400</xdr:rowOff>
    </xdr:from>
    <xdr:to>
      <xdr:col>10</xdr:col>
      <xdr:colOff>247650</xdr:colOff>
      <xdr:row>11</xdr:row>
      <xdr:rowOff>171450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15</xdr:row>
      <xdr:rowOff>28575</xdr:rowOff>
    </xdr:from>
    <xdr:to>
      <xdr:col>12</xdr:col>
      <xdr:colOff>295275</xdr:colOff>
      <xdr:row>25</xdr:row>
      <xdr:rowOff>47625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15240</xdr:colOff>
      <xdr:row>4</xdr:row>
      <xdr:rowOff>60960</xdr:rowOff>
    </xdr:from>
    <xdr:to>
      <xdr:col>17</xdr:col>
      <xdr:colOff>601980</xdr:colOff>
      <xdr:row>13</xdr:row>
      <xdr:rowOff>99060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12</xdr:row>
      <xdr:rowOff>180975</xdr:rowOff>
    </xdr:from>
    <xdr:to>
      <xdr:col>18</xdr:col>
      <xdr:colOff>238125</xdr:colOff>
      <xdr:row>22</xdr:row>
      <xdr:rowOff>180975</xdr:rowOff>
    </xdr:to>
    <xdr:graphicFrame macro="">
      <xdr:nvGraphicFramePr>
        <xdr:cNvPr id="3" name="Chart 2">
          <a:extLst>
            <a:ext uri="{FF2B5EF4-FFF2-40B4-BE49-F238E27FC236}">
              <a16:creationId xmlns:a16="http://schemas.microsoft.com/office/drawing/2014/main" id="{350345EA-31FB-4518-8C28-5F11A13E9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7620</xdr:colOff>
      <xdr:row>3</xdr:row>
      <xdr:rowOff>7620</xdr:rowOff>
    </xdr:to>
    <xdr:pic>
      <xdr:nvPicPr>
        <xdr:cNvPr id="2" name="Picture 1" descr="000000">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18288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10</xdr:row>
      <xdr:rowOff>0</xdr:rowOff>
    </xdr:from>
    <xdr:to>
      <xdr:col>1</xdr:col>
      <xdr:colOff>7620</xdr:colOff>
      <xdr:row>10</xdr:row>
      <xdr:rowOff>7620</xdr:rowOff>
    </xdr:to>
    <xdr:pic>
      <xdr:nvPicPr>
        <xdr:cNvPr id="3" name="Picture 1" descr="000000">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146304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4" name="Picture 1" descr="000000">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182880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17</xdr:row>
      <xdr:rowOff>0</xdr:rowOff>
    </xdr:from>
    <xdr:to>
      <xdr:col>1</xdr:col>
      <xdr:colOff>7620</xdr:colOff>
      <xdr:row>17</xdr:row>
      <xdr:rowOff>7620</xdr:rowOff>
    </xdr:to>
    <xdr:pic>
      <xdr:nvPicPr>
        <xdr:cNvPr id="5" name="Picture 1" descr="000000">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274320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19</xdr:row>
      <xdr:rowOff>0</xdr:rowOff>
    </xdr:from>
    <xdr:to>
      <xdr:col>1</xdr:col>
      <xdr:colOff>7620</xdr:colOff>
      <xdr:row>19</xdr:row>
      <xdr:rowOff>7620</xdr:rowOff>
    </xdr:to>
    <xdr:pic>
      <xdr:nvPicPr>
        <xdr:cNvPr id="6" name="Picture 1" descr="000000">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310896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21</xdr:row>
      <xdr:rowOff>0</xdr:rowOff>
    </xdr:from>
    <xdr:to>
      <xdr:col>1</xdr:col>
      <xdr:colOff>7620</xdr:colOff>
      <xdr:row>21</xdr:row>
      <xdr:rowOff>7620</xdr:rowOff>
    </xdr:to>
    <xdr:pic>
      <xdr:nvPicPr>
        <xdr:cNvPr id="7" name="Picture 1" descr="000000">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347472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25</xdr:row>
      <xdr:rowOff>0</xdr:rowOff>
    </xdr:from>
    <xdr:to>
      <xdr:col>1</xdr:col>
      <xdr:colOff>7620</xdr:colOff>
      <xdr:row>25</xdr:row>
      <xdr:rowOff>7620</xdr:rowOff>
    </xdr:to>
    <xdr:pic>
      <xdr:nvPicPr>
        <xdr:cNvPr id="8" name="Picture 1" descr="000000">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420624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7620</xdr:colOff>
      <xdr:row>5</xdr:row>
      <xdr:rowOff>7620</xdr:rowOff>
    </xdr:to>
    <xdr:pic>
      <xdr:nvPicPr>
        <xdr:cNvPr id="9" name="Picture 1" descr="000000">
          <a:extLst>
            <a:ext uri="{FF2B5EF4-FFF2-40B4-BE49-F238E27FC236}">
              <a16:creationId xmlns:a16="http://schemas.microsoft.com/office/drawing/2014/main" id="{00000000-0008-0000-0C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54864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xdr:row>
      <xdr:rowOff>0</xdr:rowOff>
    </xdr:from>
    <xdr:to>
      <xdr:col>1</xdr:col>
      <xdr:colOff>7620</xdr:colOff>
      <xdr:row>7</xdr:row>
      <xdr:rowOff>7620</xdr:rowOff>
    </xdr:to>
    <xdr:pic>
      <xdr:nvPicPr>
        <xdr:cNvPr id="10" name="Picture 1" descr="000000">
          <a:extLst>
            <a:ext uri="{FF2B5EF4-FFF2-40B4-BE49-F238E27FC236}">
              <a16:creationId xmlns:a16="http://schemas.microsoft.com/office/drawing/2014/main" id="{00000000-0008-0000-0C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91440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xdr:row>
      <xdr:rowOff>0</xdr:rowOff>
    </xdr:from>
    <xdr:to>
      <xdr:col>1</xdr:col>
      <xdr:colOff>7620</xdr:colOff>
      <xdr:row>9</xdr:row>
      <xdr:rowOff>7620</xdr:rowOff>
    </xdr:to>
    <xdr:pic>
      <xdr:nvPicPr>
        <xdr:cNvPr id="11" name="Picture 1" descr="000000">
          <a:extLst>
            <a:ext uri="{FF2B5EF4-FFF2-40B4-BE49-F238E27FC236}">
              <a16:creationId xmlns:a16="http://schemas.microsoft.com/office/drawing/2014/main" id="{00000000-0008-0000-0C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128016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xdr:row>
      <xdr:rowOff>0</xdr:rowOff>
    </xdr:from>
    <xdr:to>
      <xdr:col>1</xdr:col>
      <xdr:colOff>7620</xdr:colOff>
      <xdr:row>15</xdr:row>
      <xdr:rowOff>7620</xdr:rowOff>
    </xdr:to>
    <xdr:pic>
      <xdr:nvPicPr>
        <xdr:cNvPr id="12" name="Picture 1" descr="000000">
          <a:extLst>
            <a:ext uri="{FF2B5EF4-FFF2-40B4-BE49-F238E27FC236}">
              <a16:creationId xmlns:a16="http://schemas.microsoft.com/office/drawing/2014/main" id="{00000000-0008-0000-0C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237744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22</xdr:row>
      <xdr:rowOff>0</xdr:rowOff>
    </xdr:from>
    <xdr:to>
      <xdr:col>1</xdr:col>
      <xdr:colOff>7620</xdr:colOff>
      <xdr:row>22</xdr:row>
      <xdr:rowOff>7620</xdr:rowOff>
    </xdr:to>
    <xdr:pic>
      <xdr:nvPicPr>
        <xdr:cNvPr id="13" name="Picture 1" descr="000000">
          <a:extLst>
            <a:ext uri="{FF2B5EF4-FFF2-40B4-BE49-F238E27FC236}">
              <a16:creationId xmlns:a16="http://schemas.microsoft.com/office/drawing/2014/main" id="{00000000-0008-0000-0C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365760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27</xdr:row>
      <xdr:rowOff>0</xdr:rowOff>
    </xdr:from>
    <xdr:to>
      <xdr:col>1</xdr:col>
      <xdr:colOff>7620</xdr:colOff>
      <xdr:row>27</xdr:row>
      <xdr:rowOff>7620</xdr:rowOff>
    </xdr:to>
    <xdr:pic>
      <xdr:nvPicPr>
        <xdr:cNvPr id="14" name="Picture 1" descr="000000">
          <a:extLst>
            <a:ext uri="{FF2B5EF4-FFF2-40B4-BE49-F238E27FC236}">
              <a16:creationId xmlns:a16="http://schemas.microsoft.com/office/drawing/2014/main" id="{00000000-0008-0000-0C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457200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xdr:row>
      <xdr:rowOff>0</xdr:rowOff>
    </xdr:from>
    <xdr:to>
      <xdr:col>1</xdr:col>
      <xdr:colOff>7620</xdr:colOff>
      <xdr:row>29</xdr:row>
      <xdr:rowOff>7620</xdr:rowOff>
    </xdr:to>
    <xdr:pic>
      <xdr:nvPicPr>
        <xdr:cNvPr id="15" name="Picture 1" descr="000000">
          <a:extLst>
            <a:ext uri="{FF2B5EF4-FFF2-40B4-BE49-F238E27FC236}">
              <a16:creationId xmlns:a16="http://schemas.microsoft.com/office/drawing/2014/main" id="{00000000-0008-0000-0C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 y="493776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257175</xdr:colOff>
      <xdr:row>372</xdr:row>
      <xdr:rowOff>152400</xdr:rowOff>
    </xdr:from>
    <xdr:to>
      <xdr:col>13</xdr:col>
      <xdr:colOff>19050</xdr:colOff>
      <xdr:row>378</xdr:row>
      <xdr:rowOff>28575</xdr:rowOff>
    </xdr:to>
    <xdr:sp macro="" textlink="">
      <xdr:nvSpPr>
        <xdr:cNvPr id="2" name="Oval 1">
          <a:extLst>
            <a:ext uri="{FF2B5EF4-FFF2-40B4-BE49-F238E27FC236}">
              <a16:creationId xmlns:a16="http://schemas.microsoft.com/office/drawing/2014/main" id="{00000000-0008-0000-1100-000002000000}"/>
            </a:ext>
          </a:extLst>
        </xdr:cNvPr>
        <xdr:cNvSpPr/>
      </xdr:nvSpPr>
      <xdr:spPr>
        <a:xfrm>
          <a:off x="7439025" y="71018400"/>
          <a:ext cx="981075" cy="1019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3</xdr:col>
      <xdr:colOff>263769</xdr:colOff>
      <xdr:row>395</xdr:row>
      <xdr:rowOff>146538</xdr:rowOff>
    </xdr:from>
    <xdr:to>
      <xdr:col>10</xdr:col>
      <xdr:colOff>95250</xdr:colOff>
      <xdr:row>410</xdr:row>
      <xdr:rowOff>29308</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362033</xdr:colOff>
      <xdr:row>33</xdr:row>
      <xdr:rowOff>152185</xdr:rowOff>
    </xdr:from>
    <xdr:to>
      <xdr:col>20</xdr:col>
      <xdr:colOff>197690</xdr:colOff>
      <xdr:row>54</xdr:row>
      <xdr:rowOff>25200</xdr:rowOff>
    </xdr:to>
    <xdr:pic>
      <xdr:nvPicPr>
        <xdr:cNvPr id="2" name="Picture 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16561" y="7008388"/>
          <a:ext cx="3501884" cy="3835774"/>
        </a:xfrm>
        <a:prstGeom prst="rect">
          <a:avLst/>
        </a:prstGeom>
        <a:noFill/>
      </xdr:spPr>
    </xdr:pic>
    <xdr:clientData/>
  </xdr:twoCellAnchor>
  <xdr:twoCellAnchor editAs="oneCell">
    <xdr:from>
      <xdr:col>1</xdr:col>
      <xdr:colOff>0</xdr:colOff>
      <xdr:row>33</xdr:row>
      <xdr:rowOff>84667</xdr:rowOff>
    </xdr:from>
    <xdr:to>
      <xdr:col>12</xdr:col>
      <xdr:colOff>570502</xdr:colOff>
      <xdr:row>57</xdr:row>
      <xdr:rowOff>11381</xdr:rowOff>
    </xdr:to>
    <xdr:pic>
      <xdr:nvPicPr>
        <xdr:cNvPr id="3" name="Picture 2">
          <a:extLst>
            <a:ext uri="{FF2B5EF4-FFF2-40B4-BE49-F238E27FC236}">
              <a16:creationId xmlns:a16="http://schemas.microsoft.com/office/drawing/2014/main" id="{00000000-0008-0000-1200-000003000000}"/>
            </a:ext>
          </a:extLst>
        </xdr:cNvPr>
        <xdr:cNvPicPr>
          <a:picLocks noChangeAspect="1" noChangeArrowheads="1"/>
        </xdr:cNvPicPr>
      </xdr:nvPicPr>
      <xdr:blipFill>
        <a:blip xmlns:r="http://schemas.openxmlformats.org/officeDocument/2006/relationships" r:embed="rId2"/>
        <a:srcRect l="15269" t="33082" r="36419" b="25276"/>
        <a:stretch>
          <a:fillRect/>
        </a:stretch>
      </xdr:blipFill>
      <xdr:spPr bwMode="auto">
        <a:xfrm>
          <a:off x="611038" y="6940870"/>
          <a:ext cx="7291917" cy="4455582"/>
        </a:xfrm>
        <a:prstGeom prst="rect">
          <a:avLst/>
        </a:prstGeom>
        <a:noFill/>
        <a:ln w="1">
          <a:noFill/>
          <a:miter lim="800000"/>
          <a:headEnd/>
          <a:tailEnd type="none" w="med" len="med"/>
        </a:ln>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amchandani" refreshedDate="44357.380922453704" createdVersion="3" refreshedVersion="3" minRefreshableVersion="3" recordCount="365" xr:uid="{00000000-000A-0000-FFFF-FFFF00000000}">
  <cacheSource type="worksheet">
    <worksheetSource ref="A4:B369" sheet="Probability Distribution"/>
  </cacheSource>
  <cacheFields count="2">
    <cacheField name="Day" numFmtId="0">
      <sharedItems/>
    </cacheField>
    <cacheField name="Defects" numFmtId="0">
      <sharedItems containsSemiMixedTypes="0" containsString="0" containsNumber="1" containsInteger="1" minValue="1" maxValue="12" count="12">
        <n v="2"/>
        <n v="3"/>
        <n v="9"/>
        <n v="8"/>
        <n v="7"/>
        <n v="1"/>
        <n v="5"/>
        <n v="12"/>
        <n v="11"/>
        <n v="4"/>
        <n v="6"/>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5">
  <r>
    <s v="Day 1"/>
    <x v="0"/>
  </r>
  <r>
    <s v="Day 2"/>
    <x v="1"/>
  </r>
  <r>
    <s v="Day 3"/>
    <x v="2"/>
  </r>
  <r>
    <s v="Day 4"/>
    <x v="0"/>
  </r>
  <r>
    <s v="Day 5"/>
    <x v="3"/>
  </r>
  <r>
    <s v="Day 6"/>
    <x v="3"/>
  </r>
  <r>
    <s v="Day 7"/>
    <x v="4"/>
  </r>
  <r>
    <s v="Day 8"/>
    <x v="5"/>
  </r>
  <r>
    <s v="Day 9"/>
    <x v="0"/>
  </r>
  <r>
    <s v="Day 10"/>
    <x v="3"/>
  </r>
  <r>
    <s v="Day 11"/>
    <x v="0"/>
  </r>
  <r>
    <s v="Day 12"/>
    <x v="1"/>
  </r>
  <r>
    <s v="Day 13"/>
    <x v="6"/>
  </r>
  <r>
    <s v="Day 14"/>
    <x v="2"/>
  </r>
  <r>
    <s v="Day 15"/>
    <x v="1"/>
  </r>
  <r>
    <s v="Day 16"/>
    <x v="7"/>
  </r>
  <r>
    <s v="Day 17"/>
    <x v="6"/>
  </r>
  <r>
    <s v="Day 18"/>
    <x v="6"/>
  </r>
  <r>
    <s v="Day 19"/>
    <x v="5"/>
  </r>
  <r>
    <s v="Day 20"/>
    <x v="6"/>
  </r>
  <r>
    <s v="Day 21"/>
    <x v="6"/>
  </r>
  <r>
    <s v="Day 22"/>
    <x v="6"/>
  </r>
  <r>
    <s v="Day 23"/>
    <x v="5"/>
  </r>
  <r>
    <s v="Day 24"/>
    <x v="2"/>
  </r>
  <r>
    <s v="Day 25"/>
    <x v="8"/>
  </r>
  <r>
    <s v="Day 26"/>
    <x v="9"/>
  </r>
  <r>
    <s v="Day 27"/>
    <x v="4"/>
  </r>
  <r>
    <s v="Day 28"/>
    <x v="6"/>
  </r>
  <r>
    <s v="Day 29"/>
    <x v="4"/>
  </r>
  <r>
    <s v="Day 30"/>
    <x v="2"/>
  </r>
  <r>
    <s v="Day 31"/>
    <x v="10"/>
  </r>
  <r>
    <s v="Day 32"/>
    <x v="6"/>
  </r>
  <r>
    <s v="Day 33"/>
    <x v="5"/>
  </r>
  <r>
    <s v="Day 34"/>
    <x v="9"/>
  </r>
  <r>
    <s v="Day 35"/>
    <x v="7"/>
  </r>
  <r>
    <s v="Day 36"/>
    <x v="9"/>
  </r>
  <r>
    <s v="Day 37"/>
    <x v="5"/>
  </r>
  <r>
    <s v="Day 38"/>
    <x v="2"/>
  </r>
  <r>
    <s v="Day 39"/>
    <x v="5"/>
  </r>
  <r>
    <s v="Day 40"/>
    <x v="9"/>
  </r>
  <r>
    <s v="Day 41"/>
    <x v="0"/>
  </r>
  <r>
    <s v="Day 42"/>
    <x v="0"/>
  </r>
  <r>
    <s v="Day 43"/>
    <x v="4"/>
  </r>
  <r>
    <s v="Day 44"/>
    <x v="11"/>
  </r>
  <r>
    <s v="Day 45"/>
    <x v="7"/>
  </r>
  <r>
    <s v="Day 46"/>
    <x v="10"/>
  </r>
  <r>
    <s v="Day 47"/>
    <x v="8"/>
  </r>
  <r>
    <s v="Day 48"/>
    <x v="3"/>
  </r>
  <r>
    <s v="Day 49"/>
    <x v="10"/>
  </r>
  <r>
    <s v="Day 50"/>
    <x v="1"/>
  </r>
  <r>
    <s v="Day 51"/>
    <x v="4"/>
  </r>
  <r>
    <s v="Day 52"/>
    <x v="4"/>
  </r>
  <r>
    <s v="Day 53"/>
    <x v="8"/>
  </r>
  <r>
    <s v="Day 54"/>
    <x v="9"/>
  </r>
  <r>
    <s v="Day 55"/>
    <x v="10"/>
  </r>
  <r>
    <s v="Day 56"/>
    <x v="7"/>
  </r>
  <r>
    <s v="Day 57"/>
    <x v="3"/>
  </r>
  <r>
    <s v="Day 58"/>
    <x v="10"/>
  </r>
  <r>
    <s v="Day 59"/>
    <x v="3"/>
  </r>
  <r>
    <s v="Day 60"/>
    <x v="6"/>
  </r>
  <r>
    <s v="Day 61"/>
    <x v="7"/>
  </r>
  <r>
    <s v="Day 62"/>
    <x v="4"/>
  </r>
  <r>
    <s v="Day 63"/>
    <x v="7"/>
  </r>
  <r>
    <s v="Day 64"/>
    <x v="7"/>
  </r>
  <r>
    <s v="Day 65"/>
    <x v="1"/>
  </r>
  <r>
    <s v="Day 66"/>
    <x v="4"/>
  </r>
  <r>
    <s v="Day 67"/>
    <x v="7"/>
  </r>
  <r>
    <s v="Day 68"/>
    <x v="9"/>
  </r>
  <r>
    <s v="Day 69"/>
    <x v="7"/>
  </r>
  <r>
    <s v="Day 70"/>
    <x v="3"/>
  </r>
  <r>
    <s v="Day 71"/>
    <x v="0"/>
  </r>
  <r>
    <s v="Day 72"/>
    <x v="9"/>
  </r>
  <r>
    <s v="Day 73"/>
    <x v="0"/>
  </r>
  <r>
    <s v="Day 74"/>
    <x v="3"/>
  </r>
  <r>
    <s v="Day 75"/>
    <x v="6"/>
  </r>
  <r>
    <s v="Day 76"/>
    <x v="3"/>
  </r>
  <r>
    <s v="Day 77"/>
    <x v="6"/>
  </r>
  <r>
    <s v="Day 78"/>
    <x v="8"/>
  </r>
  <r>
    <s v="Day 79"/>
    <x v="7"/>
  </r>
  <r>
    <s v="Day 80"/>
    <x v="0"/>
  </r>
  <r>
    <s v="Day 81"/>
    <x v="3"/>
  </r>
  <r>
    <s v="Day 82"/>
    <x v="1"/>
  </r>
  <r>
    <s v="Day 83"/>
    <x v="5"/>
  </r>
  <r>
    <s v="Day 84"/>
    <x v="10"/>
  </r>
  <r>
    <s v="Day 85"/>
    <x v="7"/>
  </r>
  <r>
    <s v="Day 86"/>
    <x v="3"/>
  </r>
  <r>
    <s v="Day 87"/>
    <x v="7"/>
  </r>
  <r>
    <s v="Day 88"/>
    <x v="1"/>
  </r>
  <r>
    <s v="Day 89"/>
    <x v="7"/>
  </r>
  <r>
    <s v="Day 90"/>
    <x v="2"/>
  </r>
  <r>
    <s v="Day 91"/>
    <x v="4"/>
  </r>
  <r>
    <s v="Day 92"/>
    <x v="9"/>
  </r>
  <r>
    <s v="Day 93"/>
    <x v="3"/>
  </r>
  <r>
    <s v="Day 94"/>
    <x v="4"/>
  </r>
  <r>
    <s v="Day 95"/>
    <x v="8"/>
  </r>
  <r>
    <s v="Day 96"/>
    <x v="10"/>
  </r>
  <r>
    <s v="Day 97"/>
    <x v="0"/>
  </r>
  <r>
    <s v="Day 98"/>
    <x v="0"/>
  </r>
  <r>
    <s v="Day 99"/>
    <x v="1"/>
  </r>
  <r>
    <s v="Day 100"/>
    <x v="7"/>
  </r>
  <r>
    <s v="Day 101"/>
    <x v="11"/>
  </r>
  <r>
    <s v="Day 102"/>
    <x v="0"/>
  </r>
  <r>
    <s v="Day 103"/>
    <x v="9"/>
  </r>
  <r>
    <s v="Day 104"/>
    <x v="1"/>
  </r>
  <r>
    <s v="Day 105"/>
    <x v="0"/>
  </r>
  <r>
    <s v="Day 106"/>
    <x v="5"/>
  </r>
  <r>
    <s v="Day 107"/>
    <x v="5"/>
  </r>
  <r>
    <s v="Day 108"/>
    <x v="4"/>
  </r>
  <r>
    <s v="Day 109"/>
    <x v="0"/>
  </r>
  <r>
    <s v="Day 110"/>
    <x v="10"/>
  </r>
  <r>
    <s v="Day 111"/>
    <x v="11"/>
  </r>
  <r>
    <s v="Day 112"/>
    <x v="6"/>
  </r>
  <r>
    <s v="Day 113"/>
    <x v="1"/>
  </r>
  <r>
    <s v="Day 114"/>
    <x v="2"/>
  </r>
  <r>
    <s v="Day 115"/>
    <x v="10"/>
  </r>
  <r>
    <s v="Day 116"/>
    <x v="2"/>
  </r>
  <r>
    <s v="Day 117"/>
    <x v="5"/>
  </r>
  <r>
    <s v="Day 118"/>
    <x v="5"/>
  </r>
  <r>
    <s v="Day 119"/>
    <x v="1"/>
  </r>
  <r>
    <s v="Day 120"/>
    <x v="6"/>
  </r>
  <r>
    <s v="Day 121"/>
    <x v="4"/>
  </r>
  <r>
    <s v="Day 122"/>
    <x v="3"/>
  </r>
  <r>
    <s v="Day 123"/>
    <x v="10"/>
  </r>
  <r>
    <s v="Day 124"/>
    <x v="3"/>
  </r>
  <r>
    <s v="Day 125"/>
    <x v="3"/>
  </r>
  <r>
    <s v="Day 126"/>
    <x v="4"/>
  </r>
  <r>
    <s v="Day 127"/>
    <x v="9"/>
  </r>
  <r>
    <s v="Day 128"/>
    <x v="8"/>
  </r>
  <r>
    <s v="Day 129"/>
    <x v="8"/>
  </r>
  <r>
    <s v="Day 130"/>
    <x v="9"/>
  </r>
  <r>
    <s v="Day 131"/>
    <x v="11"/>
  </r>
  <r>
    <s v="Day 132"/>
    <x v="6"/>
  </r>
  <r>
    <s v="Day 133"/>
    <x v="5"/>
  </r>
  <r>
    <s v="Day 134"/>
    <x v="5"/>
  </r>
  <r>
    <s v="Day 135"/>
    <x v="4"/>
  </r>
  <r>
    <s v="Day 136"/>
    <x v="3"/>
  </r>
  <r>
    <s v="Day 137"/>
    <x v="6"/>
  </r>
  <r>
    <s v="Day 138"/>
    <x v="8"/>
  </r>
  <r>
    <s v="Day 139"/>
    <x v="0"/>
  </r>
  <r>
    <s v="Day 140"/>
    <x v="2"/>
  </r>
  <r>
    <s v="Day 141"/>
    <x v="1"/>
  </r>
  <r>
    <s v="Day 142"/>
    <x v="1"/>
  </r>
  <r>
    <s v="Day 143"/>
    <x v="1"/>
  </r>
  <r>
    <s v="Day 144"/>
    <x v="2"/>
  </r>
  <r>
    <s v="Day 145"/>
    <x v="7"/>
  </r>
  <r>
    <s v="Day 146"/>
    <x v="11"/>
  </r>
  <r>
    <s v="Day 147"/>
    <x v="1"/>
  </r>
  <r>
    <s v="Day 148"/>
    <x v="9"/>
  </r>
  <r>
    <s v="Day 149"/>
    <x v="7"/>
  </r>
  <r>
    <s v="Day 150"/>
    <x v="8"/>
  </r>
  <r>
    <s v="Day 151"/>
    <x v="6"/>
  </r>
  <r>
    <s v="Day 152"/>
    <x v="9"/>
  </r>
  <r>
    <s v="Day 153"/>
    <x v="1"/>
  </r>
  <r>
    <s v="Day 154"/>
    <x v="2"/>
  </r>
  <r>
    <s v="Day 155"/>
    <x v="8"/>
  </r>
  <r>
    <s v="Day 156"/>
    <x v="5"/>
  </r>
  <r>
    <s v="Day 157"/>
    <x v="9"/>
  </r>
  <r>
    <s v="Day 158"/>
    <x v="0"/>
  </r>
  <r>
    <s v="Day 159"/>
    <x v="0"/>
  </r>
  <r>
    <s v="Day 160"/>
    <x v="0"/>
  </r>
  <r>
    <s v="Day 161"/>
    <x v="4"/>
  </r>
  <r>
    <s v="Day 162"/>
    <x v="6"/>
  </r>
  <r>
    <s v="Day 163"/>
    <x v="11"/>
  </r>
  <r>
    <s v="Day 164"/>
    <x v="10"/>
  </r>
  <r>
    <s v="Day 165"/>
    <x v="9"/>
  </r>
  <r>
    <s v="Day 166"/>
    <x v="8"/>
  </r>
  <r>
    <s v="Day 167"/>
    <x v="0"/>
  </r>
  <r>
    <s v="Day 168"/>
    <x v="10"/>
  </r>
  <r>
    <s v="Day 169"/>
    <x v="10"/>
  </r>
  <r>
    <s v="Day 170"/>
    <x v="11"/>
  </r>
  <r>
    <s v="Day 171"/>
    <x v="10"/>
  </r>
  <r>
    <s v="Day 172"/>
    <x v="10"/>
  </r>
  <r>
    <s v="Day 173"/>
    <x v="4"/>
  </r>
  <r>
    <s v="Day 174"/>
    <x v="6"/>
  </r>
  <r>
    <s v="Day 175"/>
    <x v="11"/>
  </r>
  <r>
    <s v="Day 176"/>
    <x v="0"/>
  </r>
  <r>
    <s v="Day 177"/>
    <x v="3"/>
  </r>
  <r>
    <s v="Day 178"/>
    <x v="1"/>
  </r>
  <r>
    <s v="Day 179"/>
    <x v="3"/>
  </r>
  <r>
    <s v="Day 180"/>
    <x v="3"/>
  </r>
  <r>
    <s v="Day 181"/>
    <x v="1"/>
  </r>
  <r>
    <s v="Day 182"/>
    <x v="6"/>
  </r>
  <r>
    <s v="Day 183"/>
    <x v="0"/>
  </r>
  <r>
    <s v="Day 184"/>
    <x v="3"/>
  </r>
  <r>
    <s v="Day 185"/>
    <x v="10"/>
  </r>
  <r>
    <s v="Day 186"/>
    <x v="1"/>
  </r>
  <r>
    <s v="Day 187"/>
    <x v="11"/>
  </r>
  <r>
    <s v="Day 188"/>
    <x v="1"/>
  </r>
  <r>
    <s v="Day 189"/>
    <x v="3"/>
  </r>
  <r>
    <s v="Day 190"/>
    <x v="0"/>
  </r>
  <r>
    <s v="Day 191"/>
    <x v="3"/>
  </r>
  <r>
    <s v="Day 192"/>
    <x v="3"/>
  </r>
  <r>
    <s v="Day 193"/>
    <x v="10"/>
  </r>
  <r>
    <s v="Day 194"/>
    <x v="11"/>
  </r>
  <r>
    <s v="Day 195"/>
    <x v="2"/>
  </r>
  <r>
    <s v="Day 196"/>
    <x v="3"/>
  </r>
  <r>
    <s v="Day 197"/>
    <x v="4"/>
  </r>
  <r>
    <s v="Day 198"/>
    <x v="9"/>
  </r>
  <r>
    <s v="Day 199"/>
    <x v="8"/>
  </r>
  <r>
    <s v="Day 200"/>
    <x v="2"/>
  </r>
  <r>
    <s v="Day 201"/>
    <x v="1"/>
  </r>
  <r>
    <s v="Day 202"/>
    <x v="7"/>
  </r>
  <r>
    <s v="Day 203"/>
    <x v="10"/>
  </r>
  <r>
    <s v="Day 204"/>
    <x v="0"/>
  </r>
  <r>
    <s v="Day 205"/>
    <x v="0"/>
  </r>
  <r>
    <s v="Day 206"/>
    <x v="1"/>
  </r>
  <r>
    <s v="Day 207"/>
    <x v="8"/>
  </r>
  <r>
    <s v="Day 208"/>
    <x v="5"/>
  </r>
  <r>
    <s v="Day 209"/>
    <x v="4"/>
  </r>
  <r>
    <s v="Day 210"/>
    <x v="3"/>
  </r>
  <r>
    <s v="Day 211"/>
    <x v="1"/>
  </r>
  <r>
    <s v="Day 212"/>
    <x v="11"/>
  </r>
  <r>
    <s v="Day 213"/>
    <x v="1"/>
  </r>
  <r>
    <s v="Day 214"/>
    <x v="4"/>
  </r>
  <r>
    <s v="Day 215"/>
    <x v="8"/>
  </r>
  <r>
    <s v="Day 216"/>
    <x v="3"/>
  </r>
  <r>
    <s v="Day 217"/>
    <x v="3"/>
  </r>
  <r>
    <s v="Day 218"/>
    <x v="3"/>
  </r>
  <r>
    <s v="Day 219"/>
    <x v="9"/>
  </r>
  <r>
    <s v="Day 220"/>
    <x v="8"/>
  </r>
  <r>
    <s v="Day 221"/>
    <x v="10"/>
  </r>
  <r>
    <s v="Day 222"/>
    <x v="5"/>
  </r>
  <r>
    <s v="Day 223"/>
    <x v="10"/>
  </r>
  <r>
    <s v="Day 224"/>
    <x v="7"/>
  </r>
  <r>
    <s v="Day 225"/>
    <x v="9"/>
  </r>
  <r>
    <s v="Day 226"/>
    <x v="4"/>
  </r>
  <r>
    <s v="Day 227"/>
    <x v="0"/>
  </r>
  <r>
    <s v="Day 228"/>
    <x v="2"/>
  </r>
  <r>
    <s v="Day 229"/>
    <x v="11"/>
  </r>
  <r>
    <s v="Day 230"/>
    <x v="3"/>
  </r>
  <r>
    <s v="Day 231"/>
    <x v="6"/>
  </r>
  <r>
    <s v="Day 232"/>
    <x v="4"/>
  </r>
  <r>
    <s v="Day 233"/>
    <x v="8"/>
  </r>
  <r>
    <s v="Day 234"/>
    <x v="4"/>
  </r>
  <r>
    <s v="Day 235"/>
    <x v="4"/>
  </r>
  <r>
    <s v="Day 236"/>
    <x v="5"/>
  </r>
  <r>
    <s v="Day 237"/>
    <x v="3"/>
  </r>
  <r>
    <s v="Day 238"/>
    <x v="7"/>
  </r>
  <r>
    <s v="Day 239"/>
    <x v="1"/>
  </r>
  <r>
    <s v="Day 240"/>
    <x v="7"/>
  </r>
  <r>
    <s v="Day 241"/>
    <x v="11"/>
  </r>
  <r>
    <s v="Day 242"/>
    <x v="4"/>
  </r>
  <r>
    <s v="Day 243"/>
    <x v="5"/>
  </r>
  <r>
    <s v="Day 244"/>
    <x v="3"/>
  </r>
  <r>
    <s v="Day 245"/>
    <x v="11"/>
  </r>
  <r>
    <s v="Day 246"/>
    <x v="3"/>
  </r>
  <r>
    <s v="Day 247"/>
    <x v="11"/>
  </r>
  <r>
    <s v="Day 248"/>
    <x v="10"/>
  </r>
  <r>
    <s v="Day 249"/>
    <x v="8"/>
  </r>
  <r>
    <s v="Day 250"/>
    <x v="2"/>
  </r>
  <r>
    <s v="Day 251"/>
    <x v="1"/>
  </r>
  <r>
    <s v="Day 252"/>
    <x v="10"/>
  </r>
  <r>
    <s v="Day 253"/>
    <x v="5"/>
  </r>
  <r>
    <s v="Day 254"/>
    <x v="3"/>
  </r>
  <r>
    <s v="Day 255"/>
    <x v="11"/>
  </r>
  <r>
    <s v="Day 256"/>
    <x v="8"/>
  </r>
  <r>
    <s v="Day 257"/>
    <x v="7"/>
  </r>
  <r>
    <s v="Day 258"/>
    <x v="1"/>
  </r>
  <r>
    <s v="Day 259"/>
    <x v="1"/>
  </r>
  <r>
    <s v="Day 260"/>
    <x v="2"/>
  </r>
  <r>
    <s v="Day 261"/>
    <x v="7"/>
  </r>
  <r>
    <s v="Day 262"/>
    <x v="10"/>
  </r>
  <r>
    <s v="Day 263"/>
    <x v="11"/>
  </r>
  <r>
    <s v="Day 264"/>
    <x v="6"/>
  </r>
  <r>
    <s v="Day 265"/>
    <x v="10"/>
  </r>
  <r>
    <s v="Day 266"/>
    <x v="11"/>
  </r>
  <r>
    <s v="Day 267"/>
    <x v="4"/>
  </r>
  <r>
    <s v="Day 268"/>
    <x v="1"/>
  </r>
  <r>
    <s v="Day 269"/>
    <x v="11"/>
  </r>
  <r>
    <s v="Day 270"/>
    <x v="10"/>
  </r>
  <r>
    <s v="Day 271"/>
    <x v="6"/>
  </r>
  <r>
    <s v="Day 272"/>
    <x v="9"/>
  </r>
  <r>
    <s v="Day 273"/>
    <x v="10"/>
  </r>
  <r>
    <s v="Day 274"/>
    <x v="9"/>
  </r>
  <r>
    <s v="Day 275"/>
    <x v="9"/>
  </r>
  <r>
    <s v="Day 276"/>
    <x v="6"/>
  </r>
  <r>
    <s v="Day 277"/>
    <x v="3"/>
  </r>
  <r>
    <s v="Day 278"/>
    <x v="5"/>
  </r>
  <r>
    <s v="Day 279"/>
    <x v="11"/>
  </r>
  <r>
    <s v="Day 280"/>
    <x v="5"/>
  </r>
  <r>
    <s v="Day 281"/>
    <x v="9"/>
  </r>
  <r>
    <s v="Day 282"/>
    <x v="1"/>
  </r>
  <r>
    <s v="Day 283"/>
    <x v="9"/>
  </r>
  <r>
    <s v="Day 284"/>
    <x v="4"/>
  </r>
  <r>
    <s v="Day 285"/>
    <x v="7"/>
  </r>
  <r>
    <s v="Day 286"/>
    <x v="0"/>
  </r>
  <r>
    <s v="Day 287"/>
    <x v="7"/>
  </r>
  <r>
    <s v="Day 288"/>
    <x v="10"/>
  </r>
  <r>
    <s v="Day 289"/>
    <x v="8"/>
  </r>
  <r>
    <s v="Day 290"/>
    <x v="6"/>
  </r>
  <r>
    <s v="Day 291"/>
    <x v="0"/>
  </r>
  <r>
    <s v="Day 292"/>
    <x v="0"/>
  </r>
  <r>
    <s v="Day 293"/>
    <x v="9"/>
  </r>
  <r>
    <s v="Day 294"/>
    <x v="3"/>
  </r>
  <r>
    <s v="Day 295"/>
    <x v="1"/>
  </r>
  <r>
    <s v="Day 296"/>
    <x v="2"/>
  </r>
  <r>
    <s v="Day 297"/>
    <x v="6"/>
  </r>
  <r>
    <s v="Day 298"/>
    <x v="3"/>
  </r>
  <r>
    <s v="Day 299"/>
    <x v="0"/>
  </r>
  <r>
    <s v="Day 300"/>
    <x v="10"/>
  </r>
  <r>
    <s v="Day 301"/>
    <x v="1"/>
  </r>
  <r>
    <s v="Day 302"/>
    <x v="2"/>
  </r>
  <r>
    <s v="Day 303"/>
    <x v="7"/>
  </r>
  <r>
    <s v="Day 304"/>
    <x v="4"/>
  </r>
  <r>
    <s v="Day 305"/>
    <x v="11"/>
  </r>
  <r>
    <s v="Day 306"/>
    <x v="2"/>
  </r>
  <r>
    <s v="Day 307"/>
    <x v="11"/>
  </r>
  <r>
    <s v="Day 308"/>
    <x v="3"/>
  </r>
  <r>
    <s v="Day 309"/>
    <x v="2"/>
  </r>
  <r>
    <s v="Day 310"/>
    <x v="10"/>
  </r>
  <r>
    <s v="Day 311"/>
    <x v="9"/>
  </r>
  <r>
    <s v="Day 312"/>
    <x v="0"/>
  </r>
  <r>
    <s v="Day 313"/>
    <x v="6"/>
  </r>
  <r>
    <s v="Day 314"/>
    <x v="4"/>
  </r>
  <r>
    <s v="Day 315"/>
    <x v="5"/>
  </r>
  <r>
    <s v="Day 316"/>
    <x v="5"/>
  </r>
  <r>
    <s v="Day 317"/>
    <x v="9"/>
  </r>
  <r>
    <s v="Day 318"/>
    <x v="8"/>
  </r>
  <r>
    <s v="Day 319"/>
    <x v="2"/>
  </r>
  <r>
    <s v="Day 320"/>
    <x v="7"/>
  </r>
  <r>
    <s v="Day 321"/>
    <x v="5"/>
  </r>
  <r>
    <s v="Day 322"/>
    <x v="6"/>
  </r>
  <r>
    <s v="Day 323"/>
    <x v="0"/>
  </r>
  <r>
    <s v="Day 324"/>
    <x v="6"/>
  </r>
  <r>
    <s v="Day 325"/>
    <x v="11"/>
  </r>
  <r>
    <s v="Day 326"/>
    <x v="2"/>
  </r>
  <r>
    <s v="Day 327"/>
    <x v="2"/>
  </r>
  <r>
    <s v="Day 328"/>
    <x v="11"/>
  </r>
  <r>
    <s v="Day 329"/>
    <x v="7"/>
  </r>
  <r>
    <s v="Day 330"/>
    <x v="10"/>
  </r>
  <r>
    <s v="Day 331"/>
    <x v="11"/>
  </r>
  <r>
    <s v="Day 332"/>
    <x v="9"/>
  </r>
  <r>
    <s v="Day 333"/>
    <x v="11"/>
  </r>
  <r>
    <s v="Day 334"/>
    <x v="5"/>
  </r>
  <r>
    <s v="Day 335"/>
    <x v="8"/>
  </r>
  <r>
    <s v="Day 336"/>
    <x v="1"/>
  </r>
  <r>
    <s v="Day 337"/>
    <x v="7"/>
  </r>
  <r>
    <s v="Day 338"/>
    <x v="11"/>
  </r>
  <r>
    <s v="Day 339"/>
    <x v="6"/>
  </r>
  <r>
    <s v="Day 340"/>
    <x v="5"/>
  </r>
  <r>
    <s v="Day 341"/>
    <x v="1"/>
  </r>
  <r>
    <s v="Day 342"/>
    <x v="4"/>
  </r>
  <r>
    <s v="Day 343"/>
    <x v="10"/>
  </r>
  <r>
    <s v="Day 344"/>
    <x v="9"/>
  </r>
  <r>
    <s v="Day 345"/>
    <x v="7"/>
  </r>
  <r>
    <s v="Day 346"/>
    <x v="8"/>
  </r>
  <r>
    <s v="Day 347"/>
    <x v="3"/>
  </r>
  <r>
    <s v="Day 348"/>
    <x v="7"/>
  </r>
  <r>
    <s v="Day 349"/>
    <x v="4"/>
  </r>
  <r>
    <s v="Day 350"/>
    <x v="4"/>
  </r>
  <r>
    <s v="Day 351"/>
    <x v="0"/>
  </r>
  <r>
    <s v="Day 352"/>
    <x v="4"/>
  </r>
  <r>
    <s v="Day 353"/>
    <x v="1"/>
  </r>
  <r>
    <s v="Day 354"/>
    <x v="10"/>
  </r>
  <r>
    <s v="Day 355"/>
    <x v="7"/>
  </r>
  <r>
    <s v="Day 356"/>
    <x v="6"/>
  </r>
  <r>
    <s v="Day 357"/>
    <x v="2"/>
  </r>
  <r>
    <s v="Day 358"/>
    <x v="8"/>
  </r>
  <r>
    <s v="Day 359"/>
    <x v="6"/>
  </r>
  <r>
    <s v="Day 360"/>
    <x v="1"/>
  </r>
  <r>
    <s v="Day 361"/>
    <x v="11"/>
  </r>
  <r>
    <s v="Day 362"/>
    <x v="0"/>
  </r>
  <r>
    <s v="Day 363"/>
    <x v="9"/>
  </r>
  <r>
    <s v="Day 364"/>
    <x v="3"/>
  </r>
  <r>
    <s v="Day 36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25:F38" firstHeaderRow="1" firstDataRow="1" firstDataCol="1"/>
  <pivotFields count="2">
    <pivotField dataField="1" showAll="0"/>
    <pivotField axis="axisRow" showAll="0">
      <items count="13">
        <item x="5"/>
        <item x="0"/>
        <item x="1"/>
        <item x="9"/>
        <item x="6"/>
        <item x="10"/>
        <item x="4"/>
        <item x="3"/>
        <item x="2"/>
        <item x="11"/>
        <item x="8"/>
        <item x="7"/>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Day"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0"/>
  <sheetViews>
    <sheetView topLeftCell="A55" workbookViewId="0">
      <selection activeCell="D59" sqref="D59"/>
    </sheetView>
  </sheetViews>
  <sheetFormatPr defaultColWidth="8.88671875" defaultRowHeight="19.8" x14ac:dyDescent="0.4"/>
  <cols>
    <col min="1" max="1" width="51.5546875" style="11" bestFit="1" customWidth="1"/>
    <col min="2" max="2" width="27.109375" style="11" bestFit="1" customWidth="1"/>
    <col min="3" max="6" width="8.88671875" style="11"/>
    <col min="7" max="7" width="51.5546875" style="11" bestFit="1" customWidth="1"/>
    <col min="8" max="8" width="27.109375" style="11" bestFit="1" customWidth="1"/>
    <col min="9" max="16384" width="8.88671875" style="11"/>
  </cols>
  <sheetData>
    <row r="1" spans="1:2" x14ac:dyDescent="0.4">
      <c r="A1" s="27" t="s">
        <v>66</v>
      </c>
      <c r="B1" s="27" t="s">
        <v>67</v>
      </c>
    </row>
    <row r="2" spans="1:2" x14ac:dyDescent="0.4">
      <c r="A2" s="4" t="s">
        <v>69</v>
      </c>
      <c r="B2" s="25" t="s">
        <v>74</v>
      </c>
    </row>
    <row r="3" spans="1:2" x14ac:dyDescent="0.4">
      <c r="A3" s="4" t="s">
        <v>1</v>
      </c>
      <c r="B3" s="26" t="s">
        <v>75</v>
      </c>
    </row>
    <row r="4" spans="1:2" x14ac:dyDescent="0.4">
      <c r="A4" s="4" t="s">
        <v>56</v>
      </c>
      <c r="B4" s="26" t="s">
        <v>76</v>
      </c>
    </row>
    <row r="5" spans="1:2" x14ac:dyDescent="0.4">
      <c r="A5" s="4" t="s">
        <v>70</v>
      </c>
      <c r="B5" s="26" t="s">
        <v>77</v>
      </c>
    </row>
    <row r="6" spans="1:2" x14ac:dyDescent="0.4">
      <c r="A6" s="4" t="s">
        <v>57</v>
      </c>
      <c r="B6" s="26" t="s">
        <v>78</v>
      </c>
    </row>
    <row r="7" spans="1:2" x14ac:dyDescent="0.4">
      <c r="A7" s="4" t="s">
        <v>18</v>
      </c>
      <c r="B7" s="26" t="s">
        <v>79</v>
      </c>
    </row>
    <row r="8" spans="1:2" x14ac:dyDescent="0.4">
      <c r="A8" s="4" t="s">
        <v>71</v>
      </c>
      <c r="B8" s="26" t="s">
        <v>80</v>
      </c>
    </row>
    <row r="9" spans="1:2" x14ac:dyDescent="0.4">
      <c r="A9" s="4" t="s">
        <v>72</v>
      </c>
      <c r="B9" s="26" t="s">
        <v>81</v>
      </c>
    </row>
    <row r="10" spans="1:2" x14ac:dyDescent="0.4">
      <c r="A10" s="4" t="s">
        <v>73</v>
      </c>
      <c r="B10" s="26" t="s">
        <v>82</v>
      </c>
    </row>
    <row r="11" spans="1:2" x14ac:dyDescent="0.4">
      <c r="A11" s="4" t="s">
        <v>64</v>
      </c>
      <c r="B11" s="25" t="s">
        <v>83</v>
      </c>
    </row>
    <row r="12" spans="1:2" x14ac:dyDescent="0.4">
      <c r="A12" s="4" t="s">
        <v>65</v>
      </c>
      <c r="B12" s="26" t="s">
        <v>84</v>
      </c>
    </row>
    <row r="13" spans="1:2" x14ac:dyDescent="0.4">
      <c r="A13" s="4" t="s">
        <v>131</v>
      </c>
      <c r="B13" s="26" t="s">
        <v>133</v>
      </c>
    </row>
    <row r="14" spans="1:2" x14ac:dyDescent="0.4">
      <c r="A14" s="4" t="s">
        <v>132</v>
      </c>
      <c r="B14" s="26" t="s">
        <v>134</v>
      </c>
    </row>
    <row r="17" spans="1:1" x14ac:dyDescent="0.4">
      <c r="A17" s="63"/>
    </row>
    <row r="18" spans="1:1" x14ac:dyDescent="0.4">
      <c r="A18" s="63" t="s">
        <v>194</v>
      </c>
    </row>
    <row r="19" spans="1:1" x14ac:dyDescent="0.4">
      <c r="A19" s="63"/>
    </row>
    <row r="20" spans="1:1" x14ac:dyDescent="0.4">
      <c r="A20" s="63" t="s">
        <v>195</v>
      </c>
    </row>
    <row r="21" spans="1:1" x14ac:dyDescent="0.4">
      <c r="A21" s="63" t="s">
        <v>196</v>
      </c>
    </row>
    <row r="22" spans="1:1" x14ac:dyDescent="0.4">
      <c r="A22" s="63" t="s">
        <v>197</v>
      </c>
    </row>
    <row r="23" spans="1:1" x14ac:dyDescent="0.4">
      <c r="A23" s="63" t="s">
        <v>198</v>
      </c>
    </row>
    <row r="24" spans="1:1" ht="21" x14ac:dyDescent="0.4">
      <c r="A24" s="75" t="s">
        <v>199</v>
      </c>
    </row>
    <row r="25" spans="1:1" x14ac:dyDescent="0.4">
      <c r="A25" s="63"/>
    </row>
    <row r="26" spans="1:1" x14ac:dyDescent="0.4">
      <c r="A26" s="63" t="s">
        <v>200</v>
      </c>
    </row>
    <row r="27" spans="1:1" x14ac:dyDescent="0.4">
      <c r="A27" s="63" t="s">
        <v>201</v>
      </c>
    </row>
    <row r="28" spans="1:1" x14ac:dyDescent="0.4">
      <c r="A28" s="63" t="s">
        <v>202</v>
      </c>
    </row>
    <row r="29" spans="1:1" x14ac:dyDescent="0.4">
      <c r="A29" s="63"/>
    </row>
    <row r="30" spans="1:1" s="62" customFormat="1" x14ac:dyDescent="0.4">
      <c r="A30" s="63" t="s">
        <v>204</v>
      </c>
    </row>
    <row r="31" spans="1:1" x14ac:dyDescent="0.4">
      <c r="A31" s="63"/>
    </row>
    <row r="32" spans="1:1" x14ac:dyDescent="0.4">
      <c r="A32" s="63" t="s">
        <v>1145</v>
      </c>
    </row>
    <row r="33" spans="1:2" x14ac:dyDescent="0.4">
      <c r="A33" s="63" t="s">
        <v>1118</v>
      </c>
    </row>
    <row r="34" spans="1:2" x14ac:dyDescent="0.4">
      <c r="A34" s="63" t="s">
        <v>1119</v>
      </c>
      <c r="B34" s="11" t="s">
        <v>1143</v>
      </c>
    </row>
    <row r="35" spans="1:2" x14ac:dyDescent="0.4">
      <c r="A35" s="63" t="s">
        <v>1120</v>
      </c>
      <c r="B35" s="11" t="s">
        <v>1144</v>
      </c>
    </row>
    <row r="36" spans="1:2" x14ac:dyDescent="0.4">
      <c r="A36" s="63" t="s">
        <v>1121</v>
      </c>
    </row>
    <row r="37" spans="1:2" x14ac:dyDescent="0.4">
      <c r="A37" s="63" t="s">
        <v>1122</v>
      </c>
    </row>
    <row r="38" spans="1:2" x14ac:dyDescent="0.4">
      <c r="A38" s="63" t="s">
        <v>1123</v>
      </c>
    </row>
    <row r="39" spans="1:2" x14ac:dyDescent="0.4">
      <c r="A39" s="63" t="s">
        <v>1124</v>
      </c>
    </row>
    <row r="40" spans="1:2" x14ac:dyDescent="0.4">
      <c r="A40" s="63" t="s">
        <v>1125</v>
      </c>
    </row>
    <row r="41" spans="1:2" x14ac:dyDescent="0.4">
      <c r="A41" s="63" t="s">
        <v>1126</v>
      </c>
    </row>
    <row r="42" spans="1:2" x14ac:dyDescent="0.4">
      <c r="A42" s="63"/>
    </row>
    <row r="43" spans="1:2" x14ac:dyDescent="0.4">
      <c r="A43" s="63" t="s">
        <v>1127</v>
      </c>
    </row>
    <row r="44" spans="1:2" x14ac:dyDescent="0.4">
      <c r="A44" s="63" t="s">
        <v>1128</v>
      </c>
    </row>
    <row r="45" spans="1:2" x14ac:dyDescent="0.4">
      <c r="A45" s="63" t="s">
        <v>1129</v>
      </c>
    </row>
    <row r="46" spans="1:2" x14ac:dyDescent="0.4">
      <c r="A46" s="63"/>
    </row>
    <row r="47" spans="1:2" x14ac:dyDescent="0.4">
      <c r="A47" s="63" t="s">
        <v>1130</v>
      </c>
      <c r="B47" s="199" t="s">
        <v>1131</v>
      </c>
    </row>
    <row r="48" spans="1:2" x14ac:dyDescent="0.4">
      <c r="A48" s="63" t="s">
        <v>1132</v>
      </c>
      <c r="B48" s="199" t="s">
        <v>1133</v>
      </c>
    </row>
    <row r="49" spans="1:4" x14ac:dyDescent="0.4">
      <c r="A49" s="63" t="s">
        <v>1134</v>
      </c>
      <c r="B49" s="200" t="s">
        <v>1135</v>
      </c>
    </row>
    <row r="50" spans="1:4" x14ac:dyDescent="0.4">
      <c r="A50" s="63" t="s">
        <v>1136</v>
      </c>
      <c r="B50" s="199" t="s">
        <v>1137</v>
      </c>
    </row>
    <row r="51" spans="1:4" x14ac:dyDescent="0.4">
      <c r="A51" s="63"/>
    </row>
    <row r="52" spans="1:4" x14ac:dyDescent="0.4">
      <c r="A52" s="199" t="s">
        <v>1138</v>
      </c>
      <c r="D52" s="199" t="s">
        <v>1141</v>
      </c>
    </row>
    <row r="53" spans="1:4" x14ac:dyDescent="0.4">
      <c r="A53" s="199" t="s">
        <v>1139</v>
      </c>
      <c r="D53" s="199" t="s">
        <v>1142</v>
      </c>
    </row>
    <row r="54" spans="1:4" x14ac:dyDescent="0.4">
      <c r="A54" s="63"/>
    </row>
    <row r="55" spans="1:4" x14ac:dyDescent="0.4">
      <c r="A55" s="11" t="s">
        <v>1140</v>
      </c>
    </row>
    <row r="56" spans="1:4" x14ac:dyDescent="0.4">
      <c r="A56" s="63"/>
    </row>
    <row r="57" spans="1:4" x14ac:dyDescent="0.4">
      <c r="A57" s="63" t="s">
        <v>1146</v>
      </c>
    </row>
    <row r="58" spans="1:4" x14ac:dyDescent="0.4">
      <c r="A58" s="63" t="s">
        <v>1147</v>
      </c>
      <c r="B58" s="199" t="s">
        <v>1149</v>
      </c>
    </row>
    <row r="59" spans="1:4" x14ac:dyDescent="0.4">
      <c r="A59" s="63" t="s">
        <v>1148</v>
      </c>
      <c r="B59" s="199" t="s">
        <v>1150</v>
      </c>
    </row>
    <row r="60" spans="1:4" x14ac:dyDescent="0.4">
      <c r="A60" s="199" t="s">
        <v>193</v>
      </c>
      <c r="B60" s="199" t="s">
        <v>1151</v>
      </c>
    </row>
  </sheetData>
  <hyperlinks>
    <hyperlink ref="B2" location="MeanMedianMode!A1" display="MeanMedianMode!A1" xr:uid="{00000000-0004-0000-0000-000000000000}"/>
    <hyperlink ref="B3" location="'Freq. Dist'!A1" display="'Freq. Dist'!A1" xr:uid="{00000000-0004-0000-0000-000001000000}"/>
    <hyperlink ref="B4" location="'Ogives and Hist.'!A1" display="'Ogives and Hist.'!A1" xr:uid="{00000000-0004-0000-0000-000002000000}"/>
    <hyperlink ref="B5" location="'Pie Chart'!A1" display="'Pie Chart'!A1" xr:uid="{00000000-0004-0000-0000-000003000000}"/>
    <hyperlink ref="B6" location="'Line Chart'!A1" display="'Line Chart'!A1" xr:uid="{00000000-0004-0000-0000-000004000000}"/>
    <hyperlink ref="B7" location="'Scatter Plot'!A1" display="'Scatter Plot'!A1" xr:uid="{00000000-0004-0000-0000-000005000000}"/>
    <hyperlink ref="B8" location="'Box and whiskers'!A1" display="'Box and whiskers'!A1" xr:uid="{00000000-0004-0000-0000-000006000000}"/>
    <hyperlink ref="B9" location="'VAR and SD Ex 1'!A1" display="'VAR and SD Ex 1'!A1" xr:uid="{00000000-0004-0000-0000-000007000000}"/>
    <hyperlink ref="B10" location="' VAR and SD Ex 2'!A1" display="' VAR and SD Ex 2'!A1" xr:uid="{00000000-0004-0000-0000-000008000000}"/>
    <hyperlink ref="B11" location="Empirical!A1" display="Empirical!A1" xr:uid="{00000000-0004-0000-0000-000009000000}"/>
    <hyperlink ref="B12" location="'Skewness and kurt'!A1" display="'Skewness and kurt'!A1" xr:uid="{00000000-0004-0000-0000-00000A000000}"/>
    <hyperlink ref="B13" location="'Descr. Stat'!A1" display="'Descr. Stat'!A1" xr:uid="{00000000-0004-0000-0000-00000B000000}"/>
    <hyperlink ref="B14" location="'Descr. Stat Exp'!A1" display="'Descr. Stat Exp'!A1" xr:uid="{00000000-0004-0000-0000-00000C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1"/>
  <sheetViews>
    <sheetView topLeftCell="A12" zoomScale="95" zoomScaleNormal="95" workbookViewId="0">
      <selection activeCell="A3" sqref="A3:D28"/>
    </sheetView>
  </sheetViews>
  <sheetFormatPr defaultColWidth="8.88671875" defaultRowHeight="19.8" x14ac:dyDescent="0.4"/>
  <cols>
    <col min="1" max="1" width="10.33203125" style="1" bestFit="1" customWidth="1"/>
    <col min="2" max="2" width="17.33203125" style="1" customWidth="1"/>
    <col min="3" max="3" width="14.109375" style="1" bestFit="1" customWidth="1"/>
    <col min="4" max="4" width="195.33203125" style="1" bestFit="1" customWidth="1"/>
    <col min="5" max="5" width="8.88671875" style="1"/>
    <col min="6" max="7" width="17.33203125" style="1" bestFit="1" customWidth="1"/>
    <col min="8" max="16384" width="8.88671875" style="1"/>
  </cols>
  <sheetData>
    <row r="1" spans="1:10" x14ac:dyDescent="0.4">
      <c r="A1" s="204" t="s">
        <v>63</v>
      </c>
      <c r="B1" s="204"/>
      <c r="C1" s="204"/>
    </row>
    <row r="3" spans="1:10" x14ac:dyDescent="0.4">
      <c r="A3" s="16" t="s">
        <v>21</v>
      </c>
    </row>
    <row r="4" spans="1:10" x14ac:dyDescent="0.4">
      <c r="A4" s="16" t="s">
        <v>22</v>
      </c>
    </row>
    <row r="7" spans="1:10" x14ac:dyDescent="0.4">
      <c r="B7" s="208" t="s">
        <v>60</v>
      </c>
      <c r="C7" s="208"/>
    </row>
    <row r="8" spans="1:10" ht="37.950000000000003" customHeight="1" x14ac:dyDescent="0.4">
      <c r="B8" s="12" t="s">
        <v>59</v>
      </c>
      <c r="C8" s="1" t="s">
        <v>23</v>
      </c>
    </row>
    <row r="9" spans="1:10" x14ac:dyDescent="0.4">
      <c r="B9" s="1">
        <v>12</v>
      </c>
      <c r="C9" s="1">
        <v>40</v>
      </c>
      <c r="F9" s="1">
        <f>STDEV(B9:B28)</f>
        <v>12.890224774488694</v>
      </c>
      <c r="G9" s="1">
        <f>STDEV(C9:C28)</f>
        <v>13.477076053334729</v>
      </c>
    </row>
    <row r="10" spans="1:10" x14ac:dyDescent="0.4">
      <c r="B10" s="1">
        <v>13</v>
      </c>
      <c r="C10" s="1">
        <v>10</v>
      </c>
    </row>
    <row r="11" spans="1:10" x14ac:dyDescent="0.4">
      <c r="B11" s="1">
        <v>17</v>
      </c>
      <c r="C11" s="1">
        <v>31</v>
      </c>
    </row>
    <row r="12" spans="1:10" x14ac:dyDescent="0.4">
      <c r="B12" s="1">
        <v>21</v>
      </c>
      <c r="C12" s="1">
        <v>59</v>
      </c>
      <c r="J12" s="17"/>
    </row>
    <row r="13" spans="1:10" x14ac:dyDescent="0.4">
      <c r="B13" s="1">
        <v>24</v>
      </c>
      <c r="C13" s="1">
        <v>13</v>
      </c>
    </row>
    <row r="14" spans="1:10" x14ac:dyDescent="0.4">
      <c r="B14" s="1">
        <v>24</v>
      </c>
      <c r="C14" s="1">
        <v>50</v>
      </c>
    </row>
    <row r="15" spans="1:10" x14ac:dyDescent="0.4">
      <c r="B15" s="1">
        <v>26</v>
      </c>
      <c r="C15" s="1">
        <v>27</v>
      </c>
    </row>
    <row r="16" spans="1:10" x14ac:dyDescent="0.4">
      <c r="B16" s="1">
        <v>27</v>
      </c>
      <c r="C16" s="1">
        <v>33</v>
      </c>
    </row>
    <row r="17" spans="1:3" x14ac:dyDescent="0.4">
      <c r="B17" s="1">
        <v>27</v>
      </c>
      <c r="C17" s="1">
        <v>53</v>
      </c>
    </row>
    <row r="18" spans="1:3" x14ac:dyDescent="0.4">
      <c r="B18" s="1">
        <v>30</v>
      </c>
      <c r="C18" s="1">
        <v>34</v>
      </c>
    </row>
    <row r="19" spans="1:3" x14ac:dyDescent="0.4">
      <c r="B19" s="1">
        <v>32</v>
      </c>
      <c r="C19" s="1">
        <v>16</v>
      </c>
    </row>
    <row r="20" spans="1:3" x14ac:dyDescent="0.4">
      <c r="B20" s="1">
        <v>35</v>
      </c>
      <c r="C20" s="1">
        <v>10</v>
      </c>
    </row>
    <row r="21" spans="1:3" x14ac:dyDescent="0.4">
      <c r="B21" s="1">
        <v>37</v>
      </c>
      <c r="C21" s="1">
        <v>34</v>
      </c>
    </row>
    <row r="22" spans="1:3" x14ac:dyDescent="0.4">
      <c r="B22" s="1">
        <v>38</v>
      </c>
      <c r="C22" s="1">
        <v>30</v>
      </c>
    </row>
    <row r="23" spans="1:3" x14ac:dyDescent="0.4">
      <c r="B23" s="1">
        <v>41</v>
      </c>
      <c r="C23" s="1">
        <v>33</v>
      </c>
    </row>
    <row r="24" spans="1:3" x14ac:dyDescent="0.4">
      <c r="B24" s="1">
        <v>43</v>
      </c>
      <c r="C24" s="1">
        <v>42</v>
      </c>
    </row>
    <row r="25" spans="1:3" x14ac:dyDescent="0.4">
      <c r="B25" s="1">
        <v>44</v>
      </c>
      <c r="C25" s="1">
        <v>34</v>
      </c>
    </row>
    <row r="26" spans="1:3" x14ac:dyDescent="0.4">
      <c r="B26" s="1">
        <v>46</v>
      </c>
      <c r="C26" s="1">
        <v>44</v>
      </c>
    </row>
    <row r="27" spans="1:3" x14ac:dyDescent="0.4">
      <c r="B27" s="1">
        <v>53</v>
      </c>
      <c r="C27" s="1">
        <v>29</v>
      </c>
    </row>
    <row r="28" spans="1:3" x14ac:dyDescent="0.4">
      <c r="B28" s="1">
        <v>60</v>
      </c>
      <c r="C28" s="1">
        <v>28</v>
      </c>
    </row>
    <row r="30" spans="1:3" x14ac:dyDescent="0.4">
      <c r="A30" s="1" t="s">
        <v>61</v>
      </c>
      <c r="B30" s="1">
        <f>SUM(B9:B29)</f>
        <v>650</v>
      </c>
      <c r="C30" s="1">
        <f>SUM(C9:C29)</f>
        <v>650</v>
      </c>
    </row>
    <row r="31" spans="1:3" x14ac:dyDescent="0.4">
      <c r="A31" s="1" t="s">
        <v>62</v>
      </c>
      <c r="B31" s="1">
        <f>B30/20</f>
        <v>32.5</v>
      </c>
    </row>
  </sheetData>
  <mergeCells count="2">
    <mergeCell ref="B7:C7"/>
    <mergeCell ref="A1:C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3"/>
  <sheetViews>
    <sheetView workbookViewId="0">
      <selection activeCell="I26" sqref="I26"/>
    </sheetView>
  </sheetViews>
  <sheetFormatPr defaultColWidth="8.88671875" defaultRowHeight="19.8" x14ac:dyDescent="0.4"/>
  <cols>
    <col min="1" max="16384" width="8.88671875" style="1"/>
  </cols>
  <sheetData>
    <row r="1" spans="1:2" x14ac:dyDescent="0.4">
      <c r="A1" s="204" t="s">
        <v>64</v>
      </c>
      <c r="B1" s="204"/>
    </row>
    <row r="3" spans="1:2" ht="20.399999999999999" thickBot="1" x14ac:dyDescent="0.45"/>
    <row r="4" spans="1:2" ht="20.399999999999999" thickBot="1" x14ac:dyDescent="0.45">
      <c r="A4" s="19">
        <v>12</v>
      </c>
    </row>
    <row r="5" spans="1:2" ht="20.399999999999999" thickBot="1" x14ac:dyDescent="0.45">
      <c r="A5" s="19">
        <v>13</v>
      </c>
    </row>
    <row r="6" spans="1:2" ht="20.399999999999999" thickBot="1" x14ac:dyDescent="0.45">
      <c r="A6" s="19">
        <v>17</v>
      </c>
    </row>
    <row r="7" spans="1:2" ht="20.399999999999999" thickBot="1" x14ac:dyDescent="0.45">
      <c r="A7" s="19">
        <v>21</v>
      </c>
    </row>
    <row r="8" spans="1:2" ht="20.399999999999999" thickBot="1" x14ac:dyDescent="0.45">
      <c r="A8" s="19">
        <v>24</v>
      </c>
    </row>
    <row r="9" spans="1:2" ht="20.399999999999999" thickBot="1" x14ac:dyDescent="0.45">
      <c r="A9" s="19">
        <v>24</v>
      </c>
    </row>
    <row r="10" spans="1:2" ht="20.399999999999999" thickBot="1" x14ac:dyDescent="0.45">
      <c r="A10" s="19">
        <v>26</v>
      </c>
    </row>
    <row r="11" spans="1:2" ht="20.399999999999999" thickBot="1" x14ac:dyDescent="0.45">
      <c r="A11" s="19">
        <v>27</v>
      </c>
    </row>
    <row r="12" spans="1:2" ht="20.399999999999999" thickBot="1" x14ac:dyDescent="0.45">
      <c r="A12" s="19">
        <v>27</v>
      </c>
    </row>
    <row r="13" spans="1:2" ht="20.399999999999999" thickBot="1" x14ac:dyDescent="0.45">
      <c r="A13" s="19">
        <v>30</v>
      </c>
    </row>
    <row r="14" spans="1:2" ht="20.399999999999999" thickBot="1" x14ac:dyDescent="0.45">
      <c r="A14" s="19">
        <v>32</v>
      </c>
    </row>
    <row r="15" spans="1:2" ht="20.399999999999999" thickBot="1" x14ac:dyDescent="0.45">
      <c r="A15" s="19">
        <v>35</v>
      </c>
    </row>
    <row r="16" spans="1:2" ht="20.399999999999999" thickBot="1" x14ac:dyDescent="0.45">
      <c r="A16" s="19">
        <v>37</v>
      </c>
    </row>
    <row r="17" spans="1:1" ht="20.399999999999999" thickBot="1" x14ac:dyDescent="0.45">
      <c r="A17" s="19">
        <v>38</v>
      </c>
    </row>
    <row r="18" spans="1:1" ht="20.399999999999999" thickBot="1" x14ac:dyDescent="0.45">
      <c r="A18" s="19">
        <v>41</v>
      </c>
    </row>
    <row r="19" spans="1:1" ht="20.399999999999999" thickBot="1" x14ac:dyDescent="0.45">
      <c r="A19" s="19">
        <v>43</v>
      </c>
    </row>
    <row r="20" spans="1:1" ht="20.399999999999999" thickBot="1" x14ac:dyDescent="0.45">
      <c r="A20" s="19">
        <v>44</v>
      </c>
    </row>
    <row r="21" spans="1:1" ht="20.399999999999999" thickBot="1" x14ac:dyDescent="0.45">
      <c r="A21" s="19">
        <v>46</v>
      </c>
    </row>
    <row r="22" spans="1:1" ht="20.399999999999999" thickBot="1" x14ac:dyDescent="0.45">
      <c r="A22" s="19">
        <v>53</v>
      </c>
    </row>
    <row r="23" spans="1:1" ht="20.399999999999999" thickBot="1" x14ac:dyDescent="0.45">
      <c r="A23" s="19">
        <v>60</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57"/>
  <sheetViews>
    <sheetView topLeftCell="A26" workbookViewId="0">
      <selection activeCell="O35" sqref="O35"/>
    </sheetView>
  </sheetViews>
  <sheetFormatPr defaultColWidth="8.88671875" defaultRowHeight="19.8" x14ac:dyDescent="0.4"/>
  <cols>
    <col min="1" max="1" width="15.6640625" style="1" bestFit="1" customWidth="1"/>
    <col min="2" max="7" width="8.88671875" style="1"/>
    <col min="8" max="8" width="13.6640625" style="1" bestFit="1" customWidth="1"/>
    <col min="9" max="15" width="8.88671875" style="1"/>
    <col min="16" max="16" width="9.88671875" style="1" bestFit="1" customWidth="1"/>
    <col min="17" max="16384" width="8.88671875" style="1"/>
  </cols>
  <sheetData>
    <row r="1" spans="1:8" x14ac:dyDescent="0.4">
      <c r="A1" s="204" t="s">
        <v>65</v>
      </c>
      <c r="B1" s="204"/>
      <c r="C1" s="204"/>
    </row>
    <row r="3" spans="1:8" x14ac:dyDescent="0.4">
      <c r="A3" s="209" t="s">
        <v>24</v>
      </c>
      <c r="B3" s="209"/>
      <c r="C3" s="209"/>
      <c r="D3" s="209"/>
      <c r="E3" s="209"/>
    </row>
    <row r="5" spans="1:8" x14ac:dyDescent="0.4">
      <c r="A5" s="11" t="s">
        <v>25</v>
      </c>
      <c r="G5" s="21" t="s">
        <v>28</v>
      </c>
      <c r="H5" s="21" t="s">
        <v>30</v>
      </c>
    </row>
    <row r="6" spans="1:8" x14ac:dyDescent="0.4">
      <c r="A6" s="11">
        <v>23</v>
      </c>
      <c r="G6" s="21">
        <v>0</v>
      </c>
      <c r="H6" s="21">
        <v>10</v>
      </c>
    </row>
    <row r="7" spans="1:8" x14ac:dyDescent="0.4">
      <c r="A7" s="11">
        <v>1</v>
      </c>
      <c r="G7" s="21">
        <v>15.25</v>
      </c>
      <c r="H7" s="21">
        <v>41</v>
      </c>
    </row>
    <row r="8" spans="1:8" x14ac:dyDescent="0.4">
      <c r="A8" s="11">
        <v>1</v>
      </c>
      <c r="C8" s="1">
        <f>KURT(A6:A157)</f>
        <v>9.4478449302370926E-3</v>
      </c>
      <c r="G8" s="21">
        <v>30.5</v>
      </c>
      <c r="H8" s="21">
        <v>23</v>
      </c>
    </row>
    <row r="9" spans="1:8" x14ac:dyDescent="0.4">
      <c r="A9" s="11">
        <v>3</v>
      </c>
      <c r="G9" s="21">
        <v>45.75</v>
      </c>
      <c r="H9" s="21">
        <v>20</v>
      </c>
    </row>
    <row r="10" spans="1:8" x14ac:dyDescent="0.4">
      <c r="A10" s="11">
        <v>38</v>
      </c>
      <c r="D10" s="1">
        <v>0</v>
      </c>
      <c r="G10" s="21">
        <v>61</v>
      </c>
      <c r="H10" s="21">
        <v>12</v>
      </c>
    </row>
    <row r="11" spans="1:8" x14ac:dyDescent="0.4">
      <c r="A11" s="11">
        <v>44</v>
      </c>
      <c r="D11" s="1">
        <v>5</v>
      </c>
      <c r="G11" s="21">
        <v>76.25</v>
      </c>
      <c r="H11" s="21">
        <v>10</v>
      </c>
    </row>
    <row r="12" spans="1:8" x14ac:dyDescent="0.4">
      <c r="A12" s="11">
        <v>33</v>
      </c>
      <c r="D12" s="1">
        <v>15</v>
      </c>
      <c r="G12" s="21">
        <v>91.5</v>
      </c>
      <c r="H12" s="21">
        <v>12</v>
      </c>
    </row>
    <row r="13" spans="1:8" x14ac:dyDescent="0.4">
      <c r="A13" s="11">
        <v>33</v>
      </c>
      <c r="D13" s="1">
        <v>25</v>
      </c>
      <c r="G13" s="21">
        <v>106.75</v>
      </c>
      <c r="H13" s="21">
        <v>8</v>
      </c>
    </row>
    <row r="14" spans="1:8" x14ac:dyDescent="0.4">
      <c r="A14" s="11">
        <v>46</v>
      </c>
      <c r="D14" s="1">
        <v>35</v>
      </c>
      <c r="G14" s="21">
        <v>122</v>
      </c>
      <c r="H14" s="21">
        <v>9</v>
      </c>
    </row>
    <row r="15" spans="1:8" x14ac:dyDescent="0.4">
      <c r="A15" s="11">
        <v>107</v>
      </c>
      <c r="D15" s="1">
        <v>45</v>
      </c>
      <c r="G15" s="21">
        <v>137.25</v>
      </c>
      <c r="H15" s="21">
        <v>5</v>
      </c>
    </row>
    <row r="16" spans="1:8" x14ac:dyDescent="0.4">
      <c r="A16" s="11">
        <v>8</v>
      </c>
      <c r="D16" s="1">
        <v>55</v>
      </c>
      <c r="G16" s="21">
        <v>152.5</v>
      </c>
      <c r="H16" s="21">
        <v>1</v>
      </c>
    </row>
    <row r="17" spans="1:17" ht="20.399999999999999" thickBot="1" x14ac:dyDescent="0.45">
      <c r="A17" s="11">
        <v>3</v>
      </c>
      <c r="D17" s="1">
        <v>65</v>
      </c>
      <c r="G17" s="21">
        <v>167.75</v>
      </c>
      <c r="H17" s="21">
        <v>0</v>
      </c>
    </row>
    <row r="18" spans="1:17" x14ac:dyDescent="0.4">
      <c r="A18" s="11">
        <v>4</v>
      </c>
      <c r="D18" s="1">
        <v>75</v>
      </c>
      <c r="G18" s="21" t="s">
        <v>29</v>
      </c>
      <c r="H18" s="21">
        <v>1</v>
      </c>
      <c r="J18" s="43" t="s">
        <v>28</v>
      </c>
      <c r="K18" s="43" t="s">
        <v>30</v>
      </c>
    </row>
    <row r="19" spans="1:17" x14ac:dyDescent="0.4">
      <c r="A19" s="11">
        <v>9</v>
      </c>
      <c r="D19" s="1">
        <v>85</v>
      </c>
      <c r="J19" s="38">
        <v>0</v>
      </c>
      <c r="K19" s="39">
        <v>10</v>
      </c>
    </row>
    <row r="20" spans="1:17" x14ac:dyDescent="0.4">
      <c r="A20" s="11">
        <v>139</v>
      </c>
      <c r="D20" s="1">
        <v>95</v>
      </c>
      <c r="J20" s="38">
        <v>5</v>
      </c>
      <c r="K20" s="39">
        <v>19</v>
      </c>
    </row>
    <row r="21" spans="1:17" x14ac:dyDescent="0.4">
      <c r="A21" s="11">
        <v>66</v>
      </c>
      <c r="D21" s="1">
        <v>105</v>
      </c>
      <c r="J21" s="38">
        <v>15</v>
      </c>
      <c r="K21" s="39">
        <v>22</v>
      </c>
    </row>
    <row r="22" spans="1:17" x14ac:dyDescent="0.4">
      <c r="A22" s="11">
        <v>53</v>
      </c>
      <c r="D22" s="1">
        <v>115</v>
      </c>
      <c r="J22" s="38">
        <v>25</v>
      </c>
      <c r="K22" s="39">
        <v>18</v>
      </c>
    </row>
    <row r="23" spans="1:17" x14ac:dyDescent="0.4">
      <c r="A23" s="11">
        <v>49</v>
      </c>
      <c r="D23" s="1">
        <v>125</v>
      </c>
      <c r="J23" s="38">
        <v>35</v>
      </c>
      <c r="K23" s="39">
        <v>16</v>
      </c>
    </row>
    <row r="24" spans="1:17" x14ac:dyDescent="0.4">
      <c r="A24" s="11">
        <v>22</v>
      </c>
      <c r="D24" s="1">
        <v>135</v>
      </c>
      <c r="J24" s="38">
        <v>45</v>
      </c>
      <c r="K24" s="39">
        <v>9</v>
      </c>
    </row>
    <row r="25" spans="1:17" x14ac:dyDescent="0.4">
      <c r="A25" s="11">
        <v>127</v>
      </c>
      <c r="D25" s="1">
        <v>145</v>
      </c>
      <c r="H25" s="1">
        <f>SKEW(A6:A157)</f>
        <v>0.91597528593888999</v>
      </c>
      <c r="J25" s="38">
        <v>55</v>
      </c>
      <c r="K25" s="39">
        <v>8</v>
      </c>
    </row>
    <row r="26" spans="1:17" x14ac:dyDescent="0.4">
      <c r="A26" s="11">
        <v>62</v>
      </c>
      <c r="D26" s="1">
        <v>155</v>
      </c>
      <c r="J26" s="38">
        <v>65</v>
      </c>
      <c r="K26" s="39">
        <v>7</v>
      </c>
    </row>
    <row r="27" spans="1:17" x14ac:dyDescent="0.4">
      <c r="A27" s="11">
        <v>2</v>
      </c>
      <c r="D27" s="1">
        <v>165</v>
      </c>
      <c r="J27" s="38">
        <v>75</v>
      </c>
      <c r="K27" s="39">
        <v>7</v>
      </c>
      <c r="O27" s="1">
        <v>2500</v>
      </c>
      <c r="P27" s="1">
        <v>3000</v>
      </c>
    </row>
    <row r="28" spans="1:17" x14ac:dyDescent="0.4">
      <c r="A28" s="11">
        <v>13</v>
      </c>
      <c r="D28" s="1">
        <v>175</v>
      </c>
      <c r="J28" s="38">
        <v>85</v>
      </c>
      <c r="K28" s="39">
        <v>8</v>
      </c>
    </row>
    <row r="29" spans="1:17" x14ac:dyDescent="0.4">
      <c r="A29" s="11">
        <v>1</v>
      </c>
      <c r="D29" s="1">
        <v>185</v>
      </c>
      <c r="J29" s="38">
        <v>95</v>
      </c>
      <c r="K29" s="39">
        <v>5</v>
      </c>
      <c r="O29" s="1">
        <v>-1000</v>
      </c>
      <c r="Q29" s="1">
        <v>10000</v>
      </c>
    </row>
    <row r="30" spans="1:17" x14ac:dyDescent="0.4">
      <c r="A30" s="11">
        <v>40</v>
      </c>
      <c r="J30" s="38">
        <v>105</v>
      </c>
      <c r="K30" s="39">
        <v>6</v>
      </c>
    </row>
    <row r="31" spans="1:17" x14ac:dyDescent="0.4">
      <c r="A31" s="11">
        <v>0</v>
      </c>
      <c r="J31" s="38">
        <v>115</v>
      </c>
      <c r="K31" s="39">
        <v>8</v>
      </c>
    </row>
    <row r="32" spans="1:17" x14ac:dyDescent="0.4">
      <c r="A32" s="11">
        <v>5</v>
      </c>
      <c r="J32" s="38">
        <v>125</v>
      </c>
      <c r="K32" s="39">
        <v>3</v>
      </c>
    </row>
    <row r="33" spans="1:17" x14ac:dyDescent="0.4">
      <c r="A33" s="11">
        <v>48</v>
      </c>
      <c r="J33" s="38">
        <v>135</v>
      </c>
      <c r="K33" s="39">
        <v>3</v>
      </c>
      <c r="P33" s="1">
        <v>100000</v>
      </c>
    </row>
    <row r="34" spans="1:17" x14ac:dyDescent="0.4">
      <c r="A34" s="11">
        <v>136</v>
      </c>
      <c r="J34" s="38">
        <v>145</v>
      </c>
      <c r="K34" s="39">
        <v>2</v>
      </c>
    </row>
    <row r="35" spans="1:17" x14ac:dyDescent="0.4">
      <c r="A35" s="11">
        <v>82</v>
      </c>
      <c r="J35" s="38">
        <v>155</v>
      </c>
      <c r="K35" s="39">
        <v>0</v>
      </c>
      <c r="O35" s="1">
        <v>100</v>
      </c>
      <c r="Q35" s="1">
        <v>1000</v>
      </c>
    </row>
    <row r="36" spans="1:17" x14ac:dyDescent="0.4">
      <c r="A36" s="11">
        <v>2</v>
      </c>
      <c r="J36" s="38">
        <v>165</v>
      </c>
      <c r="K36" s="39">
        <v>0</v>
      </c>
    </row>
    <row r="37" spans="1:17" x14ac:dyDescent="0.4">
      <c r="A37" s="11">
        <v>6</v>
      </c>
      <c r="J37" s="38">
        <v>175</v>
      </c>
      <c r="K37" s="39">
        <v>0</v>
      </c>
    </row>
    <row r="38" spans="1:17" x14ac:dyDescent="0.4">
      <c r="A38" s="11">
        <v>78</v>
      </c>
      <c r="J38" s="38">
        <v>185</v>
      </c>
      <c r="K38" s="39">
        <v>1</v>
      </c>
    </row>
    <row r="39" spans="1:17" ht="20.399999999999999" thickBot="1" x14ac:dyDescent="0.45">
      <c r="A39" s="11">
        <v>123</v>
      </c>
      <c r="J39" s="41" t="s">
        <v>29</v>
      </c>
      <c r="K39" s="41">
        <v>0</v>
      </c>
    </row>
    <row r="40" spans="1:17" x14ac:dyDescent="0.4">
      <c r="A40" s="11">
        <v>0</v>
      </c>
    </row>
    <row r="41" spans="1:17" x14ac:dyDescent="0.4">
      <c r="A41" s="11">
        <v>31</v>
      </c>
    </row>
    <row r="42" spans="1:17" x14ac:dyDescent="0.4">
      <c r="A42" s="11">
        <v>19</v>
      </c>
    </row>
    <row r="43" spans="1:17" x14ac:dyDescent="0.4">
      <c r="A43" s="11">
        <v>99</v>
      </c>
    </row>
    <row r="44" spans="1:17" x14ac:dyDescent="0.4">
      <c r="A44" s="11">
        <v>86</v>
      </c>
    </row>
    <row r="45" spans="1:17" x14ac:dyDescent="0.4">
      <c r="A45" s="11">
        <v>0</v>
      </c>
    </row>
    <row r="46" spans="1:17" x14ac:dyDescent="0.4">
      <c r="A46" s="11">
        <v>115</v>
      </c>
    </row>
    <row r="47" spans="1:17" x14ac:dyDescent="0.4">
      <c r="A47" s="11">
        <v>68</v>
      </c>
    </row>
    <row r="48" spans="1:17" x14ac:dyDescent="0.4">
      <c r="A48" s="11">
        <v>100</v>
      </c>
    </row>
    <row r="49" spans="1:1" x14ac:dyDescent="0.4">
      <c r="A49" s="11">
        <v>61</v>
      </c>
    </row>
    <row r="50" spans="1:1" x14ac:dyDescent="0.4">
      <c r="A50" s="11">
        <v>68</v>
      </c>
    </row>
    <row r="51" spans="1:1" x14ac:dyDescent="0.4">
      <c r="A51" s="11">
        <v>14</v>
      </c>
    </row>
    <row r="52" spans="1:1" x14ac:dyDescent="0.4">
      <c r="A52" s="11">
        <v>115</v>
      </c>
    </row>
    <row r="53" spans="1:1" x14ac:dyDescent="0.4">
      <c r="A53" s="11">
        <v>2</v>
      </c>
    </row>
    <row r="54" spans="1:1" x14ac:dyDescent="0.4">
      <c r="A54" s="11">
        <v>31</v>
      </c>
    </row>
    <row r="55" spans="1:1" x14ac:dyDescent="0.4">
      <c r="A55" s="11">
        <v>102</v>
      </c>
    </row>
    <row r="56" spans="1:1" x14ac:dyDescent="0.4">
      <c r="A56" s="11">
        <v>2</v>
      </c>
    </row>
    <row r="57" spans="1:1" x14ac:dyDescent="0.4">
      <c r="A57" s="11">
        <v>11</v>
      </c>
    </row>
    <row r="58" spans="1:1" x14ac:dyDescent="0.4">
      <c r="A58" s="11">
        <v>43</v>
      </c>
    </row>
    <row r="59" spans="1:1" x14ac:dyDescent="0.4">
      <c r="A59" s="11">
        <v>58</v>
      </c>
    </row>
    <row r="60" spans="1:1" x14ac:dyDescent="0.4">
      <c r="A60" s="11">
        <v>22</v>
      </c>
    </row>
    <row r="61" spans="1:1" x14ac:dyDescent="0.4">
      <c r="A61" s="11">
        <v>22</v>
      </c>
    </row>
    <row r="62" spans="1:1" x14ac:dyDescent="0.4">
      <c r="A62" s="11">
        <v>31</v>
      </c>
    </row>
    <row r="63" spans="1:1" x14ac:dyDescent="0.4">
      <c r="A63" s="11">
        <v>0</v>
      </c>
    </row>
    <row r="64" spans="1:1" x14ac:dyDescent="0.4">
      <c r="A64" s="11">
        <v>26</v>
      </c>
    </row>
    <row r="65" spans="1:1" x14ac:dyDescent="0.4">
      <c r="A65" s="11">
        <v>77</v>
      </c>
    </row>
    <row r="66" spans="1:1" x14ac:dyDescent="0.4">
      <c r="A66" s="11">
        <v>37</v>
      </c>
    </row>
    <row r="67" spans="1:1" x14ac:dyDescent="0.4">
      <c r="A67" s="11">
        <v>15</v>
      </c>
    </row>
    <row r="68" spans="1:1" x14ac:dyDescent="0.4">
      <c r="A68" s="11">
        <v>7</v>
      </c>
    </row>
    <row r="69" spans="1:1" x14ac:dyDescent="0.4">
      <c r="A69" s="11">
        <v>6</v>
      </c>
    </row>
    <row r="70" spans="1:1" x14ac:dyDescent="0.4">
      <c r="A70" s="11">
        <v>0</v>
      </c>
    </row>
    <row r="71" spans="1:1" x14ac:dyDescent="0.4">
      <c r="A71" s="11">
        <v>23</v>
      </c>
    </row>
    <row r="72" spans="1:1" x14ac:dyDescent="0.4">
      <c r="A72" s="11">
        <v>128</v>
      </c>
    </row>
    <row r="73" spans="1:1" x14ac:dyDescent="0.4">
      <c r="A73" s="11">
        <v>38</v>
      </c>
    </row>
    <row r="74" spans="1:1" x14ac:dyDescent="0.4">
      <c r="A74" s="11">
        <v>1</v>
      </c>
    </row>
    <row r="75" spans="1:1" x14ac:dyDescent="0.4">
      <c r="A75" s="11">
        <v>106</v>
      </c>
    </row>
    <row r="76" spans="1:1" x14ac:dyDescent="0.4">
      <c r="A76" s="11">
        <v>183</v>
      </c>
    </row>
    <row r="77" spans="1:1" x14ac:dyDescent="0.4">
      <c r="A77" s="11">
        <v>66</v>
      </c>
    </row>
    <row r="78" spans="1:1" x14ac:dyDescent="0.4">
      <c r="A78" s="11">
        <v>108</v>
      </c>
    </row>
    <row r="79" spans="1:1" x14ac:dyDescent="0.4">
      <c r="A79" s="11">
        <v>133</v>
      </c>
    </row>
    <row r="80" spans="1:1" x14ac:dyDescent="0.4">
      <c r="A80" s="11">
        <v>21</v>
      </c>
    </row>
    <row r="81" spans="1:1" x14ac:dyDescent="0.4">
      <c r="A81" s="11">
        <v>66</v>
      </c>
    </row>
    <row r="82" spans="1:1" x14ac:dyDescent="0.4">
      <c r="A82" s="11">
        <v>12</v>
      </c>
    </row>
    <row r="83" spans="1:1" x14ac:dyDescent="0.4">
      <c r="A83" s="11">
        <v>15</v>
      </c>
    </row>
    <row r="84" spans="1:1" x14ac:dyDescent="0.4">
      <c r="A84" s="11">
        <v>18</v>
      </c>
    </row>
    <row r="85" spans="1:1" x14ac:dyDescent="0.4">
      <c r="A85" s="11">
        <v>77</v>
      </c>
    </row>
    <row r="86" spans="1:1" x14ac:dyDescent="0.4">
      <c r="A86" s="11">
        <v>31</v>
      </c>
    </row>
    <row r="87" spans="1:1" x14ac:dyDescent="0.4">
      <c r="A87" s="11">
        <v>80</v>
      </c>
    </row>
    <row r="88" spans="1:1" x14ac:dyDescent="0.4">
      <c r="A88" s="11">
        <v>23</v>
      </c>
    </row>
    <row r="89" spans="1:1" x14ac:dyDescent="0.4">
      <c r="A89" s="11">
        <v>20</v>
      </c>
    </row>
    <row r="90" spans="1:1" x14ac:dyDescent="0.4">
      <c r="A90" s="11">
        <v>117</v>
      </c>
    </row>
    <row r="91" spans="1:1" x14ac:dyDescent="0.4">
      <c r="A91" s="11">
        <v>3</v>
      </c>
    </row>
    <row r="92" spans="1:1" x14ac:dyDescent="0.4">
      <c r="A92" s="11">
        <v>0</v>
      </c>
    </row>
    <row r="93" spans="1:1" x14ac:dyDescent="0.4">
      <c r="A93" s="11">
        <v>86</v>
      </c>
    </row>
    <row r="94" spans="1:1" x14ac:dyDescent="0.4">
      <c r="A94" s="11">
        <v>35</v>
      </c>
    </row>
    <row r="95" spans="1:1" x14ac:dyDescent="0.4">
      <c r="A95" s="11">
        <v>112</v>
      </c>
    </row>
    <row r="96" spans="1:1" x14ac:dyDescent="0.4">
      <c r="A96" s="11">
        <v>37</v>
      </c>
    </row>
    <row r="97" spans="1:1" x14ac:dyDescent="0.4">
      <c r="A97" s="11">
        <v>107</v>
      </c>
    </row>
    <row r="98" spans="1:1" x14ac:dyDescent="0.4">
      <c r="A98" s="11">
        <v>16</v>
      </c>
    </row>
    <row r="99" spans="1:1" x14ac:dyDescent="0.4">
      <c r="A99" s="11">
        <v>7</v>
      </c>
    </row>
    <row r="100" spans="1:1" x14ac:dyDescent="0.4">
      <c r="A100" s="11">
        <v>9</v>
      </c>
    </row>
    <row r="101" spans="1:1" x14ac:dyDescent="0.4">
      <c r="A101" s="11">
        <v>55</v>
      </c>
    </row>
    <row r="102" spans="1:1" x14ac:dyDescent="0.4">
      <c r="A102" s="11">
        <v>94</v>
      </c>
    </row>
    <row r="103" spans="1:1" x14ac:dyDescent="0.4">
      <c r="A103" s="11">
        <v>22</v>
      </c>
    </row>
    <row r="104" spans="1:1" x14ac:dyDescent="0.4">
      <c r="A104" s="11">
        <v>0</v>
      </c>
    </row>
    <row r="105" spans="1:1" x14ac:dyDescent="0.4">
      <c r="A105" s="11">
        <v>81</v>
      </c>
    </row>
    <row r="106" spans="1:1" x14ac:dyDescent="0.4">
      <c r="A106" s="11">
        <v>2</v>
      </c>
    </row>
    <row r="107" spans="1:1" x14ac:dyDescent="0.4">
      <c r="A107" s="11">
        <v>35</v>
      </c>
    </row>
    <row r="108" spans="1:1" x14ac:dyDescent="0.4">
      <c r="A108" s="11">
        <v>9</v>
      </c>
    </row>
    <row r="109" spans="1:1" x14ac:dyDescent="0.4">
      <c r="A109" s="11">
        <v>24</v>
      </c>
    </row>
    <row r="110" spans="1:1" x14ac:dyDescent="0.4">
      <c r="A110" s="11">
        <v>59</v>
      </c>
    </row>
    <row r="111" spans="1:1" x14ac:dyDescent="0.4">
      <c r="A111" s="11">
        <v>1</v>
      </c>
    </row>
    <row r="112" spans="1:1" x14ac:dyDescent="0.4">
      <c r="A112" s="11">
        <v>12</v>
      </c>
    </row>
    <row r="113" spans="1:1" x14ac:dyDescent="0.4">
      <c r="A113" s="11">
        <v>34</v>
      </c>
    </row>
    <row r="114" spans="1:1" x14ac:dyDescent="0.4">
      <c r="A114" s="11">
        <v>8</v>
      </c>
    </row>
    <row r="115" spans="1:1" x14ac:dyDescent="0.4">
      <c r="A115" s="11">
        <v>100</v>
      </c>
    </row>
    <row r="116" spans="1:1" x14ac:dyDescent="0.4">
      <c r="A116" s="11">
        <v>2</v>
      </c>
    </row>
    <row r="117" spans="1:1" x14ac:dyDescent="0.4">
      <c r="A117" s="11">
        <v>87</v>
      </c>
    </row>
    <row r="118" spans="1:1" x14ac:dyDescent="0.4">
      <c r="A118" s="11">
        <v>28</v>
      </c>
    </row>
    <row r="119" spans="1:1" x14ac:dyDescent="0.4">
      <c r="A119" s="11">
        <v>22</v>
      </c>
    </row>
    <row r="120" spans="1:1" x14ac:dyDescent="0.4">
      <c r="A120" s="11">
        <v>54</v>
      </c>
    </row>
    <row r="121" spans="1:1" x14ac:dyDescent="0.4">
      <c r="A121" s="11">
        <v>2</v>
      </c>
    </row>
    <row r="122" spans="1:1" x14ac:dyDescent="0.4">
      <c r="A122" s="11">
        <v>0</v>
      </c>
    </row>
    <row r="123" spans="1:1" x14ac:dyDescent="0.4">
      <c r="A123" s="11">
        <v>63</v>
      </c>
    </row>
    <row r="124" spans="1:1" x14ac:dyDescent="0.4">
      <c r="A124" s="11">
        <v>64</v>
      </c>
    </row>
    <row r="125" spans="1:1" x14ac:dyDescent="0.4">
      <c r="A125" s="11">
        <v>105</v>
      </c>
    </row>
    <row r="126" spans="1:1" x14ac:dyDescent="0.4">
      <c r="A126" s="11">
        <v>118</v>
      </c>
    </row>
    <row r="127" spans="1:1" x14ac:dyDescent="0.4">
      <c r="A127" s="11">
        <v>37</v>
      </c>
    </row>
    <row r="128" spans="1:1" x14ac:dyDescent="0.4">
      <c r="A128" s="11">
        <v>8</v>
      </c>
    </row>
    <row r="129" spans="1:1" x14ac:dyDescent="0.4">
      <c r="A129" s="11">
        <v>0</v>
      </c>
    </row>
    <row r="130" spans="1:1" x14ac:dyDescent="0.4">
      <c r="A130" s="11">
        <v>28</v>
      </c>
    </row>
    <row r="131" spans="1:1" x14ac:dyDescent="0.4">
      <c r="A131" s="11">
        <v>10</v>
      </c>
    </row>
    <row r="132" spans="1:1" x14ac:dyDescent="0.4">
      <c r="A132" s="11">
        <v>18</v>
      </c>
    </row>
    <row r="133" spans="1:1" x14ac:dyDescent="0.4">
      <c r="A133" s="11">
        <v>11</v>
      </c>
    </row>
    <row r="134" spans="1:1" x14ac:dyDescent="0.4">
      <c r="A134" s="11">
        <v>68</v>
      </c>
    </row>
    <row r="135" spans="1:1" x14ac:dyDescent="0.4">
      <c r="A135" s="11">
        <v>18</v>
      </c>
    </row>
    <row r="136" spans="1:1" x14ac:dyDescent="0.4">
      <c r="A136" s="11">
        <v>82</v>
      </c>
    </row>
    <row r="137" spans="1:1" x14ac:dyDescent="0.4">
      <c r="A137" s="11">
        <v>0</v>
      </c>
    </row>
    <row r="138" spans="1:1" x14ac:dyDescent="0.4">
      <c r="A138" s="11">
        <v>57</v>
      </c>
    </row>
    <row r="139" spans="1:1" x14ac:dyDescent="0.4">
      <c r="A139" s="11">
        <v>31</v>
      </c>
    </row>
    <row r="140" spans="1:1" x14ac:dyDescent="0.4">
      <c r="A140" s="11">
        <v>2</v>
      </c>
    </row>
    <row r="141" spans="1:1" x14ac:dyDescent="0.4">
      <c r="A141" s="11">
        <v>102</v>
      </c>
    </row>
    <row r="142" spans="1:1" x14ac:dyDescent="0.4">
      <c r="A142" s="11">
        <v>71</v>
      </c>
    </row>
    <row r="143" spans="1:1" x14ac:dyDescent="0.4">
      <c r="A143" s="11">
        <v>91</v>
      </c>
    </row>
    <row r="144" spans="1:1" x14ac:dyDescent="0.4">
      <c r="A144" s="11">
        <v>9</v>
      </c>
    </row>
    <row r="145" spans="1:1" x14ac:dyDescent="0.4">
      <c r="A145" s="11">
        <v>107</v>
      </c>
    </row>
    <row r="146" spans="1:1" x14ac:dyDescent="0.4">
      <c r="A146" s="11">
        <v>54</v>
      </c>
    </row>
    <row r="147" spans="1:1" x14ac:dyDescent="0.4">
      <c r="A147" s="11">
        <v>27</v>
      </c>
    </row>
    <row r="148" spans="1:1" x14ac:dyDescent="0.4">
      <c r="A148" s="11">
        <v>10</v>
      </c>
    </row>
    <row r="149" spans="1:1" x14ac:dyDescent="0.4">
      <c r="A149" s="11">
        <v>30</v>
      </c>
    </row>
    <row r="150" spans="1:1" x14ac:dyDescent="0.4">
      <c r="A150" s="11">
        <v>79</v>
      </c>
    </row>
    <row r="151" spans="1:1" x14ac:dyDescent="0.4">
      <c r="A151" s="11">
        <v>16</v>
      </c>
    </row>
    <row r="152" spans="1:1" x14ac:dyDescent="0.4">
      <c r="A152" s="11">
        <v>2</v>
      </c>
    </row>
    <row r="153" spans="1:1" x14ac:dyDescent="0.4">
      <c r="A153" s="11">
        <v>31</v>
      </c>
    </row>
    <row r="154" spans="1:1" x14ac:dyDescent="0.4">
      <c r="A154" s="11">
        <v>54</v>
      </c>
    </row>
    <row r="155" spans="1:1" x14ac:dyDescent="0.4">
      <c r="A155" s="11">
        <v>25</v>
      </c>
    </row>
    <row r="156" spans="1:1" x14ac:dyDescent="0.4">
      <c r="A156" s="11">
        <v>37</v>
      </c>
    </row>
    <row r="157" spans="1:1" x14ac:dyDescent="0.4">
      <c r="A157" s="11">
        <v>12</v>
      </c>
    </row>
  </sheetData>
  <sortState xmlns:xlrd2="http://schemas.microsoft.com/office/spreadsheetml/2017/richdata2" ref="J19:J38">
    <sortCondition ref="J19"/>
  </sortState>
  <mergeCells count="2">
    <mergeCell ref="A1:C1"/>
    <mergeCell ref="A3:E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47"/>
  <sheetViews>
    <sheetView topLeftCell="A21" workbookViewId="0">
      <selection activeCell="E42" sqref="E42"/>
    </sheetView>
  </sheetViews>
  <sheetFormatPr defaultColWidth="22.6640625" defaultRowHeight="19.8" x14ac:dyDescent="0.4"/>
  <cols>
    <col min="1" max="1" width="15.109375" style="1" customWidth="1"/>
    <col min="2" max="2" width="21.109375" style="1" customWidth="1"/>
    <col min="3" max="3" width="10.88671875" style="1" customWidth="1"/>
    <col min="4" max="4" width="20.88671875" style="1" customWidth="1"/>
    <col min="5" max="5" width="11.6640625" style="1" customWidth="1"/>
    <col min="6" max="6" width="20.88671875" style="1" customWidth="1"/>
    <col min="7" max="7" width="10.33203125" style="1" customWidth="1"/>
    <col min="8" max="8" width="6.33203125" style="1" customWidth="1"/>
    <col min="9" max="9" width="14.88671875" style="1" customWidth="1"/>
    <col min="10" max="10" width="14" style="1" customWidth="1"/>
    <col min="11" max="11" width="22.109375" style="1" customWidth="1"/>
    <col min="12" max="16384" width="22.6640625" style="1"/>
  </cols>
  <sheetData>
    <row r="1" spans="1:11" x14ac:dyDescent="0.4">
      <c r="A1" s="204" t="s">
        <v>85</v>
      </c>
      <c r="B1" s="204"/>
      <c r="C1" s="204"/>
      <c r="D1" s="18"/>
      <c r="E1" s="18"/>
      <c r="F1" s="18"/>
      <c r="G1" s="18"/>
      <c r="H1" s="18"/>
      <c r="I1" s="18"/>
      <c r="J1" s="18"/>
      <c r="K1" s="18"/>
    </row>
    <row r="2" spans="1:11" x14ac:dyDescent="0.4">
      <c r="A2" s="18"/>
      <c r="B2" s="18"/>
      <c r="C2" s="18"/>
      <c r="D2" s="18"/>
      <c r="E2" s="18"/>
      <c r="F2" s="18"/>
      <c r="G2" s="18"/>
      <c r="H2" s="18"/>
      <c r="I2" s="18"/>
      <c r="J2" s="18"/>
      <c r="K2" s="18"/>
    </row>
    <row r="3" spans="1:11" ht="38.4" x14ac:dyDescent="0.4">
      <c r="A3" s="31" t="s">
        <v>86</v>
      </c>
      <c r="B3" s="31" t="s">
        <v>87</v>
      </c>
      <c r="C3" s="31" t="s">
        <v>88</v>
      </c>
      <c r="D3" s="31" t="s">
        <v>89</v>
      </c>
      <c r="E3" s="32" t="s">
        <v>90</v>
      </c>
      <c r="F3" s="31" t="s">
        <v>89</v>
      </c>
      <c r="G3" s="31" t="s">
        <v>91</v>
      </c>
      <c r="H3" s="32" t="s">
        <v>92</v>
      </c>
      <c r="I3" s="33" t="s">
        <v>93</v>
      </c>
      <c r="J3" s="33" t="s">
        <v>94</v>
      </c>
      <c r="K3" s="32" t="s">
        <v>95</v>
      </c>
    </row>
    <row r="4" spans="1:11" x14ac:dyDescent="0.4">
      <c r="A4" s="34">
        <v>1</v>
      </c>
      <c r="B4" s="35" t="s">
        <v>96</v>
      </c>
      <c r="C4" s="35" t="s">
        <v>97</v>
      </c>
      <c r="D4" s="35" t="s">
        <v>98</v>
      </c>
      <c r="E4" s="34" t="s">
        <v>99</v>
      </c>
      <c r="F4" s="35" t="s">
        <v>98</v>
      </c>
      <c r="G4" s="35" t="s">
        <v>100</v>
      </c>
      <c r="H4" s="34">
        <v>30</v>
      </c>
      <c r="I4" s="36">
        <v>61</v>
      </c>
      <c r="J4" s="34">
        <v>4</v>
      </c>
      <c r="K4" s="34">
        <v>30</v>
      </c>
    </row>
    <row r="5" spans="1:11" x14ac:dyDescent="0.4">
      <c r="A5" s="34">
        <v>2</v>
      </c>
      <c r="B5" s="36" t="s">
        <v>101</v>
      </c>
      <c r="C5" s="35" t="s">
        <v>97</v>
      </c>
      <c r="D5" s="35" t="s">
        <v>102</v>
      </c>
      <c r="E5" s="34" t="s">
        <v>99</v>
      </c>
      <c r="F5" s="35" t="s">
        <v>102</v>
      </c>
      <c r="G5" s="35" t="s">
        <v>100</v>
      </c>
      <c r="H5" s="34">
        <v>19</v>
      </c>
      <c r="I5" s="36">
        <v>64</v>
      </c>
      <c r="J5" s="34">
        <v>2</v>
      </c>
      <c r="K5" s="34">
        <v>19</v>
      </c>
    </row>
    <row r="6" spans="1:11" x14ac:dyDescent="0.4">
      <c r="A6" s="34">
        <v>3</v>
      </c>
      <c r="B6" s="36" t="s">
        <v>103</v>
      </c>
      <c r="C6" s="35" t="s">
        <v>104</v>
      </c>
      <c r="D6" s="35" t="s">
        <v>98</v>
      </c>
      <c r="E6" s="34" t="s">
        <v>99</v>
      </c>
      <c r="F6" s="35" t="s">
        <v>98</v>
      </c>
      <c r="G6" s="35" t="s">
        <v>105</v>
      </c>
      <c r="H6" s="34">
        <v>26</v>
      </c>
      <c r="I6" s="36">
        <v>73</v>
      </c>
      <c r="J6" s="34">
        <v>6</v>
      </c>
      <c r="K6" s="34">
        <v>26</v>
      </c>
    </row>
    <row r="7" spans="1:11" x14ac:dyDescent="0.4">
      <c r="A7" s="34">
        <v>4</v>
      </c>
      <c r="B7" s="36" t="s">
        <v>103</v>
      </c>
      <c r="C7" s="35" t="s">
        <v>104</v>
      </c>
      <c r="D7" s="35" t="s">
        <v>98</v>
      </c>
      <c r="E7" s="34" t="s">
        <v>99</v>
      </c>
      <c r="F7" s="35" t="s">
        <v>98</v>
      </c>
      <c r="G7" s="35" t="s">
        <v>106</v>
      </c>
      <c r="H7" s="34">
        <v>33</v>
      </c>
      <c r="I7" s="36">
        <v>68</v>
      </c>
      <c r="J7" s="34">
        <v>3</v>
      </c>
      <c r="K7" s="34">
        <v>33</v>
      </c>
    </row>
    <row r="8" spans="1:11" x14ac:dyDescent="0.4">
      <c r="A8" s="34">
        <v>5</v>
      </c>
      <c r="B8" s="36" t="s">
        <v>107</v>
      </c>
      <c r="C8" s="35" t="s">
        <v>104</v>
      </c>
      <c r="D8" s="35" t="s">
        <v>98</v>
      </c>
      <c r="E8" s="34" t="s">
        <v>99</v>
      </c>
      <c r="F8" s="35" t="s">
        <v>98</v>
      </c>
      <c r="G8" s="35" t="s">
        <v>106</v>
      </c>
      <c r="H8" s="34">
        <v>37</v>
      </c>
      <c r="I8" s="36">
        <v>71</v>
      </c>
      <c r="J8" s="34">
        <v>6</v>
      </c>
      <c r="K8" s="34">
        <v>37</v>
      </c>
    </row>
    <row r="9" spans="1:11" x14ac:dyDescent="0.4">
      <c r="A9" s="34">
        <v>6</v>
      </c>
      <c r="B9" s="35" t="s">
        <v>96</v>
      </c>
      <c r="C9" s="35" t="s">
        <v>104</v>
      </c>
      <c r="D9" s="35" t="s">
        <v>98</v>
      </c>
      <c r="E9" s="34" t="s">
        <v>99</v>
      </c>
      <c r="F9" s="35" t="s">
        <v>98</v>
      </c>
      <c r="G9" s="35" t="s">
        <v>106</v>
      </c>
      <c r="H9" s="34">
        <v>25</v>
      </c>
      <c r="I9" s="34">
        <v>67</v>
      </c>
      <c r="J9" s="34">
        <v>5</v>
      </c>
      <c r="K9" s="34">
        <v>25</v>
      </c>
    </row>
    <row r="10" spans="1:11" x14ac:dyDescent="0.4">
      <c r="A10" s="34">
        <v>7</v>
      </c>
      <c r="B10" s="36" t="s">
        <v>108</v>
      </c>
      <c r="C10" s="35" t="s">
        <v>104</v>
      </c>
      <c r="D10" s="35" t="s">
        <v>98</v>
      </c>
      <c r="E10" s="34" t="s">
        <v>99</v>
      </c>
      <c r="F10" s="35" t="s">
        <v>98</v>
      </c>
      <c r="G10" s="35" t="s">
        <v>100</v>
      </c>
      <c r="H10" s="34">
        <v>39</v>
      </c>
      <c r="I10" s="34">
        <v>70</v>
      </c>
      <c r="J10" s="34">
        <v>5</v>
      </c>
      <c r="K10" s="34">
        <v>39</v>
      </c>
    </row>
    <row r="11" spans="1:11" x14ac:dyDescent="0.4">
      <c r="A11" s="34">
        <v>8</v>
      </c>
      <c r="B11" s="36" t="s">
        <v>109</v>
      </c>
      <c r="C11" s="35" t="s">
        <v>97</v>
      </c>
      <c r="D11" s="35" t="s">
        <v>102</v>
      </c>
      <c r="E11" s="34" t="s">
        <v>99</v>
      </c>
      <c r="F11" s="35" t="s">
        <v>102</v>
      </c>
      <c r="G11" s="35" t="s">
        <v>100</v>
      </c>
      <c r="H11" s="34">
        <v>21</v>
      </c>
      <c r="I11" s="36">
        <v>62</v>
      </c>
      <c r="J11" s="34">
        <v>5</v>
      </c>
      <c r="K11" s="34">
        <v>21</v>
      </c>
    </row>
    <row r="12" spans="1:11" x14ac:dyDescent="0.4">
      <c r="A12" s="34">
        <v>9</v>
      </c>
      <c r="B12" s="35" t="s">
        <v>96</v>
      </c>
      <c r="C12" s="35" t="s">
        <v>97</v>
      </c>
      <c r="D12" s="35" t="s">
        <v>102</v>
      </c>
      <c r="E12" s="34" t="s">
        <v>99</v>
      </c>
      <c r="F12" s="35" t="s">
        <v>102</v>
      </c>
      <c r="G12" s="35" t="s">
        <v>105</v>
      </c>
      <c r="H12" s="34">
        <v>18</v>
      </c>
      <c r="I12" s="36">
        <v>62</v>
      </c>
      <c r="J12" s="34">
        <v>6</v>
      </c>
      <c r="K12" s="34">
        <v>18</v>
      </c>
    </row>
    <row r="13" spans="1:11" x14ac:dyDescent="0.4">
      <c r="A13" s="34">
        <v>10</v>
      </c>
      <c r="B13" s="36" t="s">
        <v>103</v>
      </c>
      <c r="C13" s="35" t="s">
        <v>97</v>
      </c>
      <c r="D13" s="35" t="s">
        <v>98</v>
      </c>
      <c r="E13" s="34" t="s">
        <v>99</v>
      </c>
      <c r="F13" s="35" t="s">
        <v>98</v>
      </c>
      <c r="G13" s="35" t="s">
        <v>105</v>
      </c>
      <c r="H13" s="34">
        <v>33</v>
      </c>
      <c r="I13" s="36">
        <v>66</v>
      </c>
      <c r="J13" s="34">
        <v>5</v>
      </c>
      <c r="K13" s="34">
        <v>33</v>
      </c>
    </row>
    <row r="14" spans="1:11" x14ac:dyDescent="0.4">
      <c r="A14" s="34">
        <v>11</v>
      </c>
      <c r="B14" s="36" t="s">
        <v>110</v>
      </c>
      <c r="C14" s="35" t="s">
        <v>104</v>
      </c>
      <c r="D14" s="35" t="s">
        <v>102</v>
      </c>
      <c r="E14" s="34" t="s">
        <v>99</v>
      </c>
      <c r="F14" s="35" t="s">
        <v>102</v>
      </c>
      <c r="G14" s="35" t="s">
        <v>106</v>
      </c>
      <c r="H14" s="34">
        <v>18</v>
      </c>
      <c r="I14" s="36">
        <v>67</v>
      </c>
      <c r="J14" s="34">
        <v>3</v>
      </c>
      <c r="K14" s="34">
        <v>18</v>
      </c>
    </row>
    <row r="15" spans="1:11" x14ac:dyDescent="0.4">
      <c r="A15" s="34">
        <v>12</v>
      </c>
      <c r="B15" s="36" t="s">
        <v>111</v>
      </c>
      <c r="C15" s="35" t="s">
        <v>97</v>
      </c>
      <c r="D15" s="35" t="s">
        <v>98</v>
      </c>
      <c r="E15" s="34" t="s">
        <v>99</v>
      </c>
      <c r="F15" s="35" t="s">
        <v>98</v>
      </c>
      <c r="G15" s="35" t="s">
        <v>105</v>
      </c>
      <c r="H15" s="34">
        <v>38</v>
      </c>
      <c r="I15" s="36">
        <v>59</v>
      </c>
      <c r="J15" s="34">
        <v>5</v>
      </c>
      <c r="K15" s="34">
        <v>38</v>
      </c>
    </row>
    <row r="16" spans="1:11" x14ac:dyDescent="0.4">
      <c r="A16" s="34">
        <v>13</v>
      </c>
      <c r="B16" s="35" t="s">
        <v>96</v>
      </c>
      <c r="C16" s="35" t="s">
        <v>104</v>
      </c>
      <c r="D16" s="35" t="s">
        <v>98</v>
      </c>
      <c r="E16" s="34" t="s">
        <v>99</v>
      </c>
      <c r="F16" s="35" t="s">
        <v>98</v>
      </c>
      <c r="G16" s="35" t="s">
        <v>100</v>
      </c>
      <c r="H16" s="34">
        <v>30</v>
      </c>
      <c r="I16" s="36">
        <v>63</v>
      </c>
      <c r="J16" s="34">
        <v>4</v>
      </c>
      <c r="K16" s="34">
        <v>30</v>
      </c>
    </row>
    <row r="17" spans="1:11" x14ac:dyDescent="0.4">
      <c r="A17" s="34">
        <v>14</v>
      </c>
      <c r="B17" s="36" t="s">
        <v>103</v>
      </c>
      <c r="C17" s="35" t="s">
        <v>104</v>
      </c>
      <c r="D17" s="35" t="s">
        <v>98</v>
      </c>
      <c r="E17" s="34" t="s">
        <v>99</v>
      </c>
      <c r="F17" s="35" t="s">
        <v>98</v>
      </c>
      <c r="G17" s="35" t="s">
        <v>100</v>
      </c>
      <c r="H17" s="34">
        <v>30</v>
      </c>
      <c r="I17" s="36">
        <v>75</v>
      </c>
      <c r="J17" s="34">
        <v>6</v>
      </c>
      <c r="K17" s="34">
        <v>30</v>
      </c>
    </row>
    <row r="18" spans="1:11" x14ac:dyDescent="0.4">
      <c r="A18" s="34">
        <v>15</v>
      </c>
      <c r="B18" s="36" t="s">
        <v>103</v>
      </c>
      <c r="C18" s="35" t="s">
        <v>97</v>
      </c>
      <c r="D18" s="35" t="s">
        <v>102</v>
      </c>
      <c r="E18" s="34" t="s">
        <v>99</v>
      </c>
      <c r="F18" s="35" t="s">
        <v>102</v>
      </c>
      <c r="G18" s="35" t="s">
        <v>105</v>
      </c>
      <c r="H18" s="34">
        <v>21</v>
      </c>
      <c r="I18" s="36">
        <v>64</v>
      </c>
      <c r="J18" s="34">
        <v>5</v>
      </c>
      <c r="K18" s="34">
        <v>21</v>
      </c>
    </row>
    <row r="19" spans="1:11" x14ac:dyDescent="0.4">
      <c r="A19" s="34">
        <v>16</v>
      </c>
      <c r="B19" s="36" t="s">
        <v>112</v>
      </c>
      <c r="C19" s="35" t="s">
        <v>97</v>
      </c>
      <c r="D19" s="35" t="s">
        <v>98</v>
      </c>
      <c r="E19" s="34" t="s">
        <v>99</v>
      </c>
      <c r="F19" s="35" t="s">
        <v>102</v>
      </c>
      <c r="G19" s="35" t="s">
        <v>100</v>
      </c>
      <c r="H19" s="34">
        <v>18</v>
      </c>
      <c r="I19" s="36">
        <v>63</v>
      </c>
      <c r="J19" s="34">
        <v>2</v>
      </c>
      <c r="K19" s="34">
        <v>18</v>
      </c>
    </row>
    <row r="20" spans="1:11" x14ac:dyDescent="0.4">
      <c r="A20" s="34">
        <v>17</v>
      </c>
      <c r="B20" s="36" t="s">
        <v>103</v>
      </c>
      <c r="C20" s="36" t="s">
        <v>97</v>
      </c>
      <c r="D20" s="36" t="s">
        <v>102</v>
      </c>
      <c r="E20" s="34" t="s">
        <v>99</v>
      </c>
      <c r="F20" s="36" t="s">
        <v>102</v>
      </c>
      <c r="G20" s="36" t="s">
        <v>105</v>
      </c>
      <c r="H20" s="34">
        <v>19</v>
      </c>
      <c r="I20" s="36">
        <v>60</v>
      </c>
      <c r="J20" s="34">
        <v>2</v>
      </c>
      <c r="K20" s="34">
        <v>19</v>
      </c>
    </row>
    <row r="21" spans="1:11" x14ac:dyDescent="0.4">
      <c r="A21" s="34">
        <v>18</v>
      </c>
      <c r="B21" s="36" t="s">
        <v>113</v>
      </c>
      <c r="C21" s="36" t="s">
        <v>97</v>
      </c>
      <c r="D21" s="36" t="s">
        <v>98</v>
      </c>
      <c r="E21" s="34" t="s">
        <v>99</v>
      </c>
      <c r="F21" s="36" t="s">
        <v>98</v>
      </c>
      <c r="G21" s="36" t="s">
        <v>100</v>
      </c>
      <c r="H21" s="34">
        <v>31</v>
      </c>
      <c r="I21" s="36">
        <v>59</v>
      </c>
      <c r="J21" s="34">
        <v>4</v>
      </c>
      <c r="K21" s="34">
        <v>31</v>
      </c>
    </row>
    <row r="22" spans="1:11" x14ac:dyDescent="0.4">
      <c r="A22" s="34">
        <v>19</v>
      </c>
      <c r="B22" s="36" t="s">
        <v>114</v>
      </c>
      <c r="C22" s="36" t="s">
        <v>97</v>
      </c>
      <c r="D22" s="36" t="s">
        <v>102</v>
      </c>
      <c r="E22" s="34" t="s">
        <v>99</v>
      </c>
      <c r="F22" s="36" t="s">
        <v>102</v>
      </c>
      <c r="G22" s="36" t="s">
        <v>105</v>
      </c>
      <c r="H22" s="34">
        <v>18</v>
      </c>
      <c r="I22" s="36">
        <v>68</v>
      </c>
      <c r="J22" s="34">
        <v>4</v>
      </c>
      <c r="K22" s="34">
        <v>18</v>
      </c>
    </row>
    <row r="23" spans="1:11" x14ac:dyDescent="0.4">
      <c r="A23" s="34">
        <v>20</v>
      </c>
      <c r="B23" s="36" t="s">
        <v>103</v>
      </c>
      <c r="C23" s="36" t="s">
        <v>104</v>
      </c>
      <c r="D23" s="36" t="s">
        <v>98</v>
      </c>
      <c r="E23" s="34" t="s">
        <v>99</v>
      </c>
      <c r="F23" s="36" t="s">
        <v>98</v>
      </c>
      <c r="G23" s="36" t="s">
        <v>100</v>
      </c>
      <c r="H23" s="34">
        <v>33</v>
      </c>
      <c r="I23" s="36">
        <v>63</v>
      </c>
      <c r="J23" s="34">
        <v>7</v>
      </c>
      <c r="K23" s="34">
        <v>33</v>
      </c>
    </row>
    <row r="24" spans="1:11" x14ac:dyDescent="0.4">
      <c r="A24" s="34">
        <v>21</v>
      </c>
      <c r="B24" s="36" t="s">
        <v>107</v>
      </c>
      <c r="C24" s="36" t="s">
        <v>97</v>
      </c>
      <c r="D24" s="36" t="s">
        <v>102</v>
      </c>
      <c r="E24" s="34" t="s">
        <v>99</v>
      </c>
      <c r="F24" s="36" t="s">
        <v>102</v>
      </c>
      <c r="G24" s="36" t="s">
        <v>106</v>
      </c>
      <c r="H24" s="34">
        <v>19</v>
      </c>
      <c r="I24" s="36">
        <v>62</v>
      </c>
      <c r="J24" s="34">
        <v>5</v>
      </c>
      <c r="K24" s="34">
        <v>19</v>
      </c>
    </row>
    <row r="25" spans="1:11" x14ac:dyDescent="0.4">
      <c r="A25" s="34">
        <v>22</v>
      </c>
      <c r="B25" s="36" t="s">
        <v>103</v>
      </c>
      <c r="C25" s="36" t="s">
        <v>104</v>
      </c>
      <c r="D25" s="36" t="s">
        <v>102</v>
      </c>
      <c r="E25" s="34" t="s">
        <v>99</v>
      </c>
      <c r="F25" s="36" t="s">
        <v>102</v>
      </c>
      <c r="G25" s="36" t="s">
        <v>106</v>
      </c>
      <c r="H25" s="34">
        <v>21</v>
      </c>
      <c r="I25" s="36">
        <v>73</v>
      </c>
      <c r="J25" s="34">
        <v>4</v>
      </c>
      <c r="K25" s="34">
        <v>21</v>
      </c>
    </row>
    <row r="26" spans="1:11" x14ac:dyDescent="0.4">
      <c r="A26" s="34">
        <v>23</v>
      </c>
      <c r="B26" s="37" t="s">
        <v>115</v>
      </c>
      <c r="C26" s="36" t="s">
        <v>97</v>
      </c>
      <c r="D26" s="36" t="s">
        <v>98</v>
      </c>
      <c r="E26" s="34" t="s">
        <v>99</v>
      </c>
      <c r="F26" s="36" t="s">
        <v>98</v>
      </c>
      <c r="G26" s="36" t="s">
        <v>100</v>
      </c>
      <c r="H26" s="34">
        <v>25</v>
      </c>
      <c r="I26" s="36">
        <v>68</v>
      </c>
      <c r="J26" s="34">
        <v>6</v>
      </c>
      <c r="K26" s="34">
        <v>25</v>
      </c>
    </row>
    <row r="27" spans="1:11" x14ac:dyDescent="0.4">
      <c r="A27" s="34">
        <v>24</v>
      </c>
      <c r="B27" s="36" t="s">
        <v>113</v>
      </c>
      <c r="C27" s="36" t="s">
        <v>97</v>
      </c>
      <c r="D27" s="36" t="s">
        <v>102</v>
      </c>
      <c r="E27" s="34" t="s">
        <v>99</v>
      </c>
      <c r="F27" s="36" t="s">
        <v>102</v>
      </c>
      <c r="G27" s="36" t="s">
        <v>105</v>
      </c>
      <c r="H27" s="34">
        <v>18</v>
      </c>
      <c r="I27" s="36">
        <v>65</v>
      </c>
      <c r="J27" s="34">
        <v>6</v>
      </c>
      <c r="K27" s="34">
        <v>18</v>
      </c>
    </row>
    <row r="28" spans="1:11" x14ac:dyDescent="0.4">
      <c r="A28" s="34">
        <v>25</v>
      </c>
      <c r="B28" s="36" t="s">
        <v>107</v>
      </c>
      <c r="C28" s="36" t="s">
        <v>104</v>
      </c>
      <c r="D28" s="36" t="s">
        <v>98</v>
      </c>
      <c r="E28" s="34" t="s">
        <v>99</v>
      </c>
      <c r="F28" s="36" t="s">
        <v>102</v>
      </c>
      <c r="G28" s="36" t="s">
        <v>100</v>
      </c>
      <c r="H28" s="34">
        <v>19</v>
      </c>
      <c r="I28" s="36">
        <v>64</v>
      </c>
      <c r="J28" s="34">
        <v>4</v>
      </c>
      <c r="K28" s="34">
        <v>19</v>
      </c>
    </row>
    <row r="29" spans="1:11" x14ac:dyDescent="0.4">
      <c r="A29" s="34">
        <v>26</v>
      </c>
      <c r="B29" s="36" t="s">
        <v>116</v>
      </c>
      <c r="C29" s="36" t="s">
        <v>104</v>
      </c>
      <c r="D29" s="36" t="s">
        <v>98</v>
      </c>
      <c r="E29" s="34" t="s">
        <v>99</v>
      </c>
      <c r="F29" s="36" t="s">
        <v>98</v>
      </c>
      <c r="G29" s="36" t="s">
        <v>106</v>
      </c>
      <c r="H29" s="34">
        <v>28</v>
      </c>
      <c r="I29" s="36">
        <v>71</v>
      </c>
      <c r="J29" s="34">
        <v>4</v>
      </c>
      <c r="K29" s="34">
        <v>28</v>
      </c>
    </row>
    <row r="30" spans="1:11" x14ac:dyDescent="0.4">
      <c r="A30" s="34">
        <v>27</v>
      </c>
      <c r="B30" s="36" t="s">
        <v>113</v>
      </c>
      <c r="C30" s="36" t="s">
        <v>104</v>
      </c>
      <c r="D30" s="36" t="s">
        <v>102</v>
      </c>
      <c r="E30" s="34" t="s">
        <v>99</v>
      </c>
      <c r="F30" s="36" t="s">
        <v>102</v>
      </c>
      <c r="G30" s="36" t="s">
        <v>106</v>
      </c>
      <c r="H30" s="34">
        <v>20</v>
      </c>
      <c r="I30" s="36">
        <v>71</v>
      </c>
      <c r="J30" s="34">
        <v>5</v>
      </c>
      <c r="K30" s="34">
        <v>20</v>
      </c>
    </row>
    <row r="31" spans="1:11" x14ac:dyDescent="0.4">
      <c r="A31" s="34">
        <v>28</v>
      </c>
      <c r="B31" s="36" t="s">
        <v>114</v>
      </c>
      <c r="C31" s="36" t="s">
        <v>97</v>
      </c>
      <c r="D31" s="36" t="s">
        <v>102</v>
      </c>
      <c r="E31" s="34" t="s">
        <v>99</v>
      </c>
      <c r="F31" s="36" t="s">
        <v>102</v>
      </c>
      <c r="G31" s="36" t="s">
        <v>106</v>
      </c>
      <c r="H31" s="34">
        <v>20</v>
      </c>
      <c r="I31" s="36">
        <v>68</v>
      </c>
      <c r="J31" s="34">
        <v>6</v>
      </c>
      <c r="K31" s="34">
        <v>20</v>
      </c>
    </row>
    <row r="32" spans="1:11" x14ac:dyDescent="0.4">
      <c r="A32" s="34">
        <v>29</v>
      </c>
      <c r="B32" s="36" t="s">
        <v>113</v>
      </c>
      <c r="C32" s="36" t="s">
        <v>104</v>
      </c>
      <c r="D32" s="36" t="s">
        <v>98</v>
      </c>
      <c r="E32" s="34" t="s">
        <v>99</v>
      </c>
      <c r="F32" s="36" t="s">
        <v>98</v>
      </c>
      <c r="G32" s="36" t="s">
        <v>100</v>
      </c>
      <c r="H32" s="34">
        <v>30</v>
      </c>
      <c r="I32" s="36">
        <v>72</v>
      </c>
      <c r="J32" s="34">
        <v>6</v>
      </c>
      <c r="K32" s="34">
        <v>30</v>
      </c>
    </row>
    <row r="33" spans="1:11" x14ac:dyDescent="0.4">
      <c r="A33" s="34">
        <v>30</v>
      </c>
      <c r="B33" s="36" t="s">
        <v>107</v>
      </c>
      <c r="C33" s="36" t="s">
        <v>104</v>
      </c>
      <c r="D33" s="36" t="s">
        <v>102</v>
      </c>
      <c r="E33" s="34" t="s">
        <v>99</v>
      </c>
      <c r="F33" s="36" t="s">
        <v>102</v>
      </c>
      <c r="G33" s="36" t="s">
        <v>106</v>
      </c>
      <c r="H33" s="34">
        <v>19</v>
      </c>
      <c r="I33" s="36">
        <v>74</v>
      </c>
      <c r="J33" s="34">
        <v>1</v>
      </c>
      <c r="K33" s="34">
        <v>19</v>
      </c>
    </row>
    <row r="35" spans="1:11" x14ac:dyDescent="0.4">
      <c r="B35" s="1">
        <f>COUNTIF(B4:B33,"Arizona")</f>
        <v>1</v>
      </c>
      <c r="G35" s="1" t="s">
        <v>62</v>
      </c>
      <c r="H35" s="1">
        <f>AVERAGE(H4:H33)</f>
        <v>25.2</v>
      </c>
      <c r="I35" s="1">
        <f>AVERAGE(I4:I33)</f>
        <v>66.433333333333337</v>
      </c>
      <c r="J35" s="1">
        <f>AVERAGE(J4:J33)</f>
        <v>4.5333333333333332</v>
      </c>
      <c r="K35" s="1">
        <f>AVERAGE(K4:K33)</f>
        <v>25.2</v>
      </c>
    </row>
    <row r="36" spans="1:11" x14ac:dyDescent="0.4">
      <c r="G36" s="1" t="s">
        <v>33</v>
      </c>
      <c r="H36" s="1">
        <f>MEDIAN(H4:H33)</f>
        <v>23</v>
      </c>
      <c r="I36" s="1">
        <f>MEDIAN(I4:I33)</f>
        <v>66.5</v>
      </c>
      <c r="J36" s="1">
        <f>MEDIAN(J4:J33)</f>
        <v>5</v>
      </c>
      <c r="K36" s="1">
        <f>MEDIAN(K4:K33)</f>
        <v>23</v>
      </c>
    </row>
    <row r="37" spans="1:11" x14ac:dyDescent="0.4">
      <c r="F37" s="1">
        <f>(COUNTIF(F4:F33,"Graduate"))/30</f>
        <v>0.5</v>
      </c>
      <c r="G37" s="1" t="s">
        <v>138</v>
      </c>
      <c r="H37" s="1">
        <f>QUARTILE(H4:H33,1)</f>
        <v>19</v>
      </c>
      <c r="I37" s="1">
        <f>QUARTILE(I4:I33,1)</f>
        <v>63</v>
      </c>
      <c r="J37" s="1">
        <f>QUARTILE(J4:J33,1)</f>
        <v>4</v>
      </c>
      <c r="K37" s="1">
        <f>QUARTILE(K4:K33,1)</f>
        <v>19</v>
      </c>
    </row>
    <row r="38" spans="1:11" x14ac:dyDescent="0.4">
      <c r="F38" s="1">
        <f>COUNT(F4:F33)</f>
        <v>0</v>
      </c>
      <c r="G38" s="1" t="s">
        <v>140</v>
      </c>
      <c r="H38" s="1">
        <f>QUARTILE(H4:H33,3)</f>
        <v>30</v>
      </c>
      <c r="I38" s="1">
        <f>QUARTILE(I4:I33,3)</f>
        <v>70.75</v>
      </c>
      <c r="J38" s="1">
        <f>QUARTILE(J4:J33,3)</f>
        <v>6</v>
      </c>
      <c r="K38" s="1">
        <f>QUARTILE(K4:K33,3)</f>
        <v>30</v>
      </c>
    </row>
    <row r="39" spans="1:11" x14ac:dyDescent="0.4">
      <c r="G39" s="1" t="s">
        <v>143</v>
      </c>
      <c r="H39" s="1">
        <f>H38-H37</f>
        <v>11</v>
      </c>
      <c r="I39" s="1">
        <f>I38-I37</f>
        <v>7.75</v>
      </c>
      <c r="J39" s="1">
        <f>J38-J37</f>
        <v>2</v>
      </c>
      <c r="K39" s="1">
        <f>K38-K37</f>
        <v>11</v>
      </c>
    </row>
    <row r="40" spans="1:11" x14ac:dyDescent="0.4">
      <c r="G40" s="1" t="s">
        <v>144</v>
      </c>
      <c r="H40" s="1">
        <f>H38+1.5*H39</f>
        <v>46.5</v>
      </c>
      <c r="I40" s="1">
        <f>I38+1.5*I39</f>
        <v>82.375</v>
      </c>
      <c r="J40" s="1">
        <f>J38+1.5*J39</f>
        <v>9</v>
      </c>
      <c r="K40" s="1">
        <f>K38+1.5*K39</f>
        <v>46.5</v>
      </c>
    </row>
    <row r="41" spans="1:11" x14ac:dyDescent="0.4">
      <c r="G41" s="1" t="s">
        <v>145</v>
      </c>
      <c r="H41" s="1">
        <f>H37-1.5*H39</f>
        <v>2.5</v>
      </c>
      <c r="I41" s="1">
        <f>I37-1.5*I39</f>
        <v>51.375</v>
      </c>
      <c r="J41" s="1">
        <f>J37-1.5*J39</f>
        <v>1</v>
      </c>
      <c r="K41" s="1">
        <f>K37-1.5*K39</f>
        <v>2.5</v>
      </c>
    </row>
    <row r="42" spans="1:11" x14ac:dyDescent="0.4">
      <c r="G42" s="1" t="s">
        <v>146</v>
      </c>
      <c r="H42" s="1">
        <f>MIN(H4:H33)</f>
        <v>18</v>
      </c>
      <c r="I42" s="1">
        <f>MIN(I4:I33)</f>
        <v>59</v>
      </c>
      <c r="J42" s="1">
        <f>MIN(J4:J33)</f>
        <v>1</v>
      </c>
      <c r="K42" s="1">
        <f>MIN(K4:K33)</f>
        <v>18</v>
      </c>
    </row>
    <row r="43" spans="1:11" x14ac:dyDescent="0.4">
      <c r="G43" s="1" t="s">
        <v>147</v>
      </c>
      <c r="H43" s="1">
        <f>MAX(H4:H33)</f>
        <v>39</v>
      </c>
      <c r="I43" s="1">
        <f>MAX(I4:I33)</f>
        <v>75</v>
      </c>
      <c r="J43" s="1">
        <f>MAX(J4:J33)</f>
        <v>7</v>
      </c>
      <c r="K43" s="1">
        <f>MAX(K4:K33)</f>
        <v>39</v>
      </c>
    </row>
    <row r="44" spans="1:11" x14ac:dyDescent="0.4">
      <c r="G44" s="1" t="s">
        <v>54</v>
      </c>
      <c r="H44" s="1">
        <f>MODE(H4:H33)</f>
        <v>19</v>
      </c>
      <c r="I44" s="1">
        <f>MODE(I4:I33)</f>
        <v>68</v>
      </c>
      <c r="J44" s="1">
        <f>MODE(J4:J33)</f>
        <v>6</v>
      </c>
      <c r="K44" s="1">
        <f>MODE(K4:K33)</f>
        <v>19</v>
      </c>
    </row>
    <row r="45" spans="1:11" x14ac:dyDescent="0.4">
      <c r="G45" s="1" t="s">
        <v>142</v>
      </c>
      <c r="H45" s="1">
        <f>VAR(H4:H33)</f>
        <v>47.199999999999974</v>
      </c>
      <c r="I45" s="1">
        <f>VAR(I4:I33)</f>
        <v>21.702298850574721</v>
      </c>
      <c r="J45" s="1">
        <f>VAR(J4:J33)</f>
        <v>2.1885057471264378</v>
      </c>
      <c r="K45" s="1">
        <f>VAR(K4:K33)</f>
        <v>47.199999999999974</v>
      </c>
    </row>
    <row r="46" spans="1:11" x14ac:dyDescent="0.4">
      <c r="G46" s="1" t="s">
        <v>128</v>
      </c>
      <c r="H46" s="1">
        <f>STDEV(H4:H33)</f>
        <v>6.8702256149270653</v>
      </c>
      <c r="I46" s="1">
        <f>STDEV(I4:I33)</f>
        <v>4.6585726194377095</v>
      </c>
      <c r="J46" s="1">
        <f>STDEV(J4:J33)</f>
        <v>1.4793599112881346</v>
      </c>
      <c r="K46" s="1">
        <f>STDEV(K4:K33)</f>
        <v>6.8702256149270653</v>
      </c>
    </row>
    <row r="47" spans="1:11" x14ac:dyDescent="0.4">
      <c r="G47" s="1" t="s">
        <v>130</v>
      </c>
      <c r="H47" s="1">
        <f>SKEW(H4:H33)</f>
        <v>0.55719051478182813</v>
      </c>
      <c r="I47" s="1">
        <f>SKEW(I4:I33)</f>
        <v>0.17189273255584481</v>
      </c>
      <c r="J47" s="1">
        <f>SKEW(J4:J33)</f>
        <v>-0.68580729718809197</v>
      </c>
      <c r="K47" s="1">
        <f>SKEW(K4:K33)</f>
        <v>0.55719051478182813</v>
      </c>
    </row>
  </sheetData>
  <autoFilter ref="A3:K33" xr:uid="{00000000-0009-0000-0000-00000C000000}"/>
  <mergeCells count="1">
    <mergeCell ref="A1:C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8"/>
  <sheetViews>
    <sheetView workbookViewId="0">
      <selection activeCell="D32" sqref="D32"/>
    </sheetView>
  </sheetViews>
  <sheetFormatPr defaultColWidth="8.88671875" defaultRowHeight="19.8" x14ac:dyDescent="0.4"/>
  <cols>
    <col min="1" max="1" width="86.88671875" style="1" bestFit="1" customWidth="1"/>
    <col min="2" max="3" width="8.88671875" style="1"/>
    <col min="4" max="4" width="37.109375" style="1" bestFit="1" customWidth="1"/>
    <col min="5" max="8" width="8.88671875" style="1"/>
    <col min="9" max="9" width="37.109375" style="1" bestFit="1" customWidth="1"/>
    <col min="10" max="16384" width="8.88671875" style="1"/>
  </cols>
  <sheetData>
    <row r="1" spans="1:11" x14ac:dyDescent="0.4">
      <c r="A1" s="27" t="s">
        <v>117</v>
      </c>
    </row>
    <row r="6" spans="1:11" x14ac:dyDescent="0.4">
      <c r="A6" s="24" t="s">
        <v>118</v>
      </c>
      <c r="B6" s="20"/>
      <c r="C6" s="18"/>
      <c r="D6" s="22" t="s">
        <v>119</v>
      </c>
      <c r="E6" s="18"/>
      <c r="F6" s="18"/>
      <c r="G6" s="18"/>
      <c r="J6" s="18"/>
      <c r="K6" s="18"/>
    </row>
    <row r="7" spans="1:11" x14ac:dyDescent="0.4">
      <c r="A7" s="20"/>
      <c r="B7" s="20"/>
      <c r="C7" s="18"/>
      <c r="D7" s="18"/>
      <c r="E7" s="18"/>
      <c r="F7" s="18"/>
      <c r="G7" s="18"/>
      <c r="J7" s="18"/>
      <c r="K7" s="18"/>
    </row>
    <row r="8" spans="1:11" x14ac:dyDescent="0.4">
      <c r="A8" s="20"/>
      <c r="B8" s="20"/>
      <c r="C8" s="18"/>
      <c r="D8" s="18"/>
      <c r="E8" s="18"/>
      <c r="F8" s="18"/>
      <c r="G8" s="18"/>
      <c r="J8" s="18"/>
      <c r="K8" s="18"/>
    </row>
    <row r="9" spans="1:11" x14ac:dyDescent="0.4">
      <c r="A9" s="20"/>
      <c r="B9" s="20"/>
      <c r="C9" s="18"/>
      <c r="D9" s="18"/>
      <c r="E9" s="18"/>
      <c r="F9" s="18"/>
      <c r="G9" s="18"/>
      <c r="J9" s="18"/>
      <c r="K9" s="18"/>
    </row>
    <row r="10" spans="1:11" x14ac:dyDescent="0.4">
      <c r="A10" s="24" t="s">
        <v>120</v>
      </c>
      <c r="B10" s="20"/>
      <c r="C10" s="18"/>
      <c r="D10" s="18"/>
      <c r="E10" s="18"/>
      <c r="F10" s="18"/>
      <c r="G10" s="18"/>
      <c r="J10" s="18"/>
      <c r="K10" s="18"/>
    </row>
    <row r="11" spans="1:11" x14ac:dyDescent="0.4">
      <c r="A11" s="24"/>
      <c r="B11" s="20"/>
      <c r="C11" s="210" t="s">
        <v>121</v>
      </c>
      <c r="D11" s="210"/>
      <c r="E11" s="18"/>
      <c r="F11" s="18"/>
      <c r="G11" s="18"/>
      <c r="J11" s="18"/>
      <c r="K11" s="18"/>
    </row>
    <row r="12" spans="1:11" x14ac:dyDescent="0.4">
      <c r="A12" s="20"/>
      <c r="B12" s="20"/>
      <c r="C12" s="18"/>
      <c r="D12" s="22" t="s">
        <v>100</v>
      </c>
      <c r="E12" s="18"/>
      <c r="F12" s="18"/>
      <c r="G12" s="18"/>
      <c r="J12" s="18"/>
      <c r="K12" s="23"/>
    </row>
    <row r="13" spans="1:11" x14ac:dyDescent="0.4">
      <c r="A13" s="20"/>
      <c r="B13" s="20"/>
      <c r="C13" s="18"/>
      <c r="D13" s="22" t="s">
        <v>105</v>
      </c>
      <c r="E13" s="18"/>
      <c r="F13" s="18"/>
      <c r="G13" s="18"/>
      <c r="J13" s="18"/>
      <c r="K13" s="23"/>
    </row>
    <row r="14" spans="1:11" x14ac:dyDescent="0.4">
      <c r="A14" s="20"/>
      <c r="B14" s="20"/>
      <c r="C14" s="18"/>
      <c r="D14" s="22" t="s">
        <v>122</v>
      </c>
      <c r="E14" s="18"/>
      <c r="F14" s="18"/>
      <c r="G14" s="18"/>
      <c r="J14" s="18"/>
      <c r="K14" s="23"/>
    </row>
    <row r="15" spans="1:11" x14ac:dyDescent="0.4">
      <c r="A15" s="20"/>
      <c r="B15" s="20"/>
      <c r="C15" s="18"/>
      <c r="D15" s="18"/>
      <c r="E15" s="18"/>
      <c r="F15" s="18"/>
      <c r="G15" s="18"/>
      <c r="J15" s="18"/>
      <c r="K15" s="18"/>
    </row>
    <row r="16" spans="1:11" x14ac:dyDescent="0.4">
      <c r="A16" s="24" t="s">
        <v>123</v>
      </c>
      <c r="B16" s="20"/>
      <c r="C16" s="18"/>
      <c r="D16" s="22" t="s">
        <v>124</v>
      </c>
      <c r="E16" s="18"/>
      <c r="F16" s="18"/>
      <c r="G16" s="18"/>
      <c r="J16" s="18"/>
      <c r="K16" s="18"/>
    </row>
    <row r="17" spans="1:11" x14ac:dyDescent="0.4">
      <c r="A17" s="20"/>
      <c r="B17" s="20"/>
      <c r="C17" s="18"/>
      <c r="D17" s="22" t="s">
        <v>54</v>
      </c>
      <c r="E17" s="18"/>
      <c r="F17" s="18"/>
      <c r="G17" s="18"/>
      <c r="J17" s="18"/>
      <c r="K17" s="18"/>
    </row>
    <row r="18" spans="1:11" x14ac:dyDescent="0.4">
      <c r="A18" s="20"/>
      <c r="B18" s="20"/>
      <c r="C18" s="18"/>
      <c r="D18" s="18"/>
      <c r="E18" s="18"/>
      <c r="F18" s="18"/>
      <c r="G18" s="18"/>
      <c r="J18" s="18"/>
      <c r="K18" s="18"/>
    </row>
    <row r="19" spans="1:11" x14ac:dyDescent="0.4">
      <c r="A19" s="20"/>
      <c r="B19" s="20"/>
      <c r="C19" s="18"/>
      <c r="D19" s="18"/>
      <c r="E19" s="18"/>
      <c r="F19" s="18"/>
      <c r="G19" s="18"/>
      <c r="J19" s="18"/>
      <c r="K19" s="18"/>
    </row>
    <row r="20" spans="1:11" x14ac:dyDescent="0.4">
      <c r="A20" s="24" t="s">
        <v>125</v>
      </c>
      <c r="B20" s="20"/>
      <c r="C20" s="18"/>
      <c r="D20" s="22" t="s">
        <v>126</v>
      </c>
      <c r="E20" s="18"/>
      <c r="F20" s="18"/>
      <c r="G20" s="18"/>
      <c r="J20" s="23"/>
      <c r="K20" s="18"/>
    </row>
    <row r="21" spans="1:11" x14ac:dyDescent="0.4">
      <c r="A21" s="20"/>
      <c r="B21" s="20"/>
      <c r="C21" s="18"/>
      <c r="D21" s="18"/>
      <c r="E21" s="18"/>
      <c r="F21" s="18"/>
      <c r="G21" s="18"/>
      <c r="J21" s="18"/>
      <c r="K21" s="18"/>
    </row>
    <row r="22" spans="1:11" x14ac:dyDescent="0.4">
      <c r="A22" s="20"/>
      <c r="B22" s="20"/>
      <c r="C22" s="18"/>
      <c r="D22" s="18"/>
      <c r="E22" s="18"/>
      <c r="F22" s="18"/>
      <c r="G22" s="18"/>
      <c r="J22" s="18"/>
      <c r="K22" s="18"/>
    </row>
    <row r="23" spans="1:11" x14ac:dyDescent="0.4">
      <c r="A23" s="20" t="s">
        <v>127</v>
      </c>
      <c r="B23" s="20"/>
      <c r="C23" s="18"/>
      <c r="D23" s="18" t="s">
        <v>62</v>
      </c>
      <c r="E23" s="18"/>
      <c r="F23" s="18"/>
      <c r="G23" s="18"/>
      <c r="J23" s="18"/>
      <c r="K23" s="18"/>
    </row>
    <row r="24" spans="1:11" x14ac:dyDescent="0.4">
      <c r="A24" s="20"/>
      <c r="B24" s="20"/>
      <c r="C24" s="18"/>
      <c r="D24" s="18" t="s">
        <v>33</v>
      </c>
      <c r="E24" s="18"/>
      <c r="F24" s="18"/>
      <c r="G24" s="18"/>
      <c r="J24" s="18"/>
      <c r="K24" s="18"/>
    </row>
    <row r="25" spans="1:11" x14ac:dyDescent="0.4">
      <c r="A25" s="20"/>
      <c r="B25" s="20"/>
      <c r="C25" s="18"/>
      <c r="D25" s="18" t="s">
        <v>54</v>
      </c>
      <c r="E25" s="18"/>
      <c r="F25" s="18"/>
      <c r="G25" s="18"/>
      <c r="J25" s="18"/>
      <c r="K25" s="18"/>
    </row>
    <row r="26" spans="1:11" x14ac:dyDescent="0.4">
      <c r="A26" s="20"/>
      <c r="B26" s="20"/>
      <c r="C26" s="18"/>
      <c r="D26" s="18" t="s">
        <v>128</v>
      </c>
      <c r="E26" s="18"/>
      <c r="F26" s="18"/>
      <c r="G26" s="18"/>
      <c r="J26" s="18"/>
      <c r="K26" s="18"/>
    </row>
    <row r="27" spans="1:11" x14ac:dyDescent="0.4">
      <c r="A27" s="20"/>
      <c r="B27" s="20"/>
      <c r="C27" s="18"/>
      <c r="D27" s="18" t="s">
        <v>129</v>
      </c>
      <c r="E27" s="18"/>
      <c r="F27" s="18"/>
      <c r="G27" s="18"/>
      <c r="J27" s="18"/>
      <c r="K27" s="18"/>
    </row>
    <row r="28" spans="1:11" x14ac:dyDescent="0.4">
      <c r="A28" s="20"/>
      <c r="B28" s="20"/>
      <c r="C28" s="18"/>
      <c r="D28" s="18" t="s">
        <v>130</v>
      </c>
      <c r="E28" s="18"/>
      <c r="F28" s="18"/>
      <c r="G28" s="18"/>
      <c r="J28" s="18"/>
      <c r="K28" s="18"/>
    </row>
  </sheetData>
  <mergeCells count="1">
    <mergeCell ref="C11:D1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C37"/>
  <sheetViews>
    <sheetView topLeftCell="A7" workbookViewId="0">
      <selection activeCell="C20" sqref="C20"/>
    </sheetView>
  </sheetViews>
  <sheetFormatPr defaultColWidth="8.88671875" defaultRowHeight="19.8" x14ac:dyDescent="0.4"/>
  <cols>
    <col min="1" max="1" width="10.44140625" style="1" bestFit="1" customWidth="1"/>
    <col min="2" max="2" width="8.88671875" style="1"/>
    <col min="3" max="3" width="117" style="1" customWidth="1"/>
    <col min="4" max="16384" width="8.88671875" style="1"/>
  </cols>
  <sheetData>
    <row r="1" spans="1:3" x14ac:dyDescent="0.4">
      <c r="A1" s="8" t="s">
        <v>19</v>
      </c>
      <c r="C1" s="1" t="s">
        <v>26</v>
      </c>
    </row>
    <row r="2" spans="1:3" x14ac:dyDescent="0.4">
      <c r="A2" s="2">
        <f ca="1">RANDBETWEEN(12,50)</f>
        <v>34</v>
      </c>
    </row>
    <row r="3" spans="1:3" x14ac:dyDescent="0.4">
      <c r="A3" s="4">
        <f t="shared" ref="A3:A37" ca="1" si="0">RANDBETWEEN(12,50)</f>
        <v>47</v>
      </c>
      <c r="C3" s="1" t="s">
        <v>27</v>
      </c>
    </row>
    <row r="4" spans="1:3" x14ac:dyDescent="0.4">
      <c r="A4" s="4">
        <f t="shared" ca="1" si="0"/>
        <v>15</v>
      </c>
    </row>
    <row r="5" spans="1:3" x14ac:dyDescent="0.4">
      <c r="A5" s="4">
        <f t="shared" ca="1" si="0"/>
        <v>24</v>
      </c>
    </row>
    <row r="6" spans="1:3" x14ac:dyDescent="0.4">
      <c r="A6" s="4">
        <f t="shared" ca="1" si="0"/>
        <v>48</v>
      </c>
    </row>
    <row r="7" spans="1:3" x14ac:dyDescent="0.4">
      <c r="A7" s="4">
        <f t="shared" ca="1" si="0"/>
        <v>35</v>
      </c>
    </row>
    <row r="8" spans="1:3" x14ac:dyDescent="0.4">
      <c r="A8" s="4">
        <f t="shared" ca="1" si="0"/>
        <v>29</v>
      </c>
    </row>
    <row r="9" spans="1:3" x14ac:dyDescent="0.4">
      <c r="A9" s="4">
        <f t="shared" ca="1" si="0"/>
        <v>50</v>
      </c>
    </row>
    <row r="10" spans="1:3" x14ac:dyDescent="0.4">
      <c r="A10" s="4">
        <f t="shared" ca="1" si="0"/>
        <v>18</v>
      </c>
    </row>
    <row r="11" spans="1:3" x14ac:dyDescent="0.4">
      <c r="A11" s="4">
        <f t="shared" ca="1" si="0"/>
        <v>50</v>
      </c>
    </row>
    <row r="12" spans="1:3" x14ac:dyDescent="0.4">
      <c r="A12" s="4">
        <f t="shared" ca="1" si="0"/>
        <v>34</v>
      </c>
    </row>
    <row r="13" spans="1:3" x14ac:dyDescent="0.4">
      <c r="A13" s="4">
        <f t="shared" ca="1" si="0"/>
        <v>27</v>
      </c>
    </row>
    <row r="14" spans="1:3" x14ac:dyDescent="0.4">
      <c r="A14" s="4">
        <f t="shared" ca="1" si="0"/>
        <v>50</v>
      </c>
    </row>
    <row r="15" spans="1:3" x14ac:dyDescent="0.4">
      <c r="A15" s="4">
        <f t="shared" ca="1" si="0"/>
        <v>26</v>
      </c>
    </row>
    <row r="16" spans="1:3" x14ac:dyDescent="0.4">
      <c r="A16" s="4">
        <f t="shared" ca="1" si="0"/>
        <v>13</v>
      </c>
    </row>
    <row r="17" spans="1:1" x14ac:dyDescent="0.4">
      <c r="A17" s="4">
        <f t="shared" ca="1" si="0"/>
        <v>16</v>
      </c>
    </row>
    <row r="18" spans="1:1" x14ac:dyDescent="0.4">
      <c r="A18" s="4">
        <f t="shared" ca="1" si="0"/>
        <v>24</v>
      </c>
    </row>
    <row r="19" spans="1:1" x14ac:dyDescent="0.4">
      <c r="A19" s="4">
        <f t="shared" ca="1" si="0"/>
        <v>25</v>
      </c>
    </row>
    <row r="20" spans="1:1" x14ac:dyDescent="0.4">
      <c r="A20" s="4">
        <f t="shared" ca="1" si="0"/>
        <v>13</v>
      </c>
    </row>
    <row r="21" spans="1:1" x14ac:dyDescent="0.4">
      <c r="A21" s="4">
        <f t="shared" ca="1" si="0"/>
        <v>30</v>
      </c>
    </row>
    <row r="22" spans="1:1" x14ac:dyDescent="0.4">
      <c r="A22" s="4">
        <f t="shared" ca="1" si="0"/>
        <v>30</v>
      </c>
    </row>
    <row r="23" spans="1:1" x14ac:dyDescent="0.4">
      <c r="A23" s="4">
        <f t="shared" ca="1" si="0"/>
        <v>24</v>
      </c>
    </row>
    <row r="24" spans="1:1" x14ac:dyDescent="0.4">
      <c r="A24" s="4">
        <f t="shared" ca="1" si="0"/>
        <v>50</v>
      </c>
    </row>
    <row r="25" spans="1:1" x14ac:dyDescent="0.4">
      <c r="A25" s="4">
        <f t="shared" ca="1" si="0"/>
        <v>24</v>
      </c>
    </row>
    <row r="26" spans="1:1" x14ac:dyDescent="0.4">
      <c r="A26" s="4">
        <f t="shared" ca="1" si="0"/>
        <v>13</v>
      </c>
    </row>
    <row r="27" spans="1:1" x14ac:dyDescent="0.4">
      <c r="A27" s="4">
        <f t="shared" ca="1" si="0"/>
        <v>28</v>
      </c>
    </row>
    <row r="28" spans="1:1" x14ac:dyDescent="0.4">
      <c r="A28" s="4">
        <f t="shared" ca="1" si="0"/>
        <v>27</v>
      </c>
    </row>
    <row r="29" spans="1:1" x14ac:dyDescent="0.4">
      <c r="A29" s="4">
        <f t="shared" ca="1" si="0"/>
        <v>30</v>
      </c>
    </row>
    <row r="30" spans="1:1" x14ac:dyDescent="0.4">
      <c r="A30" s="4">
        <f t="shared" ca="1" si="0"/>
        <v>44</v>
      </c>
    </row>
    <row r="31" spans="1:1" x14ac:dyDescent="0.4">
      <c r="A31" s="4">
        <f t="shared" ca="1" si="0"/>
        <v>27</v>
      </c>
    </row>
    <row r="32" spans="1:1" x14ac:dyDescent="0.4">
      <c r="A32" s="4">
        <f t="shared" ca="1" si="0"/>
        <v>40</v>
      </c>
    </row>
    <row r="33" spans="1:1" x14ac:dyDescent="0.4">
      <c r="A33" s="4">
        <f t="shared" ca="1" si="0"/>
        <v>30</v>
      </c>
    </row>
    <row r="34" spans="1:1" x14ac:dyDescent="0.4">
      <c r="A34" s="4">
        <f t="shared" ca="1" si="0"/>
        <v>23</v>
      </c>
    </row>
    <row r="35" spans="1:1" x14ac:dyDescent="0.4">
      <c r="A35" s="4">
        <f t="shared" ca="1" si="0"/>
        <v>28</v>
      </c>
    </row>
    <row r="36" spans="1:1" x14ac:dyDescent="0.4">
      <c r="A36" s="4">
        <f t="shared" ca="1" si="0"/>
        <v>22</v>
      </c>
    </row>
    <row r="37" spans="1:1" x14ac:dyDescent="0.4">
      <c r="A37" s="4">
        <f t="shared" ca="1" si="0"/>
        <v>46</v>
      </c>
    </row>
  </sheetData>
  <sortState xmlns:xlrd2="http://schemas.microsoft.com/office/spreadsheetml/2017/richdata2" ref="H2:H13">
    <sortCondition ref="H2"/>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C298"/>
  <sheetViews>
    <sheetView tabSelected="1" workbookViewId="0">
      <selection activeCell="E13" sqref="E13"/>
    </sheetView>
  </sheetViews>
  <sheetFormatPr defaultColWidth="8.88671875" defaultRowHeight="19.8" x14ac:dyDescent="0.4"/>
  <cols>
    <col min="1" max="1" width="31.5546875" style="1" bestFit="1" customWidth="1"/>
    <col min="2" max="2" width="8.88671875" style="1"/>
    <col min="3" max="3" width="19.88671875" style="1" customWidth="1"/>
    <col min="4" max="4" width="17" style="1" customWidth="1"/>
    <col min="5" max="5" width="16.88671875" style="1" customWidth="1"/>
    <col min="6" max="6" width="30.33203125" style="1" customWidth="1"/>
    <col min="7" max="7" width="26.109375" style="1" customWidth="1"/>
    <col min="8" max="8" width="18.5546875" style="1" customWidth="1"/>
    <col min="9" max="16384" width="8.88671875" style="1"/>
  </cols>
  <sheetData>
    <row r="1" spans="1:3" x14ac:dyDescent="0.4">
      <c r="A1" s="8" t="s">
        <v>1</v>
      </c>
      <c r="C1" s="1" t="s">
        <v>20</v>
      </c>
    </row>
    <row r="3" spans="1:3" ht="19.5" customHeight="1" x14ac:dyDescent="0.4">
      <c r="A3" s="9">
        <f ca="1">RANDBETWEEN(12000,100000)</f>
        <v>14887</v>
      </c>
    </row>
    <row r="4" spans="1:3" x14ac:dyDescent="0.4">
      <c r="A4" s="9">
        <f t="shared" ref="A4:A67" ca="1" si="0">RANDBETWEEN(12000,100000)</f>
        <v>13112</v>
      </c>
    </row>
    <row r="5" spans="1:3" x14ac:dyDescent="0.4">
      <c r="A5" s="9">
        <f t="shared" ca="1" si="0"/>
        <v>38834</v>
      </c>
    </row>
    <row r="6" spans="1:3" x14ac:dyDescent="0.4">
      <c r="A6" s="9">
        <f t="shared" ca="1" si="0"/>
        <v>29861</v>
      </c>
    </row>
    <row r="7" spans="1:3" x14ac:dyDescent="0.4">
      <c r="A7" s="9">
        <f t="shared" ca="1" si="0"/>
        <v>29449</v>
      </c>
    </row>
    <row r="8" spans="1:3" x14ac:dyDescent="0.4">
      <c r="A8" s="9">
        <f t="shared" ca="1" si="0"/>
        <v>17561</v>
      </c>
    </row>
    <row r="9" spans="1:3" x14ac:dyDescent="0.4">
      <c r="A9" s="9">
        <f t="shared" ca="1" si="0"/>
        <v>87550</v>
      </c>
    </row>
    <row r="10" spans="1:3" x14ac:dyDescent="0.4">
      <c r="A10" s="9">
        <f t="shared" ca="1" si="0"/>
        <v>52959</v>
      </c>
    </row>
    <row r="11" spans="1:3" x14ac:dyDescent="0.4">
      <c r="A11" s="9">
        <f t="shared" ca="1" si="0"/>
        <v>61201</v>
      </c>
    </row>
    <row r="12" spans="1:3" x14ac:dyDescent="0.4">
      <c r="A12" s="9">
        <f t="shared" ca="1" si="0"/>
        <v>78849</v>
      </c>
    </row>
    <row r="13" spans="1:3" x14ac:dyDescent="0.4">
      <c r="A13" s="9">
        <f t="shared" ca="1" si="0"/>
        <v>39508</v>
      </c>
    </row>
    <row r="14" spans="1:3" x14ac:dyDescent="0.4">
      <c r="A14" s="9">
        <f t="shared" ca="1" si="0"/>
        <v>88888</v>
      </c>
    </row>
    <row r="15" spans="1:3" x14ac:dyDescent="0.4">
      <c r="A15" s="9">
        <f t="shared" ca="1" si="0"/>
        <v>62084</v>
      </c>
    </row>
    <row r="16" spans="1:3" x14ac:dyDescent="0.4">
      <c r="A16" s="9">
        <f t="shared" ca="1" si="0"/>
        <v>20907</v>
      </c>
    </row>
    <row r="17" spans="1:1" x14ac:dyDescent="0.4">
      <c r="A17" s="9">
        <f t="shared" ca="1" si="0"/>
        <v>78682</v>
      </c>
    </row>
    <row r="18" spans="1:1" x14ac:dyDescent="0.4">
      <c r="A18" s="9">
        <f t="shared" ca="1" si="0"/>
        <v>68448</v>
      </c>
    </row>
    <row r="19" spans="1:1" x14ac:dyDescent="0.4">
      <c r="A19" s="9">
        <f t="shared" ca="1" si="0"/>
        <v>78925</v>
      </c>
    </row>
    <row r="20" spans="1:1" x14ac:dyDescent="0.4">
      <c r="A20" s="9">
        <f t="shared" ca="1" si="0"/>
        <v>55980</v>
      </c>
    </row>
    <row r="21" spans="1:1" x14ac:dyDescent="0.4">
      <c r="A21" s="9">
        <f t="shared" ca="1" si="0"/>
        <v>77682</v>
      </c>
    </row>
    <row r="22" spans="1:1" x14ac:dyDescent="0.4">
      <c r="A22" s="9">
        <f t="shared" ca="1" si="0"/>
        <v>51152</v>
      </c>
    </row>
    <row r="23" spans="1:1" x14ac:dyDescent="0.4">
      <c r="A23" s="9">
        <f t="shared" ca="1" si="0"/>
        <v>84430</v>
      </c>
    </row>
    <row r="24" spans="1:1" x14ac:dyDescent="0.4">
      <c r="A24" s="9">
        <f t="shared" ca="1" si="0"/>
        <v>82383</v>
      </c>
    </row>
    <row r="25" spans="1:1" x14ac:dyDescent="0.4">
      <c r="A25" s="9">
        <f t="shared" ca="1" si="0"/>
        <v>93738</v>
      </c>
    </row>
    <row r="26" spans="1:1" x14ac:dyDescent="0.4">
      <c r="A26" s="9">
        <f t="shared" ca="1" si="0"/>
        <v>99146</v>
      </c>
    </row>
    <row r="27" spans="1:1" x14ac:dyDescent="0.4">
      <c r="A27" s="9">
        <f t="shared" ca="1" si="0"/>
        <v>62745</v>
      </c>
    </row>
    <row r="28" spans="1:1" x14ac:dyDescent="0.4">
      <c r="A28" s="9">
        <f t="shared" ca="1" si="0"/>
        <v>40855</v>
      </c>
    </row>
    <row r="29" spans="1:1" x14ac:dyDescent="0.4">
      <c r="A29" s="9">
        <f t="shared" ca="1" si="0"/>
        <v>53466</v>
      </c>
    </row>
    <row r="30" spans="1:1" x14ac:dyDescent="0.4">
      <c r="A30" s="9">
        <f t="shared" ca="1" si="0"/>
        <v>99326</v>
      </c>
    </row>
    <row r="31" spans="1:1" x14ac:dyDescent="0.4">
      <c r="A31" s="9">
        <f t="shared" ca="1" si="0"/>
        <v>79992</v>
      </c>
    </row>
    <row r="32" spans="1:1" x14ac:dyDescent="0.4">
      <c r="A32" s="9">
        <f t="shared" ca="1" si="0"/>
        <v>61388</v>
      </c>
    </row>
    <row r="33" spans="1:1" x14ac:dyDescent="0.4">
      <c r="A33" s="9">
        <f t="shared" ca="1" si="0"/>
        <v>58245</v>
      </c>
    </row>
    <row r="34" spans="1:1" x14ac:dyDescent="0.4">
      <c r="A34" s="9">
        <f t="shared" ca="1" si="0"/>
        <v>41805</v>
      </c>
    </row>
    <row r="35" spans="1:1" x14ac:dyDescent="0.4">
      <c r="A35" s="9">
        <f t="shared" ca="1" si="0"/>
        <v>15373</v>
      </c>
    </row>
    <row r="36" spans="1:1" x14ac:dyDescent="0.4">
      <c r="A36" s="9">
        <f t="shared" ca="1" si="0"/>
        <v>16122</v>
      </c>
    </row>
    <row r="37" spans="1:1" x14ac:dyDescent="0.4">
      <c r="A37" s="9">
        <f t="shared" ca="1" si="0"/>
        <v>30925</v>
      </c>
    </row>
    <row r="38" spans="1:1" x14ac:dyDescent="0.4">
      <c r="A38" s="9">
        <f t="shared" ca="1" si="0"/>
        <v>69034</v>
      </c>
    </row>
    <row r="39" spans="1:1" x14ac:dyDescent="0.4">
      <c r="A39" s="9">
        <f t="shared" ca="1" si="0"/>
        <v>23253</v>
      </c>
    </row>
    <row r="40" spans="1:1" x14ac:dyDescent="0.4">
      <c r="A40" s="9">
        <f t="shared" ca="1" si="0"/>
        <v>70896</v>
      </c>
    </row>
    <row r="41" spans="1:1" x14ac:dyDescent="0.4">
      <c r="A41" s="9">
        <f t="shared" ca="1" si="0"/>
        <v>94412</v>
      </c>
    </row>
    <row r="42" spans="1:1" x14ac:dyDescent="0.4">
      <c r="A42" s="9">
        <f t="shared" ca="1" si="0"/>
        <v>24142</v>
      </c>
    </row>
    <row r="43" spans="1:1" x14ac:dyDescent="0.4">
      <c r="A43" s="9">
        <f t="shared" ca="1" si="0"/>
        <v>46924</v>
      </c>
    </row>
    <row r="44" spans="1:1" x14ac:dyDescent="0.4">
      <c r="A44" s="9">
        <f t="shared" ca="1" si="0"/>
        <v>75825</v>
      </c>
    </row>
    <row r="45" spans="1:1" x14ac:dyDescent="0.4">
      <c r="A45" s="9">
        <f t="shared" ca="1" si="0"/>
        <v>44095</v>
      </c>
    </row>
    <row r="46" spans="1:1" x14ac:dyDescent="0.4">
      <c r="A46" s="9">
        <f t="shared" ca="1" si="0"/>
        <v>81786</v>
      </c>
    </row>
    <row r="47" spans="1:1" x14ac:dyDescent="0.4">
      <c r="A47" s="9">
        <f t="shared" ca="1" si="0"/>
        <v>68381</v>
      </c>
    </row>
    <row r="48" spans="1:1" x14ac:dyDescent="0.4">
      <c r="A48" s="9">
        <f t="shared" ca="1" si="0"/>
        <v>95864</v>
      </c>
    </row>
    <row r="49" spans="1:1" x14ac:dyDescent="0.4">
      <c r="A49" s="9">
        <f t="shared" ca="1" si="0"/>
        <v>16279</v>
      </c>
    </row>
    <row r="50" spans="1:1" x14ac:dyDescent="0.4">
      <c r="A50" s="9">
        <f t="shared" ca="1" si="0"/>
        <v>42777</v>
      </c>
    </row>
    <row r="51" spans="1:1" x14ac:dyDescent="0.4">
      <c r="A51" s="9">
        <f t="shared" ca="1" si="0"/>
        <v>71648</v>
      </c>
    </row>
    <row r="52" spans="1:1" x14ac:dyDescent="0.4">
      <c r="A52" s="9">
        <f t="shared" ca="1" si="0"/>
        <v>54808</v>
      </c>
    </row>
    <row r="53" spans="1:1" x14ac:dyDescent="0.4">
      <c r="A53" s="9">
        <f t="shared" ca="1" si="0"/>
        <v>37446</v>
      </c>
    </row>
    <row r="54" spans="1:1" x14ac:dyDescent="0.4">
      <c r="A54" s="9">
        <f t="shared" ca="1" si="0"/>
        <v>28897</v>
      </c>
    </row>
    <row r="55" spans="1:1" x14ac:dyDescent="0.4">
      <c r="A55" s="9">
        <f t="shared" ca="1" si="0"/>
        <v>83962</v>
      </c>
    </row>
    <row r="56" spans="1:1" x14ac:dyDescent="0.4">
      <c r="A56" s="9">
        <f t="shared" ca="1" si="0"/>
        <v>22143</v>
      </c>
    </row>
    <row r="57" spans="1:1" x14ac:dyDescent="0.4">
      <c r="A57" s="9">
        <f t="shared" ca="1" si="0"/>
        <v>56946</v>
      </c>
    </row>
    <row r="58" spans="1:1" x14ac:dyDescent="0.4">
      <c r="A58" s="9">
        <f t="shared" ca="1" si="0"/>
        <v>80664</v>
      </c>
    </row>
    <row r="59" spans="1:1" x14ac:dyDescent="0.4">
      <c r="A59" s="9">
        <f t="shared" ca="1" si="0"/>
        <v>94198</v>
      </c>
    </row>
    <row r="60" spans="1:1" x14ac:dyDescent="0.4">
      <c r="A60" s="9">
        <f t="shared" ca="1" si="0"/>
        <v>35178</v>
      </c>
    </row>
    <row r="61" spans="1:1" x14ac:dyDescent="0.4">
      <c r="A61" s="9">
        <f t="shared" ca="1" si="0"/>
        <v>24366</v>
      </c>
    </row>
    <row r="62" spans="1:1" x14ac:dyDescent="0.4">
      <c r="A62" s="9">
        <f t="shared" ca="1" si="0"/>
        <v>76837</v>
      </c>
    </row>
    <row r="63" spans="1:1" x14ac:dyDescent="0.4">
      <c r="A63" s="9">
        <f t="shared" ca="1" si="0"/>
        <v>15358</v>
      </c>
    </row>
    <row r="64" spans="1:1" x14ac:dyDescent="0.4">
      <c r="A64" s="9">
        <f t="shared" ca="1" si="0"/>
        <v>44710</v>
      </c>
    </row>
    <row r="65" spans="1:1" x14ac:dyDescent="0.4">
      <c r="A65" s="9">
        <f t="shared" ca="1" si="0"/>
        <v>63226</v>
      </c>
    </row>
    <row r="66" spans="1:1" x14ac:dyDescent="0.4">
      <c r="A66" s="9">
        <f t="shared" ca="1" si="0"/>
        <v>93722</v>
      </c>
    </row>
    <row r="67" spans="1:1" x14ac:dyDescent="0.4">
      <c r="A67" s="9">
        <f t="shared" ca="1" si="0"/>
        <v>77209</v>
      </c>
    </row>
    <row r="68" spans="1:1" x14ac:dyDescent="0.4">
      <c r="A68" s="9">
        <f t="shared" ref="A68:A131" ca="1" si="1">RANDBETWEEN(12000,100000)</f>
        <v>39225</v>
      </c>
    </row>
    <row r="69" spans="1:1" x14ac:dyDescent="0.4">
      <c r="A69" s="9">
        <f t="shared" ca="1" si="1"/>
        <v>74865</v>
      </c>
    </row>
    <row r="70" spans="1:1" x14ac:dyDescent="0.4">
      <c r="A70" s="9">
        <f t="shared" ca="1" si="1"/>
        <v>42347</v>
      </c>
    </row>
    <row r="71" spans="1:1" x14ac:dyDescent="0.4">
      <c r="A71" s="9">
        <f t="shared" ca="1" si="1"/>
        <v>99268</v>
      </c>
    </row>
    <row r="72" spans="1:1" x14ac:dyDescent="0.4">
      <c r="A72" s="9">
        <f t="shared" ca="1" si="1"/>
        <v>31153</v>
      </c>
    </row>
    <row r="73" spans="1:1" x14ac:dyDescent="0.4">
      <c r="A73" s="9">
        <f t="shared" ca="1" si="1"/>
        <v>43769</v>
      </c>
    </row>
    <row r="74" spans="1:1" x14ac:dyDescent="0.4">
      <c r="A74" s="9">
        <f t="shared" ca="1" si="1"/>
        <v>76122</v>
      </c>
    </row>
    <row r="75" spans="1:1" x14ac:dyDescent="0.4">
      <c r="A75" s="9">
        <f t="shared" ca="1" si="1"/>
        <v>56980</v>
      </c>
    </row>
    <row r="76" spans="1:1" x14ac:dyDescent="0.4">
      <c r="A76" s="9">
        <f t="shared" ca="1" si="1"/>
        <v>46124</v>
      </c>
    </row>
    <row r="77" spans="1:1" x14ac:dyDescent="0.4">
      <c r="A77" s="9">
        <f t="shared" ca="1" si="1"/>
        <v>91222</v>
      </c>
    </row>
    <row r="78" spans="1:1" x14ac:dyDescent="0.4">
      <c r="A78" s="9">
        <f t="shared" ca="1" si="1"/>
        <v>52370</v>
      </c>
    </row>
    <row r="79" spans="1:1" x14ac:dyDescent="0.4">
      <c r="A79" s="9">
        <f t="shared" ca="1" si="1"/>
        <v>82164</v>
      </c>
    </row>
    <row r="80" spans="1:1" x14ac:dyDescent="0.4">
      <c r="A80" s="9">
        <f t="shared" ca="1" si="1"/>
        <v>82161</v>
      </c>
    </row>
    <row r="81" spans="1:1" x14ac:dyDescent="0.4">
      <c r="A81" s="9">
        <f t="shared" ca="1" si="1"/>
        <v>59928</v>
      </c>
    </row>
    <row r="82" spans="1:1" x14ac:dyDescent="0.4">
      <c r="A82" s="9">
        <f t="shared" ca="1" si="1"/>
        <v>48327</v>
      </c>
    </row>
    <row r="83" spans="1:1" x14ac:dyDescent="0.4">
      <c r="A83" s="9">
        <f t="shared" ca="1" si="1"/>
        <v>18085</v>
      </c>
    </row>
    <row r="84" spans="1:1" x14ac:dyDescent="0.4">
      <c r="A84" s="9">
        <f t="shared" ca="1" si="1"/>
        <v>90797</v>
      </c>
    </row>
    <row r="85" spans="1:1" x14ac:dyDescent="0.4">
      <c r="A85" s="9">
        <f t="shared" ca="1" si="1"/>
        <v>21120</v>
      </c>
    </row>
    <row r="86" spans="1:1" x14ac:dyDescent="0.4">
      <c r="A86" s="9">
        <f t="shared" ca="1" si="1"/>
        <v>19336</v>
      </c>
    </row>
    <row r="87" spans="1:1" x14ac:dyDescent="0.4">
      <c r="A87" s="9">
        <f t="shared" ca="1" si="1"/>
        <v>64666</v>
      </c>
    </row>
    <row r="88" spans="1:1" x14ac:dyDescent="0.4">
      <c r="A88" s="9">
        <f t="shared" ca="1" si="1"/>
        <v>61690</v>
      </c>
    </row>
    <row r="89" spans="1:1" x14ac:dyDescent="0.4">
      <c r="A89" s="9">
        <f t="shared" ca="1" si="1"/>
        <v>81582</v>
      </c>
    </row>
    <row r="90" spans="1:1" x14ac:dyDescent="0.4">
      <c r="A90" s="9">
        <f t="shared" ca="1" si="1"/>
        <v>69177</v>
      </c>
    </row>
    <row r="91" spans="1:1" x14ac:dyDescent="0.4">
      <c r="A91" s="9">
        <f t="shared" ca="1" si="1"/>
        <v>68359</v>
      </c>
    </row>
    <row r="92" spans="1:1" x14ac:dyDescent="0.4">
      <c r="A92" s="9">
        <f t="shared" ca="1" si="1"/>
        <v>31666</v>
      </c>
    </row>
    <row r="93" spans="1:1" x14ac:dyDescent="0.4">
      <c r="A93" s="9">
        <f t="shared" ca="1" si="1"/>
        <v>95808</v>
      </c>
    </row>
    <row r="94" spans="1:1" x14ac:dyDescent="0.4">
      <c r="A94" s="9">
        <f t="shared" ca="1" si="1"/>
        <v>14918</v>
      </c>
    </row>
    <row r="95" spans="1:1" x14ac:dyDescent="0.4">
      <c r="A95" s="9">
        <f t="shared" ca="1" si="1"/>
        <v>55747</v>
      </c>
    </row>
    <row r="96" spans="1:1" x14ac:dyDescent="0.4">
      <c r="A96" s="9">
        <f t="shared" ca="1" si="1"/>
        <v>76072</v>
      </c>
    </row>
    <row r="97" spans="1:1" x14ac:dyDescent="0.4">
      <c r="A97" s="9">
        <f t="shared" ca="1" si="1"/>
        <v>25557</v>
      </c>
    </row>
    <row r="98" spans="1:1" x14ac:dyDescent="0.4">
      <c r="A98" s="9">
        <f t="shared" ca="1" si="1"/>
        <v>85173</v>
      </c>
    </row>
    <row r="99" spans="1:1" x14ac:dyDescent="0.4">
      <c r="A99" s="9">
        <f t="shared" ca="1" si="1"/>
        <v>32372</v>
      </c>
    </row>
    <row r="100" spans="1:1" x14ac:dyDescent="0.4">
      <c r="A100" s="9">
        <f t="shared" ca="1" si="1"/>
        <v>28357</v>
      </c>
    </row>
    <row r="101" spans="1:1" x14ac:dyDescent="0.4">
      <c r="A101" s="9">
        <f t="shared" ca="1" si="1"/>
        <v>65226</v>
      </c>
    </row>
    <row r="102" spans="1:1" x14ac:dyDescent="0.4">
      <c r="A102" s="9">
        <f t="shared" ca="1" si="1"/>
        <v>39533</v>
      </c>
    </row>
    <row r="103" spans="1:1" x14ac:dyDescent="0.4">
      <c r="A103" s="9">
        <f t="shared" ca="1" si="1"/>
        <v>26075</v>
      </c>
    </row>
    <row r="104" spans="1:1" x14ac:dyDescent="0.4">
      <c r="A104" s="9">
        <f t="shared" ca="1" si="1"/>
        <v>36948</v>
      </c>
    </row>
    <row r="105" spans="1:1" x14ac:dyDescent="0.4">
      <c r="A105" s="9">
        <f t="shared" ca="1" si="1"/>
        <v>95020</v>
      </c>
    </row>
    <row r="106" spans="1:1" x14ac:dyDescent="0.4">
      <c r="A106" s="9">
        <f t="shared" ca="1" si="1"/>
        <v>97461</v>
      </c>
    </row>
    <row r="107" spans="1:1" x14ac:dyDescent="0.4">
      <c r="A107" s="9">
        <f t="shared" ca="1" si="1"/>
        <v>39641</v>
      </c>
    </row>
    <row r="108" spans="1:1" x14ac:dyDescent="0.4">
      <c r="A108" s="9">
        <f t="shared" ca="1" si="1"/>
        <v>68994</v>
      </c>
    </row>
    <row r="109" spans="1:1" x14ac:dyDescent="0.4">
      <c r="A109" s="9">
        <f t="shared" ca="1" si="1"/>
        <v>17470</v>
      </c>
    </row>
    <row r="110" spans="1:1" x14ac:dyDescent="0.4">
      <c r="A110" s="9">
        <f t="shared" ca="1" si="1"/>
        <v>65383</v>
      </c>
    </row>
    <row r="111" spans="1:1" x14ac:dyDescent="0.4">
      <c r="A111" s="9">
        <f t="shared" ca="1" si="1"/>
        <v>32163</v>
      </c>
    </row>
    <row r="112" spans="1:1" x14ac:dyDescent="0.4">
      <c r="A112" s="9">
        <f t="shared" ca="1" si="1"/>
        <v>30043</v>
      </c>
    </row>
    <row r="113" spans="1:1" x14ac:dyDescent="0.4">
      <c r="A113" s="9">
        <f t="shared" ca="1" si="1"/>
        <v>49306</v>
      </c>
    </row>
    <row r="114" spans="1:1" x14ac:dyDescent="0.4">
      <c r="A114" s="9">
        <f t="shared" ca="1" si="1"/>
        <v>55841</v>
      </c>
    </row>
    <row r="115" spans="1:1" x14ac:dyDescent="0.4">
      <c r="A115" s="9">
        <f t="shared" ca="1" si="1"/>
        <v>26538</v>
      </c>
    </row>
    <row r="116" spans="1:1" x14ac:dyDescent="0.4">
      <c r="A116" s="9">
        <f t="shared" ca="1" si="1"/>
        <v>87890</v>
      </c>
    </row>
    <row r="117" spans="1:1" x14ac:dyDescent="0.4">
      <c r="A117" s="9">
        <f t="shared" ca="1" si="1"/>
        <v>53675</v>
      </c>
    </row>
    <row r="118" spans="1:1" x14ac:dyDescent="0.4">
      <c r="A118" s="9">
        <f t="shared" ca="1" si="1"/>
        <v>13190</v>
      </c>
    </row>
    <row r="119" spans="1:1" x14ac:dyDescent="0.4">
      <c r="A119" s="9">
        <f t="shared" ca="1" si="1"/>
        <v>43687</v>
      </c>
    </row>
    <row r="120" spans="1:1" x14ac:dyDescent="0.4">
      <c r="A120" s="9">
        <f t="shared" ca="1" si="1"/>
        <v>59052</v>
      </c>
    </row>
    <row r="121" spans="1:1" x14ac:dyDescent="0.4">
      <c r="A121" s="9">
        <f t="shared" ca="1" si="1"/>
        <v>69091</v>
      </c>
    </row>
    <row r="122" spans="1:1" x14ac:dyDescent="0.4">
      <c r="A122" s="9">
        <f t="shared" ca="1" si="1"/>
        <v>79202</v>
      </c>
    </row>
    <row r="123" spans="1:1" x14ac:dyDescent="0.4">
      <c r="A123" s="9">
        <f t="shared" ca="1" si="1"/>
        <v>69034</v>
      </c>
    </row>
    <row r="124" spans="1:1" x14ac:dyDescent="0.4">
      <c r="A124" s="9">
        <f t="shared" ca="1" si="1"/>
        <v>80028</v>
      </c>
    </row>
    <row r="125" spans="1:1" x14ac:dyDescent="0.4">
      <c r="A125" s="9">
        <f t="shared" ca="1" si="1"/>
        <v>63617</v>
      </c>
    </row>
    <row r="126" spans="1:1" x14ac:dyDescent="0.4">
      <c r="A126" s="9">
        <f t="shared" ca="1" si="1"/>
        <v>70208</v>
      </c>
    </row>
    <row r="127" spans="1:1" x14ac:dyDescent="0.4">
      <c r="A127" s="9">
        <f t="shared" ca="1" si="1"/>
        <v>19913</v>
      </c>
    </row>
    <row r="128" spans="1:1" x14ac:dyDescent="0.4">
      <c r="A128" s="9">
        <f t="shared" ca="1" si="1"/>
        <v>34143</v>
      </c>
    </row>
    <row r="129" spans="1:1" x14ac:dyDescent="0.4">
      <c r="A129" s="9">
        <f t="shared" ca="1" si="1"/>
        <v>62531</v>
      </c>
    </row>
    <row r="130" spans="1:1" x14ac:dyDescent="0.4">
      <c r="A130" s="9">
        <f t="shared" ca="1" si="1"/>
        <v>35858</v>
      </c>
    </row>
    <row r="131" spans="1:1" x14ac:dyDescent="0.4">
      <c r="A131" s="9">
        <f t="shared" ca="1" si="1"/>
        <v>31713</v>
      </c>
    </row>
    <row r="132" spans="1:1" x14ac:dyDescent="0.4">
      <c r="A132" s="9">
        <f t="shared" ref="A132:A195" ca="1" si="2">RANDBETWEEN(12000,100000)</f>
        <v>58144</v>
      </c>
    </row>
    <row r="133" spans="1:1" x14ac:dyDescent="0.4">
      <c r="A133" s="9">
        <f t="shared" ca="1" si="2"/>
        <v>16455</v>
      </c>
    </row>
    <row r="134" spans="1:1" x14ac:dyDescent="0.4">
      <c r="A134" s="9">
        <f t="shared" ca="1" si="2"/>
        <v>66711</v>
      </c>
    </row>
    <row r="135" spans="1:1" x14ac:dyDescent="0.4">
      <c r="A135" s="9">
        <f t="shared" ca="1" si="2"/>
        <v>47096</v>
      </c>
    </row>
    <row r="136" spans="1:1" x14ac:dyDescent="0.4">
      <c r="A136" s="9">
        <f t="shared" ca="1" si="2"/>
        <v>66921</v>
      </c>
    </row>
    <row r="137" spans="1:1" x14ac:dyDescent="0.4">
      <c r="A137" s="9">
        <f t="shared" ca="1" si="2"/>
        <v>61776</v>
      </c>
    </row>
    <row r="138" spans="1:1" x14ac:dyDescent="0.4">
      <c r="A138" s="9">
        <f t="shared" ca="1" si="2"/>
        <v>53453</v>
      </c>
    </row>
    <row r="139" spans="1:1" x14ac:dyDescent="0.4">
      <c r="A139" s="9">
        <f t="shared" ca="1" si="2"/>
        <v>99943</v>
      </c>
    </row>
    <row r="140" spans="1:1" x14ac:dyDescent="0.4">
      <c r="A140" s="9">
        <f t="shared" ca="1" si="2"/>
        <v>87123</v>
      </c>
    </row>
    <row r="141" spans="1:1" x14ac:dyDescent="0.4">
      <c r="A141" s="9">
        <f t="shared" ca="1" si="2"/>
        <v>41365</v>
      </c>
    </row>
    <row r="142" spans="1:1" x14ac:dyDescent="0.4">
      <c r="A142" s="9">
        <f t="shared" ca="1" si="2"/>
        <v>86999</v>
      </c>
    </row>
    <row r="143" spans="1:1" x14ac:dyDescent="0.4">
      <c r="A143" s="9">
        <f t="shared" ca="1" si="2"/>
        <v>12276</v>
      </c>
    </row>
    <row r="144" spans="1:1" x14ac:dyDescent="0.4">
      <c r="A144" s="9">
        <f t="shared" ca="1" si="2"/>
        <v>30709</v>
      </c>
    </row>
    <row r="145" spans="1:1" x14ac:dyDescent="0.4">
      <c r="A145" s="9">
        <f t="shared" ca="1" si="2"/>
        <v>17142</v>
      </c>
    </row>
    <row r="146" spans="1:1" x14ac:dyDescent="0.4">
      <c r="A146" s="9">
        <f t="shared" ca="1" si="2"/>
        <v>86007</v>
      </c>
    </row>
    <row r="147" spans="1:1" x14ac:dyDescent="0.4">
      <c r="A147" s="9">
        <f t="shared" ca="1" si="2"/>
        <v>99912</v>
      </c>
    </row>
    <row r="148" spans="1:1" x14ac:dyDescent="0.4">
      <c r="A148" s="9">
        <f t="shared" ca="1" si="2"/>
        <v>82625</v>
      </c>
    </row>
    <row r="149" spans="1:1" x14ac:dyDescent="0.4">
      <c r="A149" s="9">
        <f t="shared" ca="1" si="2"/>
        <v>26006</v>
      </c>
    </row>
    <row r="150" spans="1:1" x14ac:dyDescent="0.4">
      <c r="A150" s="9">
        <f t="shared" ca="1" si="2"/>
        <v>16896</v>
      </c>
    </row>
    <row r="151" spans="1:1" x14ac:dyDescent="0.4">
      <c r="A151" s="9">
        <f t="shared" ca="1" si="2"/>
        <v>50549</v>
      </c>
    </row>
    <row r="152" spans="1:1" x14ac:dyDescent="0.4">
      <c r="A152" s="9">
        <f t="shared" ca="1" si="2"/>
        <v>38967</v>
      </c>
    </row>
    <row r="153" spans="1:1" x14ac:dyDescent="0.4">
      <c r="A153" s="9">
        <f t="shared" ca="1" si="2"/>
        <v>86212</v>
      </c>
    </row>
    <row r="154" spans="1:1" x14ac:dyDescent="0.4">
      <c r="A154" s="9">
        <f t="shared" ca="1" si="2"/>
        <v>94721</v>
      </c>
    </row>
    <row r="155" spans="1:1" x14ac:dyDescent="0.4">
      <c r="A155" s="9">
        <f t="shared" ca="1" si="2"/>
        <v>15045</v>
      </c>
    </row>
    <row r="156" spans="1:1" x14ac:dyDescent="0.4">
      <c r="A156" s="9">
        <f t="shared" ca="1" si="2"/>
        <v>67240</v>
      </c>
    </row>
    <row r="157" spans="1:1" x14ac:dyDescent="0.4">
      <c r="A157" s="9">
        <f t="shared" ca="1" si="2"/>
        <v>23630</v>
      </c>
    </row>
    <row r="158" spans="1:1" x14ac:dyDescent="0.4">
      <c r="A158" s="9">
        <f t="shared" ca="1" si="2"/>
        <v>98294</v>
      </c>
    </row>
    <row r="159" spans="1:1" x14ac:dyDescent="0.4">
      <c r="A159" s="9">
        <f t="shared" ca="1" si="2"/>
        <v>79764</v>
      </c>
    </row>
    <row r="160" spans="1:1" x14ac:dyDescent="0.4">
      <c r="A160" s="9">
        <f t="shared" ca="1" si="2"/>
        <v>82421</v>
      </c>
    </row>
    <row r="161" spans="1:1" x14ac:dyDescent="0.4">
      <c r="A161" s="9">
        <f t="shared" ca="1" si="2"/>
        <v>99205</v>
      </c>
    </row>
    <row r="162" spans="1:1" x14ac:dyDescent="0.4">
      <c r="A162" s="9">
        <f t="shared" ca="1" si="2"/>
        <v>69451</v>
      </c>
    </row>
    <row r="163" spans="1:1" x14ac:dyDescent="0.4">
      <c r="A163" s="9">
        <f t="shared" ca="1" si="2"/>
        <v>63134</v>
      </c>
    </row>
    <row r="164" spans="1:1" x14ac:dyDescent="0.4">
      <c r="A164" s="9">
        <f t="shared" ca="1" si="2"/>
        <v>88097</v>
      </c>
    </row>
    <row r="165" spans="1:1" x14ac:dyDescent="0.4">
      <c r="A165" s="9">
        <f t="shared" ca="1" si="2"/>
        <v>64746</v>
      </c>
    </row>
    <row r="166" spans="1:1" x14ac:dyDescent="0.4">
      <c r="A166" s="9">
        <f t="shared" ca="1" si="2"/>
        <v>88442</v>
      </c>
    </row>
    <row r="167" spans="1:1" x14ac:dyDescent="0.4">
      <c r="A167" s="9">
        <f t="shared" ca="1" si="2"/>
        <v>51542</v>
      </c>
    </row>
    <row r="168" spans="1:1" x14ac:dyDescent="0.4">
      <c r="A168" s="9">
        <f t="shared" ca="1" si="2"/>
        <v>72476</v>
      </c>
    </row>
    <row r="169" spans="1:1" x14ac:dyDescent="0.4">
      <c r="A169" s="9">
        <f t="shared" ca="1" si="2"/>
        <v>37263</v>
      </c>
    </row>
    <row r="170" spans="1:1" x14ac:dyDescent="0.4">
      <c r="A170" s="9">
        <f t="shared" ca="1" si="2"/>
        <v>61970</v>
      </c>
    </row>
    <row r="171" spans="1:1" x14ac:dyDescent="0.4">
      <c r="A171" s="9">
        <f t="shared" ca="1" si="2"/>
        <v>31091</v>
      </c>
    </row>
    <row r="172" spans="1:1" x14ac:dyDescent="0.4">
      <c r="A172" s="9">
        <f t="shared" ca="1" si="2"/>
        <v>55696</v>
      </c>
    </row>
    <row r="173" spans="1:1" x14ac:dyDescent="0.4">
      <c r="A173" s="9">
        <f t="shared" ca="1" si="2"/>
        <v>67509</v>
      </c>
    </row>
    <row r="174" spans="1:1" x14ac:dyDescent="0.4">
      <c r="A174" s="9">
        <f t="shared" ca="1" si="2"/>
        <v>81607</v>
      </c>
    </row>
    <row r="175" spans="1:1" x14ac:dyDescent="0.4">
      <c r="A175" s="9">
        <f t="shared" ca="1" si="2"/>
        <v>84137</v>
      </c>
    </row>
    <row r="176" spans="1:1" x14ac:dyDescent="0.4">
      <c r="A176" s="9">
        <f t="shared" ca="1" si="2"/>
        <v>58330</v>
      </c>
    </row>
    <row r="177" spans="1:1" x14ac:dyDescent="0.4">
      <c r="A177" s="9">
        <f t="shared" ca="1" si="2"/>
        <v>18003</v>
      </c>
    </row>
    <row r="178" spans="1:1" x14ac:dyDescent="0.4">
      <c r="A178" s="9">
        <f t="shared" ca="1" si="2"/>
        <v>56638</v>
      </c>
    </row>
    <row r="179" spans="1:1" x14ac:dyDescent="0.4">
      <c r="A179" s="9">
        <f t="shared" ca="1" si="2"/>
        <v>62467</v>
      </c>
    </row>
    <row r="180" spans="1:1" x14ac:dyDescent="0.4">
      <c r="A180" s="9">
        <f t="shared" ca="1" si="2"/>
        <v>17819</v>
      </c>
    </row>
    <row r="181" spans="1:1" x14ac:dyDescent="0.4">
      <c r="A181" s="9">
        <f t="shared" ca="1" si="2"/>
        <v>88080</v>
      </c>
    </row>
    <row r="182" spans="1:1" x14ac:dyDescent="0.4">
      <c r="A182" s="9">
        <f t="shared" ca="1" si="2"/>
        <v>87604</v>
      </c>
    </row>
    <row r="183" spans="1:1" x14ac:dyDescent="0.4">
      <c r="A183" s="9">
        <f t="shared" ca="1" si="2"/>
        <v>53327</v>
      </c>
    </row>
    <row r="184" spans="1:1" x14ac:dyDescent="0.4">
      <c r="A184" s="9">
        <f t="shared" ca="1" si="2"/>
        <v>20472</v>
      </c>
    </row>
    <row r="185" spans="1:1" x14ac:dyDescent="0.4">
      <c r="A185" s="9">
        <f t="shared" ca="1" si="2"/>
        <v>56491</v>
      </c>
    </row>
    <row r="186" spans="1:1" x14ac:dyDescent="0.4">
      <c r="A186" s="9">
        <f t="shared" ca="1" si="2"/>
        <v>64496</v>
      </c>
    </row>
    <row r="187" spans="1:1" x14ac:dyDescent="0.4">
      <c r="A187" s="9">
        <f t="shared" ca="1" si="2"/>
        <v>73180</v>
      </c>
    </row>
    <row r="188" spans="1:1" x14ac:dyDescent="0.4">
      <c r="A188" s="9">
        <f t="shared" ca="1" si="2"/>
        <v>77969</v>
      </c>
    </row>
    <row r="189" spans="1:1" x14ac:dyDescent="0.4">
      <c r="A189" s="9">
        <f t="shared" ca="1" si="2"/>
        <v>16699</v>
      </c>
    </row>
    <row r="190" spans="1:1" x14ac:dyDescent="0.4">
      <c r="A190" s="9">
        <f t="shared" ca="1" si="2"/>
        <v>37894</v>
      </c>
    </row>
    <row r="191" spans="1:1" x14ac:dyDescent="0.4">
      <c r="A191" s="9">
        <f t="shared" ca="1" si="2"/>
        <v>79188</v>
      </c>
    </row>
    <row r="192" spans="1:1" x14ac:dyDescent="0.4">
      <c r="A192" s="9">
        <f t="shared" ca="1" si="2"/>
        <v>81456</v>
      </c>
    </row>
    <row r="193" spans="1:1" x14ac:dyDescent="0.4">
      <c r="A193" s="9">
        <f t="shared" ca="1" si="2"/>
        <v>41021</v>
      </c>
    </row>
    <row r="194" spans="1:1" x14ac:dyDescent="0.4">
      <c r="A194" s="9">
        <f t="shared" ca="1" si="2"/>
        <v>29417</v>
      </c>
    </row>
    <row r="195" spans="1:1" x14ac:dyDescent="0.4">
      <c r="A195" s="9">
        <f t="shared" ca="1" si="2"/>
        <v>50171</v>
      </c>
    </row>
    <row r="196" spans="1:1" x14ac:dyDescent="0.4">
      <c r="A196" s="9">
        <f t="shared" ref="A196:A259" ca="1" si="3">RANDBETWEEN(12000,100000)</f>
        <v>52447</v>
      </c>
    </row>
    <row r="197" spans="1:1" x14ac:dyDescent="0.4">
      <c r="A197" s="9">
        <f t="shared" ca="1" si="3"/>
        <v>97298</v>
      </c>
    </row>
    <row r="198" spans="1:1" x14ac:dyDescent="0.4">
      <c r="A198" s="9">
        <f t="shared" ca="1" si="3"/>
        <v>25195</v>
      </c>
    </row>
    <row r="199" spans="1:1" x14ac:dyDescent="0.4">
      <c r="A199" s="9">
        <f t="shared" ca="1" si="3"/>
        <v>47941</v>
      </c>
    </row>
    <row r="200" spans="1:1" x14ac:dyDescent="0.4">
      <c r="A200" s="9">
        <f t="shared" ca="1" si="3"/>
        <v>71784</v>
      </c>
    </row>
    <row r="201" spans="1:1" x14ac:dyDescent="0.4">
      <c r="A201" s="9">
        <f t="shared" ca="1" si="3"/>
        <v>99929</v>
      </c>
    </row>
    <row r="202" spans="1:1" x14ac:dyDescent="0.4">
      <c r="A202" s="9">
        <f t="shared" ca="1" si="3"/>
        <v>70458</v>
      </c>
    </row>
    <row r="203" spans="1:1" x14ac:dyDescent="0.4">
      <c r="A203" s="9">
        <f t="shared" ca="1" si="3"/>
        <v>19999</v>
      </c>
    </row>
    <row r="204" spans="1:1" x14ac:dyDescent="0.4">
      <c r="A204" s="9">
        <f t="shared" ca="1" si="3"/>
        <v>52500</v>
      </c>
    </row>
    <row r="205" spans="1:1" x14ac:dyDescent="0.4">
      <c r="A205" s="9">
        <f t="shared" ca="1" si="3"/>
        <v>84953</v>
      </c>
    </row>
    <row r="206" spans="1:1" x14ac:dyDescent="0.4">
      <c r="A206" s="9">
        <f t="shared" ca="1" si="3"/>
        <v>54555</v>
      </c>
    </row>
    <row r="207" spans="1:1" x14ac:dyDescent="0.4">
      <c r="A207" s="9">
        <f t="shared" ca="1" si="3"/>
        <v>93998</v>
      </c>
    </row>
    <row r="208" spans="1:1" x14ac:dyDescent="0.4">
      <c r="A208" s="9">
        <f t="shared" ca="1" si="3"/>
        <v>55933</v>
      </c>
    </row>
    <row r="209" spans="1:1" x14ac:dyDescent="0.4">
      <c r="A209" s="9">
        <f t="shared" ca="1" si="3"/>
        <v>12699</v>
      </c>
    </row>
    <row r="210" spans="1:1" x14ac:dyDescent="0.4">
      <c r="A210" s="9">
        <f t="shared" ca="1" si="3"/>
        <v>75374</v>
      </c>
    </row>
    <row r="211" spans="1:1" x14ac:dyDescent="0.4">
      <c r="A211" s="9">
        <f t="shared" ca="1" si="3"/>
        <v>79099</v>
      </c>
    </row>
    <row r="212" spans="1:1" x14ac:dyDescent="0.4">
      <c r="A212" s="9">
        <f t="shared" ca="1" si="3"/>
        <v>13015</v>
      </c>
    </row>
    <row r="213" spans="1:1" x14ac:dyDescent="0.4">
      <c r="A213" s="9">
        <f t="shared" ca="1" si="3"/>
        <v>71695</v>
      </c>
    </row>
    <row r="214" spans="1:1" x14ac:dyDescent="0.4">
      <c r="A214" s="9">
        <f t="shared" ca="1" si="3"/>
        <v>82003</v>
      </c>
    </row>
    <row r="215" spans="1:1" x14ac:dyDescent="0.4">
      <c r="A215" s="9">
        <f t="shared" ca="1" si="3"/>
        <v>70248</v>
      </c>
    </row>
    <row r="216" spans="1:1" x14ac:dyDescent="0.4">
      <c r="A216" s="9">
        <f t="shared" ca="1" si="3"/>
        <v>82510</v>
      </c>
    </row>
    <row r="217" spans="1:1" x14ac:dyDescent="0.4">
      <c r="A217" s="9">
        <f t="shared" ca="1" si="3"/>
        <v>45420</v>
      </c>
    </row>
    <row r="218" spans="1:1" x14ac:dyDescent="0.4">
      <c r="A218" s="9">
        <f t="shared" ca="1" si="3"/>
        <v>21852</v>
      </c>
    </row>
    <row r="219" spans="1:1" x14ac:dyDescent="0.4">
      <c r="A219" s="9">
        <f t="shared" ca="1" si="3"/>
        <v>19114</v>
      </c>
    </row>
    <row r="220" spans="1:1" x14ac:dyDescent="0.4">
      <c r="A220" s="9">
        <f t="shared" ca="1" si="3"/>
        <v>56565</v>
      </c>
    </row>
    <row r="221" spans="1:1" x14ac:dyDescent="0.4">
      <c r="A221" s="9">
        <f t="shared" ca="1" si="3"/>
        <v>97917</v>
      </c>
    </row>
    <row r="222" spans="1:1" x14ac:dyDescent="0.4">
      <c r="A222" s="9">
        <f t="shared" ca="1" si="3"/>
        <v>41129</v>
      </c>
    </row>
    <row r="223" spans="1:1" x14ac:dyDescent="0.4">
      <c r="A223" s="9">
        <f t="shared" ca="1" si="3"/>
        <v>91561</v>
      </c>
    </row>
    <row r="224" spans="1:1" x14ac:dyDescent="0.4">
      <c r="A224" s="9">
        <f t="shared" ca="1" si="3"/>
        <v>77710</v>
      </c>
    </row>
    <row r="225" spans="1:1" x14ac:dyDescent="0.4">
      <c r="A225" s="9">
        <f t="shared" ca="1" si="3"/>
        <v>88042</v>
      </c>
    </row>
    <row r="226" spans="1:1" x14ac:dyDescent="0.4">
      <c r="A226" s="9">
        <f t="shared" ca="1" si="3"/>
        <v>91137</v>
      </c>
    </row>
    <row r="227" spans="1:1" x14ac:dyDescent="0.4">
      <c r="A227" s="9">
        <f t="shared" ca="1" si="3"/>
        <v>90727</v>
      </c>
    </row>
    <row r="228" spans="1:1" x14ac:dyDescent="0.4">
      <c r="A228" s="9">
        <f t="shared" ca="1" si="3"/>
        <v>67029</v>
      </c>
    </row>
    <row r="229" spans="1:1" x14ac:dyDescent="0.4">
      <c r="A229" s="9">
        <f t="shared" ca="1" si="3"/>
        <v>86056</v>
      </c>
    </row>
    <row r="230" spans="1:1" x14ac:dyDescent="0.4">
      <c r="A230" s="9">
        <f t="shared" ca="1" si="3"/>
        <v>51040</v>
      </c>
    </row>
    <row r="231" spans="1:1" x14ac:dyDescent="0.4">
      <c r="A231" s="9">
        <f t="shared" ca="1" si="3"/>
        <v>64717</v>
      </c>
    </row>
    <row r="232" spans="1:1" x14ac:dyDescent="0.4">
      <c r="A232" s="9">
        <f t="shared" ca="1" si="3"/>
        <v>63554</v>
      </c>
    </row>
    <row r="233" spans="1:1" x14ac:dyDescent="0.4">
      <c r="A233" s="9">
        <f t="shared" ca="1" si="3"/>
        <v>52215</v>
      </c>
    </row>
    <row r="234" spans="1:1" x14ac:dyDescent="0.4">
      <c r="A234" s="9">
        <f t="shared" ca="1" si="3"/>
        <v>70189</v>
      </c>
    </row>
    <row r="235" spans="1:1" x14ac:dyDescent="0.4">
      <c r="A235" s="9">
        <f t="shared" ca="1" si="3"/>
        <v>19101</v>
      </c>
    </row>
    <row r="236" spans="1:1" x14ac:dyDescent="0.4">
      <c r="A236" s="9">
        <f t="shared" ca="1" si="3"/>
        <v>51493</v>
      </c>
    </row>
    <row r="237" spans="1:1" x14ac:dyDescent="0.4">
      <c r="A237" s="9">
        <f t="shared" ca="1" si="3"/>
        <v>13409</v>
      </c>
    </row>
    <row r="238" spans="1:1" x14ac:dyDescent="0.4">
      <c r="A238" s="9">
        <f t="shared" ca="1" si="3"/>
        <v>42118</v>
      </c>
    </row>
    <row r="239" spans="1:1" x14ac:dyDescent="0.4">
      <c r="A239" s="9">
        <f t="shared" ca="1" si="3"/>
        <v>48994</v>
      </c>
    </row>
    <row r="240" spans="1:1" x14ac:dyDescent="0.4">
      <c r="A240" s="9">
        <f t="shared" ca="1" si="3"/>
        <v>74694</v>
      </c>
    </row>
    <row r="241" spans="1:1" x14ac:dyDescent="0.4">
      <c r="A241" s="9">
        <f t="shared" ca="1" si="3"/>
        <v>48485</v>
      </c>
    </row>
    <row r="242" spans="1:1" x14ac:dyDescent="0.4">
      <c r="A242" s="9">
        <f t="shared" ca="1" si="3"/>
        <v>46890</v>
      </c>
    </row>
    <row r="243" spans="1:1" x14ac:dyDescent="0.4">
      <c r="A243" s="9">
        <f t="shared" ca="1" si="3"/>
        <v>65534</v>
      </c>
    </row>
    <row r="244" spans="1:1" x14ac:dyDescent="0.4">
      <c r="A244" s="9">
        <f t="shared" ca="1" si="3"/>
        <v>63402</v>
      </c>
    </row>
    <row r="245" spans="1:1" x14ac:dyDescent="0.4">
      <c r="A245" s="9">
        <f t="shared" ca="1" si="3"/>
        <v>67371</v>
      </c>
    </row>
    <row r="246" spans="1:1" x14ac:dyDescent="0.4">
      <c r="A246" s="9">
        <f t="shared" ca="1" si="3"/>
        <v>55031</v>
      </c>
    </row>
    <row r="247" spans="1:1" x14ac:dyDescent="0.4">
      <c r="A247" s="9">
        <f t="shared" ca="1" si="3"/>
        <v>65232</v>
      </c>
    </row>
    <row r="248" spans="1:1" x14ac:dyDescent="0.4">
      <c r="A248" s="9">
        <f t="shared" ca="1" si="3"/>
        <v>37875</v>
      </c>
    </row>
    <row r="249" spans="1:1" x14ac:dyDescent="0.4">
      <c r="A249" s="9">
        <f t="shared" ca="1" si="3"/>
        <v>48710</v>
      </c>
    </row>
    <row r="250" spans="1:1" x14ac:dyDescent="0.4">
      <c r="A250" s="9">
        <f t="shared" ca="1" si="3"/>
        <v>48010</v>
      </c>
    </row>
    <row r="251" spans="1:1" x14ac:dyDescent="0.4">
      <c r="A251" s="9">
        <f t="shared" ca="1" si="3"/>
        <v>68378</v>
      </c>
    </row>
    <row r="252" spans="1:1" x14ac:dyDescent="0.4">
      <c r="A252" s="9">
        <f t="shared" ca="1" si="3"/>
        <v>82416</v>
      </c>
    </row>
    <row r="253" spans="1:1" x14ac:dyDescent="0.4">
      <c r="A253" s="9">
        <f t="shared" ca="1" si="3"/>
        <v>60854</v>
      </c>
    </row>
    <row r="254" spans="1:1" x14ac:dyDescent="0.4">
      <c r="A254" s="9">
        <f t="shared" ca="1" si="3"/>
        <v>67651</v>
      </c>
    </row>
    <row r="255" spans="1:1" x14ac:dyDescent="0.4">
      <c r="A255" s="9">
        <f t="shared" ca="1" si="3"/>
        <v>46682</v>
      </c>
    </row>
    <row r="256" spans="1:1" x14ac:dyDescent="0.4">
      <c r="A256" s="9">
        <f t="shared" ca="1" si="3"/>
        <v>43771</v>
      </c>
    </row>
    <row r="257" spans="1:1" x14ac:dyDescent="0.4">
      <c r="A257" s="9">
        <f t="shared" ca="1" si="3"/>
        <v>46901</v>
      </c>
    </row>
    <row r="258" spans="1:1" x14ac:dyDescent="0.4">
      <c r="A258" s="9">
        <f t="shared" ca="1" si="3"/>
        <v>36705</v>
      </c>
    </row>
    <row r="259" spans="1:1" x14ac:dyDescent="0.4">
      <c r="A259" s="9">
        <f t="shared" ca="1" si="3"/>
        <v>78097</v>
      </c>
    </row>
    <row r="260" spans="1:1" x14ac:dyDescent="0.4">
      <c r="A260" s="9">
        <f t="shared" ref="A260:A298" ca="1" si="4">RANDBETWEEN(12000,100000)</f>
        <v>76061</v>
      </c>
    </row>
    <row r="261" spans="1:1" x14ac:dyDescent="0.4">
      <c r="A261" s="9">
        <f t="shared" ca="1" si="4"/>
        <v>81234</v>
      </c>
    </row>
    <row r="262" spans="1:1" x14ac:dyDescent="0.4">
      <c r="A262" s="9">
        <f t="shared" ca="1" si="4"/>
        <v>93460</v>
      </c>
    </row>
    <row r="263" spans="1:1" x14ac:dyDescent="0.4">
      <c r="A263" s="9">
        <f t="shared" ca="1" si="4"/>
        <v>38288</v>
      </c>
    </row>
    <row r="264" spans="1:1" x14ac:dyDescent="0.4">
      <c r="A264" s="9">
        <f t="shared" ca="1" si="4"/>
        <v>38747</v>
      </c>
    </row>
    <row r="265" spans="1:1" x14ac:dyDescent="0.4">
      <c r="A265" s="9">
        <f t="shared" ca="1" si="4"/>
        <v>33560</v>
      </c>
    </row>
    <row r="266" spans="1:1" x14ac:dyDescent="0.4">
      <c r="A266" s="9">
        <f t="shared" ca="1" si="4"/>
        <v>14715</v>
      </c>
    </row>
    <row r="267" spans="1:1" x14ac:dyDescent="0.4">
      <c r="A267" s="9">
        <f t="shared" ca="1" si="4"/>
        <v>76855</v>
      </c>
    </row>
    <row r="268" spans="1:1" x14ac:dyDescent="0.4">
      <c r="A268" s="9">
        <f t="shared" ca="1" si="4"/>
        <v>37420</v>
      </c>
    </row>
    <row r="269" spans="1:1" x14ac:dyDescent="0.4">
      <c r="A269" s="9">
        <f t="shared" ca="1" si="4"/>
        <v>91322</v>
      </c>
    </row>
    <row r="270" spans="1:1" x14ac:dyDescent="0.4">
      <c r="A270" s="9">
        <f t="shared" ca="1" si="4"/>
        <v>75587</v>
      </c>
    </row>
    <row r="271" spans="1:1" x14ac:dyDescent="0.4">
      <c r="A271" s="9">
        <f t="shared" ca="1" si="4"/>
        <v>25368</v>
      </c>
    </row>
    <row r="272" spans="1:1" x14ac:dyDescent="0.4">
      <c r="A272" s="9">
        <f t="shared" ca="1" si="4"/>
        <v>80082</v>
      </c>
    </row>
    <row r="273" spans="1:1" x14ac:dyDescent="0.4">
      <c r="A273" s="9">
        <f t="shared" ca="1" si="4"/>
        <v>41372</v>
      </c>
    </row>
    <row r="274" spans="1:1" x14ac:dyDescent="0.4">
      <c r="A274" s="9">
        <f t="shared" ca="1" si="4"/>
        <v>18992</v>
      </c>
    </row>
    <row r="275" spans="1:1" x14ac:dyDescent="0.4">
      <c r="A275" s="9">
        <f t="shared" ca="1" si="4"/>
        <v>77799</v>
      </c>
    </row>
    <row r="276" spans="1:1" x14ac:dyDescent="0.4">
      <c r="A276" s="9">
        <f t="shared" ca="1" si="4"/>
        <v>79814</v>
      </c>
    </row>
    <row r="277" spans="1:1" x14ac:dyDescent="0.4">
      <c r="A277" s="9">
        <f t="shared" ca="1" si="4"/>
        <v>15766</v>
      </c>
    </row>
    <row r="278" spans="1:1" x14ac:dyDescent="0.4">
      <c r="A278" s="9">
        <f t="shared" ca="1" si="4"/>
        <v>99590</v>
      </c>
    </row>
    <row r="279" spans="1:1" x14ac:dyDescent="0.4">
      <c r="A279" s="9">
        <f t="shared" ca="1" si="4"/>
        <v>78770</v>
      </c>
    </row>
    <row r="280" spans="1:1" x14ac:dyDescent="0.4">
      <c r="A280" s="9">
        <f t="shared" ca="1" si="4"/>
        <v>28621</v>
      </c>
    </row>
    <row r="281" spans="1:1" x14ac:dyDescent="0.4">
      <c r="A281" s="9">
        <f t="shared" ca="1" si="4"/>
        <v>14955</v>
      </c>
    </row>
    <row r="282" spans="1:1" x14ac:dyDescent="0.4">
      <c r="A282" s="9">
        <f t="shared" ca="1" si="4"/>
        <v>65303</v>
      </c>
    </row>
    <row r="283" spans="1:1" x14ac:dyDescent="0.4">
      <c r="A283" s="9">
        <f t="shared" ca="1" si="4"/>
        <v>65937</v>
      </c>
    </row>
    <row r="284" spans="1:1" x14ac:dyDescent="0.4">
      <c r="A284" s="9">
        <f t="shared" ca="1" si="4"/>
        <v>42861</v>
      </c>
    </row>
    <row r="285" spans="1:1" x14ac:dyDescent="0.4">
      <c r="A285" s="9">
        <f t="shared" ca="1" si="4"/>
        <v>31721</v>
      </c>
    </row>
    <row r="286" spans="1:1" x14ac:dyDescent="0.4">
      <c r="A286" s="9">
        <f t="shared" ca="1" si="4"/>
        <v>40312</v>
      </c>
    </row>
    <row r="287" spans="1:1" x14ac:dyDescent="0.4">
      <c r="A287" s="9">
        <f t="shared" ca="1" si="4"/>
        <v>14082</v>
      </c>
    </row>
    <row r="288" spans="1:1" x14ac:dyDescent="0.4">
      <c r="A288" s="9">
        <f t="shared" ca="1" si="4"/>
        <v>66613</v>
      </c>
    </row>
    <row r="289" spans="1:1" x14ac:dyDescent="0.4">
      <c r="A289" s="9">
        <f t="shared" ca="1" si="4"/>
        <v>26885</v>
      </c>
    </row>
    <row r="290" spans="1:1" x14ac:dyDescent="0.4">
      <c r="A290" s="9">
        <f t="shared" ca="1" si="4"/>
        <v>55554</v>
      </c>
    </row>
    <row r="291" spans="1:1" x14ac:dyDescent="0.4">
      <c r="A291" s="9">
        <f t="shared" ca="1" si="4"/>
        <v>86168</v>
      </c>
    </row>
    <row r="292" spans="1:1" x14ac:dyDescent="0.4">
      <c r="A292" s="9">
        <f t="shared" ca="1" si="4"/>
        <v>18310</v>
      </c>
    </row>
    <row r="293" spans="1:1" x14ac:dyDescent="0.4">
      <c r="A293" s="9">
        <f t="shared" ca="1" si="4"/>
        <v>73299</v>
      </c>
    </row>
    <row r="294" spans="1:1" x14ac:dyDescent="0.4">
      <c r="A294" s="9">
        <f t="shared" ca="1" si="4"/>
        <v>42062</v>
      </c>
    </row>
    <row r="295" spans="1:1" x14ac:dyDescent="0.4">
      <c r="A295" s="9">
        <f t="shared" ca="1" si="4"/>
        <v>56388</v>
      </c>
    </row>
    <row r="296" spans="1:1" x14ac:dyDescent="0.4">
      <c r="A296" s="9">
        <f t="shared" ca="1" si="4"/>
        <v>62813</v>
      </c>
    </row>
    <row r="297" spans="1:1" x14ac:dyDescent="0.4">
      <c r="A297" s="9">
        <f t="shared" ca="1" si="4"/>
        <v>35926</v>
      </c>
    </row>
    <row r="298" spans="1:1" x14ac:dyDescent="0.4">
      <c r="A298" s="9">
        <f t="shared" ca="1" si="4"/>
        <v>71288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70"/>
  <sheetViews>
    <sheetView topLeftCell="A51" zoomScale="90" zoomScaleNormal="90" workbookViewId="0">
      <selection activeCell="R67" sqref="R67"/>
    </sheetView>
  </sheetViews>
  <sheetFormatPr defaultRowHeight="14.4" x14ac:dyDescent="0.3"/>
  <cols>
    <col min="3" max="3" width="11.6640625" customWidth="1"/>
    <col min="4" max="4" width="10.88671875" customWidth="1"/>
  </cols>
  <sheetData>
    <row r="1" spans="2:18" x14ac:dyDescent="0.3">
      <c r="O1">
        <v>1</v>
      </c>
      <c r="P1">
        <f>O1-$O$13</f>
        <v>-4.416666666666667</v>
      </c>
      <c r="Q1">
        <f>P1^2</f>
        <v>19.506944444444446</v>
      </c>
    </row>
    <row r="2" spans="2:18" x14ac:dyDescent="0.3">
      <c r="O2">
        <v>2</v>
      </c>
      <c r="P2">
        <f t="shared" ref="P2:P12" si="0">O2-$O$13</f>
        <v>-3.416666666666667</v>
      </c>
      <c r="Q2">
        <f t="shared" ref="Q2:Q12" si="1">P2^2</f>
        <v>11.673611111111112</v>
      </c>
    </row>
    <row r="3" spans="2:18" x14ac:dyDescent="0.3">
      <c r="D3" t="s">
        <v>138</v>
      </c>
      <c r="E3" t="s">
        <v>139</v>
      </c>
      <c r="F3" t="s">
        <v>140</v>
      </c>
      <c r="G3" t="s">
        <v>141</v>
      </c>
      <c r="K3">
        <v>1</v>
      </c>
      <c r="O3">
        <v>3</v>
      </c>
      <c r="P3">
        <f t="shared" si="0"/>
        <v>-2.416666666666667</v>
      </c>
      <c r="Q3">
        <f t="shared" si="1"/>
        <v>5.8402777777777795</v>
      </c>
    </row>
    <row r="4" spans="2:18" x14ac:dyDescent="0.3">
      <c r="D4" s="45">
        <v>0.25</v>
      </c>
      <c r="E4" s="45">
        <v>0.5</v>
      </c>
      <c r="F4" s="45">
        <v>0.75</v>
      </c>
      <c r="G4" s="45">
        <v>1</v>
      </c>
      <c r="K4">
        <v>2</v>
      </c>
      <c r="O4">
        <v>4</v>
      </c>
      <c r="P4">
        <f t="shared" si="0"/>
        <v>-1.416666666666667</v>
      </c>
      <c r="Q4">
        <f t="shared" si="1"/>
        <v>2.0069444444444451</v>
      </c>
    </row>
    <row r="5" spans="2:18" x14ac:dyDescent="0.3">
      <c r="K5">
        <v>3</v>
      </c>
      <c r="L5" t="s">
        <v>138</v>
      </c>
      <c r="O5">
        <v>5</v>
      </c>
      <c r="P5">
        <f t="shared" si="0"/>
        <v>-0.41666666666666696</v>
      </c>
      <c r="Q5">
        <f t="shared" si="1"/>
        <v>0.17361111111111135</v>
      </c>
    </row>
    <row r="6" spans="2:18" x14ac:dyDescent="0.3">
      <c r="K6">
        <v>4</v>
      </c>
      <c r="O6">
        <v>5</v>
      </c>
      <c r="P6">
        <f t="shared" si="0"/>
        <v>-0.41666666666666696</v>
      </c>
      <c r="Q6">
        <f t="shared" si="1"/>
        <v>0.17361111111111135</v>
      </c>
    </row>
    <row r="7" spans="2:18" x14ac:dyDescent="0.3">
      <c r="I7">
        <f>(12/4)*1</f>
        <v>3</v>
      </c>
      <c r="K7">
        <v>5</v>
      </c>
      <c r="O7">
        <v>6</v>
      </c>
      <c r="P7">
        <f t="shared" si="0"/>
        <v>0.58333333333333304</v>
      </c>
      <c r="Q7">
        <f t="shared" si="1"/>
        <v>0.34027777777777746</v>
      </c>
    </row>
    <row r="8" spans="2:18" x14ac:dyDescent="0.3">
      <c r="I8">
        <f>(12/4)*2</f>
        <v>6</v>
      </c>
      <c r="K8">
        <v>5</v>
      </c>
      <c r="L8" t="s">
        <v>139</v>
      </c>
      <c r="M8" t="s">
        <v>33</v>
      </c>
      <c r="O8">
        <v>7</v>
      </c>
      <c r="P8">
        <f t="shared" si="0"/>
        <v>1.583333333333333</v>
      </c>
      <c r="Q8">
        <f t="shared" si="1"/>
        <v>2.5069444444444433</v>
      </c>
    </row>
    <row r="9" spans="2:18" x14ac:dyDescent="0.3">
      <c r="I9">
        <f>(12/4)*3</f>
        <v>9</v>
      </c>
      <c r="K9">
        <v>6</v>
      </c>
      <c r="O9">
        <v>7</v>
      </c>
      <c r="P9">
        <f t="shared" si="0"/>
        <v>1.583333333333333</v>
      </c>
      <c r="Q9">
        <f t="shared" si="1"/>
        <v>2.5069444444444433</v>
      </c>
    </row>
    <row r="10" spans="2:18" x14ac:dyDescent="0.3">
      <c r="K10">
        <v>7</v>
      </c>
      <c r="O10">
        <v>8</v>
      </c>
      <c r="P10">
        <f t="shared" si="0"/>
        <v>2.583333333333333</v>
      </c>
      <c r="Q10">
        <f t="shared" si="1"/>
        <v>6.6736111111111098</v>
      </c>
    </row>
    <row r="11" spans="2:18" x14ac:dyDescent="0.3">
      <c r="C11" t="s">
        <v>171</v>
      </c>
      <c r="D11" t="s">
        <v>172</v>
      </c>
      <c r="K11">
        <v>7</v>
      </c>
      <c r="L11" t="s">
        <v>140</v>
      </c>
      <c r="O11">
        <v>8</v>
      </c>
      <c r="P11">
        <f t="shared" si="0"/>
        <v>2.583333333333333</v>
      </c>
      <c r="Q11">
        <f t="shared" si="1"/>
        <v>6.6736111111111098</v>
      </c>
    </row>
    <row r="12" spans="2:18" x14ac:dyDescent="0.3">
      <c r="K12">
        <v>8</v>
      </c>
      <c r="O12">
        <v>9</v>
      </c>
      <c r="P12">
        <f t="shared" si="0"/>
        <v>3.583333333333333</v>
      </c>
      <c r="Q12">
        <f t="shared" si="1"/>
        <v>12.840277777777775</v>
      </c>
    </row>
    <row r="13" spans="2:18" x14ac:dyDescent="0.3">
      <c r="C13" t="s">
        <v>167</v>
      </c>
      <c r="D13" t="s">
        <v>168</v>
      </c>
      <c r="K13">
        <v>8</v>
      </c>
      <c r="O13">
        <f>AVERAGE(O1:O12)</f>
        <v>5.416666666666667</v>
      </c>
      <c r="Q13">
        <f>SUM(Q1:Q12)</f>
        <v>70.916666666666657</v>
      </c>
      <c r="R13" t="s">
        <v>142</v>
      </c>
    </row>
    <row r="14" spans="2:18" x14ac:dyDescent="0.3">
      <c r="B14" t="s">
        <v>169</v>
      </c>
      <c r="C14" s="45">
        <v>0.12</v>
      </c>
      <c r="D14" s="45">
        <v>0.18</v>
      </c>
      <c r="K14">
        <v>9</v>
      </c>
      <c r="Q14">
        <f>SQRT(Q13)</f>
        <v>8.421203397773187</v>
      </c>
      <c r="R14" t="s">
        <v>128</v>
      </c>
    </row>
    <row r="15" spans="2:18" x14ac:dyDescent="0.3">
      <c r="B15" t="s">
        <v>170</v>
      </c>
      <c r="C15" s="45">
        <v>0.06</v>
      </c>
      <c r="D15" s="45">
        <v>0.2</v>
      </c>
    </row>
    <row r="18" spans="2:14" x14ac:dyDescent="0.3">
      <c r="B18" s="211" t="s">
        <v>680</v>
      </c>
      <c r="C18" s="211"/>
      <c r="D18" s="211"/>
      <c r="E18" s="211"/>
    </row>
    <row r="20" spans="2:14" ht="19.8" x14ac:dyDescent="0.4">
      <c r="B20" s="1">
        <v>12</v>
      </c>
      <c r="C20">
        <f>B20-$H$20</f>
        <v>-20.5</v>
      </c>
      <c r="D20">
        <f>(C20)^2</f>
        <v>420.25</v>
      </c>
      <c r="H20">
        <f>AVERAGE(B20:B39)</f>
        <v>32.5</v>
      </c>
      <c r="I20">
        <v>12.56</v>
      </c>
      <c r="L20" s="1">
        <v>12</v>
      </c>
      <c r="M20">
        <f>L20-32.5</f>
        <v>-20.5</v>
      </c>
      <c r="N20">
        <f>M20^2</f>
        <v>420.25</v>
      </c>
    </row>
    <row r="21" spans="2:14" ht="19.8" x14ac:dyDescent="0.4">
      <c r="B21" s="1">
        <v>13</v>
      </c>
      <c r="C21">
        <f t="shared" ref="C21:C39" si="2">B21-$H$20</f>
        <v>-19.5</v>
      </c>
      <c r="D21">
        <f t="shared" ref="D21:D39" si="3">(C21)^2</f>
        <v>380.25</v>
      </c>
      <c r="L21" s="1">
        <v>13</v>
      </c>
      <c r="M21">
        <f t="shared" ref="M21:M38" si="4">L21-32.5</f>
        <v>-19.5</v>
      </c>
      <c r="N21">
        <f t="shared" ref="N21:N39" si="5">M21^2</f>
        <v>380.25</v>
      </c>
    </row>
    <row r="22" spans="2:14" ht="19.8" x14ac:dyDescent="0.4">
      <c r="B22" s="1">
        <v>17</v>
      </c>
      <c r="C22">
        <f t="shared" si="2"/>
        <v>-15.5</v>
      </c>
      <c r="D22">
        <f t="shared" si="3"/>
        <v>240.25</v>
      </c>
      <c r="G22">
        <f>H20-I20</f>
        <v>19.939999999999998</v>
      </c>
      <c r="H22" s="45">
        <v>0.68</v>
      </c>
      <c r="I22">
        <f>H20+I20</f>
        <v>45.06</v>
      </c>
      <c r="L22" s="1">
        <v>17</v>
      </c>
      <c r="M22">
        <f t="shared" si="4"/>
        <v>-15.5</v>
      </c>
      <c r="N22">
        <f t="shared" si="5"/>
        <v>240.25</v>
      </c>
    </row>
    <row r="23" spans="2:14" ht="19.8" x14ac:dyDescent="0.4">
      <c r="B23" s="1">
        <v>21</v>
      </c>
      <c r="C23">
        <f t="shared" si="2"/>
        <v>-11.5</v>
      </c>
      <c r="D23">
        <f t="shared" si="3"/>
        <v>132.25</v>
      </c>
      <c r="G23">
        <f>H20-2*I20</f>
        <v>7.379999999999999</v>
      </c>
      <c r="H23" s="45">
        <v>0.95</v>
      </c>
      <c r="I23">
        <f>H20+2*I20</f>
        <v>57.620000000000005</v>
      </c>
      <c r="L23" s="1">
        <v>21</v>
      </c>
      <c r="M23">
        <f t="shared" si="4"/>
        <v>-11.5</v>
      </c>
      <c r="N23">
        <f t="shared" si="5"/>
        <v>132.25</v>
      </c>
    </row>
    <row r="24" spans="2:14" ht="19.8" x14ac:dyDescent="0.4">
      <c r="B24" s="1">
        <v>24</v>
      </c>
      <c r="C24">
        <f t="shared" si="2"/>
        <v>-8.5</v>
      </c>
      <c r="D24">
        <f t="shared" si="3"/>
        <v>72.25</v>
      </c>
      <c r="G24">
        <f>H20-3*I20</f>
        <v>-5.18</v>
      </c>
      <c r="H24" s="55">
        <v>0.997</v>
      </c>
      <c r="I24">
        <f>H20+3*I20</f>
        <v>70.180000000000007</v>
      </c>
      <c r="L24" s="1">
        <v>24</v>
      </c>
      <c r="M24">
        <f t="shared" si="4"/>
        <v>-8.5</v>
      </c>
      <c r="N24">
        <f t="shared" si="5"/>
        <v>72.25</v>
      </c>
    </row>
    <row r="25" spans="2:14" ht="19.8" x14ac:dyDescent="0.4">
      <c r="B25" s="1">
        <v>24</v>
      </c>
      <c r="C25">
        <f t="shared" si="2"/>
        <v>-8.5</v>
      </c>
      <c r="D25">
        <f t="shared" si="3"/>
        <v>72.25</v>
      </c>
      <c r="L25" s="1">
        <v>24</v>
      </c>
      <c r="M25">
        <f t="shared" si="4"/>
        <v>-8.5</v>
      </c>
      <c r="N25">
        <f t="shared" si="5"/>
        <v>72.25</v>
      </c>
    </row>
    <row r="26" spans="2:14" ht="19.8" x14ac:dyDescent="0.4">
      <c r="B26" s="1">
        <v>26</v>
      </c>
      <c r="C26">
        <f t="shared" si="2"/>
        <v>-6.5</v>
      </c>
      <c r="D26">
        <f t="shared" si="3"/>
        <v>42.25</v>
      </c>
      <c r="L26" s="1">
        <v>26</v>
      </c>
      <c r="M26">
        <f t="shared" si="4"/>
        <v>-6.5</v>
      </c>
      <c r="N26">
        <f t="shared" si="5"/>
        <v>42.25</v>
      </c>
    </row>
    <row r="27" spans="2:14" ht="19.8" x14ac:dyDescent="0.4">
      <c r="B27" s="1">
        <v>27</v>
      </c>
      <c r="C27">
        <f t="shared" si="2"/>
        <v>-5.5</v>
      </c>
      <c r="D27">
        <f t="shared" si="3"/>
        <v>30.25</v>
      </c>
      <c r="L27" s="1">
        <v>27</v>
      </c>
      <c r="M27">
        <f t="shared" si="4"/>
        <v>-5.5</v>
      </c>
      <c r="N27">
        <f t="shared" si="5"/>
        <v>30.25</v>
      </c>
    </row>
    <row r="28" spans="2:14" ht="19.8" x14ac:dyDescent="0.4">
      <c r="B28" s="1">
        <v>27</v>
      </c>
      <c r="C28">
        <f t="shared" si="2"/>
        <v>-5.5</v>
      </c>
      <c r="D28">
        <f t="shared" si="3"/>
        <v>30.25</v>
      </c>
      <c r="L28" s="1">
        <v>27</v>
      </c>
      <c r="M28">
        <f t="shared" si="4"/>
        <v>-5.5</v>
      </c>
      <c r="N28">
        <f t="shared" si="5"/>
        <v>30.25</v>
      </c>
    </row>
    <row r="29" spans="2:14" ht="19.8" x14ac:dyDescent="0.4">
      <c r="B29" s="1">
        <v>30</v>
      </c>
      <c r="C29">
        <f t="shared" si="2"/>
        <v>-2.5</v>
      </c>
      <c r="D29">
        <f t="shared" si="3"/>
        <v>6.25</v>
      </c>
      <c r="L29" s="1">
        <v>30</v>
      </c>
      <c r="M29">
        <f t="shared" si="4"/>
        <v>-2.5</v>
      </c>
      <c r="N29">
        <f t="shared" si="5"/>
        <v>6.25</v>
      </c>
    </row>
    <row r="30" spans="2:14" ht="19.8" x14ac:dyDescent="0.4">
      <c r="B30" s="1">
        <v>32</v>
      </c>
      <c r="C30">
        <f t="shared" si="2"/>
        <v>-0.5</v>
      </c>
      <c r="D30">
        <f t="shared" si="3"/>
        <v>0.25</v>
      </c>
      <c r="L30" s="1">
        <v>32</v>
      </c>
      <c r="M30">
        <f t="shared" si="4"/>
        <v>-0.5</v>
      </c>
      <c r="N30">
        <f t="shared" si="5"/>
        <v>0.25</v>
      </c>
    </row>
    <row r="31" spans="2:14" ht="19.8" x14ac:dyDescent="0.4">
      <c r="B31" s="1">
        <v>35</v>
      </c>
      <c r="C31">
        <f t="shared" si="2"/>
        <v>2.5</v>
      </c>
      <c r="D31">
        <f t="shared" si="3"/>
        <v>6.25</v>
      </c>
      <c r="L31" s="1">
        <v>35</v>
      </c>
      <c r="M31">
        <f t="shared" si="4"/>
        <v>2.5</v>
      </c>
      <c r="N31">
        <f t="shared" si="5"/>
        <v>6.25</v>
      </c>
    </row>
    <row r="32" spans="2:14" ht="19.8" x14ac:dyDescent="0.4">
      <c r="B32" s="1">
        <v>37</v>
      </c>
      <c r="C32">
        <f t="shared" si="2"/>
        <v>4.5</v>
      </c>
      <c r="D32">
        <f t="shared" si="3"/>
        <v>20.25</v>
      </c>
      <c r="L32" s="1">
        <v>37</v>
      </c>
      <c r="M32">
        <f t="shared" si="4"/>
        <v>4.5</v>
      </c>
      <c r="N32">
        <f t="shared" si="5"/>
        <v>20.25</v>
      </c>
    </row>
    <row r="33" spans="2:14" ht="19.8" x14ac:dyDescent="0.4">
      <c r="B33" s="1">
        <v>38</v>
      </c>
      <c r="C33">
        <f t="shared" si="2"/>
        <v>5.5</v>
      </c>
      <c r="D33">
        <f t="shared" si="3"/>
        <v>30.25</v>
      </c>
      <c r="L33" s="1">
        <v>38</v>
      </c>
      <c r="M33">
        <f t="shared" si="4"/>
        <v>5.5</v>
      </c>
      <c r="N33">
        <f t="shared" si="5"/>
        <v>30.25</v>
      </c>
    </row>
    <row r="34" spans="2:14" ht="19.8" x14ac:dyDescent="0.4">
      <c r="B34" s="1">
        <v>41</v>
      </c>
      <c r="C34">
        <f t="shared" si="2"/>
        <v>8.5</v>
      </c>
      <c r="D34">
        <f t="shared" si="3"/>
        <v>72.25</v>
      </c>
      <c r="L34" s="1">
        <v>41</v>
      </c>
      <c r="M34">
        <f t="shared" si="4"/>
        <v>8.5</v>
      </c>
      <c r="N34">
        <f t="shared" si="5"/>
        <v>72.25</v>
      </c>
    </row>
    <row r="35" spans="2:14" ht="19.8" x14ac:dyDescent="0.4">
      <c r="B35" s="1">
        <v>43</v>
      </c>
      <c r="C35">
        <f t="shared" si="2"/>
        <v>10.5</v>
      </c>
      <c r="D35">
        <f t="shared" si="3"/>
        <v>110.25</v>
      </c>
      <c r="L35" s="1">
        <v>43</v>
      </c>
      <c r="M35">
        <f t="shared" si="4"/>
        <v>10.5</v>
      </c>
      <c r="N35">
        <f t="shared" si="5"/>
        <v>110.25</v>
      </c>
    </row>
    <row r="36" spans="2:14" ht="19.8" x14ac:dyDescent="0.4">
      <c r="B36" s="1">
        <v>44</v>
      </c>
      <c r="C36">
        <f t="shared" si="2"/>
        <v>11.5</v>
      </c>
      <c r="D36">
        <f t="shared" si="3"/>
        <v>132.25</v>
      </c>
      <c r="L36" s="1">
        <v>44</v>
      </c>
      <c r="M36">
        <f t="shared" si="4"/>
        <v>11.5</v>
      </c>
      <c r="N36">
        <f t="shared" si="5"/>
        <v>132.25</v>
      </c>
    </row>
    <row r="37" spans="2:14" ht="19.8" x14ac:dyDescent="0.4">
      <c r="B37" s="1">
        <v>46</v>
      </c>
      <c r="C37">
        <f t="shared" si="2"/>
        <v>13.5</v>
      </c>
      <c r="D37">
        <f t="shared" si="3"/>
        <v>182.25</v>
      </c>
      <c r="L37" s="1">
        <v>46</v>
      </c>
      <c r="M37">
        <f t="shared" si="4"/>
        <v>13.5</v>
      </c>
      <c r="N37">
        <f t="shared" si="5"/>
        <v>182.25</v>
      </c>
    </row>
    <row r="38" spans="2:14" ht="19.8" x14ac:dyDescent="0.4">
      <c r="B38" s="1">
        <v>53</v>
      </c>
      <c r="C38">
        <f t="shared" si="2"/>
        <v>20.5</v>
      </c>
      <c r="D38">
        <f t="shared" si="3"/>
        <v>420.25</v>
      </c>
      <c r="L38" s="1">
        <v>53</v>
      </c>
      <c r="M38">
        <f t="shared" si="4"/>
        <v>20.5</v>
      </c>
      <c r="N38">
        <f t="shared" si="5"/>
        <v>420.25</v>
      </c>
    </row>
    <row r="39" spans="2:14" ht="19.8" x14ac:dyDescent="0.4">
      <c r="B39" s="1">
        <v>60</v>
      </c>
      <c r="C39">
        <f t="shared" si="2"/>
        <v>27.5</v>
      </c>
      <c r="D39">
        <f t="shared" si="3"/>
        <v>756.25</v>
      </c>
      <c r="L39" s="1">
        <v>60</v>
      </c>
      <c r="M39">
        <f>L39-32.5</f>
        <v>27.5</v>
      </c>
      <c r="N39">
        <f t="shared" si="5"/>
        <v>756.25</v>
      </c>
    </row>
    <row r="41" spans="2:14" x14ac:dyDescent="0.3">
      <c r="D41">
        <f>SUM(D20:D39)</f>
        <v>3157</v>
      </c>
    </row>
    <row r="42" spans="2:14" x14ac:dyDescent="0.3">
      <c r="D42">
        <f>COUNT(B20:B39)</f>
        <v>20</v>
      </c>
      <c r="K42" t="s">
        <v>62</v>
      </c>
      <c r="L42">
        <f>AVERAGE(L20:L39)</f>
        <v>32.5</v>
      </c>
      <c r="N42">
        <f>SUM(N20:N39)</f>
        <v>3157</v>
      </c>
    </row>
    <row r="43" spans="2:14" x14ac:dyDescent="0.3">
      <c r="C43" t="s">
        <v>142</v>
      </c>
      <c r="D43">
        <f>D41/D42</f>
        <v>157.85</v>
      </c>
    </row>
    <row r="44" spans="2:14" x14ac:dyDescent="0.3">
      <c r="C44" t="s">
        <v>170</v>
      </c>
      <c r="D44">
        <f>SQRT(D43)</f>
        <v>12.56383699353028</v>
      </c>
      <c r="M44" t="s">
        <v>142</v>
      </c>
      <c r="N44">
        <f>N42/(20-1)</f>
        <v>166.15789473684211</v>
      </c>
    </row>
    <row r="46" spans="2:14" x14ac:dyDescent="0.3">
      <c r="M46" t="s">
        <v>153</v>
      </c>
      <c r="N46">
        <f>SQRT(N44)</f>
        <v>12.890224774488694</v>
      </c>
    </row>
    <row r="56" spans="1:13" ht="19.8" x14ac:dyDescent="0.4">
      <c r="A56" s="1">
        <v>0</v>
      </c>
      <c r="B56" s="1">
        <v>2</v>
      </c>
      <c r="C56" s="1">
        <v>6</v>
      </c>
      <c r="D56" s="1">
        <v>12</v>
      </c>
      <c r="E56" s="1">
        <v>22</v>
      </c>
      <c r="F56" s="1">
        <v>31</v>
      </c>
      <c r="G56" s="1">
        <v>43</v>
      </c>
      <c r="H56" s="1">
        <v>63</v>
      </c>
      <c r="I56" s="1">
        <v>82</v>
      </c>
      <c r="J56" s="1">
        <v>107</v>
      </c>
    </row>
    <row r="57" spans="1:13" ht="19.8" x14ac:dyDescent="0.4">
      <c r="A57" s="1">
        <v>0</v>
      </c>
      <c r="B57" s="1">
        <v>2</v>
      </c>
      <c r="C57" s="1">
        <v>7</v>
      </c>
      <c r="D57" s="1">
        <v>13</v>
      </c>
      <c r="E57" s="1">
        <v>22</v>
      </c>
      <c r="F57" s="1">
        <v>31</v>
      </c>
      <c r="G57" s="1">
        <v>44</v>
      </c>
      <c r="H57" s="1">
        <v>64</v>
      </c>
      <c r="I57" s="1">
        <v>82</v>
      </c>
      <c r="J57" s="1">
        <v>107</v>
      </c>
    </row>
    <row r="58" spans="1:13" ht="19.8" x14ac:dyDescent="0.4">
      <c r="A58" s="1">
        <v>0</v>
      </c>
      <c r="B58" s="1">
        <v>2</v>
      </c>
      <c r="C58" s="1">
        <v>7</v>
      </c>
      <c r="D58" s="1">
        <v>14</v>
      </c>
      <c r="E58" s="1">
        <v>22</v>
      </c>
      <c r="F58" s="1">
        <v>31</v>
      </c>
      <c r="G58" s="1">
        <v>46</v>
      </c>
      <c r="H58" s="1">
        <v>66</v>
      </c>
      <c r="I58" s="1">
        <v>86</v>
      </c>
      <c r="J58" s="1">
        <v>108</v>
      </c>
    </row>
    <row r="59" spans="1:13" ht="19.8" x14ac:dyDescent="0.4">
      <c r="A59" s="1">
        <v>0</v>
      </c>
      <c r="B59" s="1">
        <v>2</v>
      </c>
      <c r="C59" s="1">
        <v>8</v>
      </c>
      <c r="D59" s="1">
        <v>15</v>
      </c>
      <c r="E59" s="1">
        <v>23</v>
      </c>
      <c r="F59" s="1">
        <v>31</v>
      </c>
      <c r="G59" s="1">
        <v>48</v>
      </c>
      <c r="H59" s="1">
        <v>66</v>
      </c>
      <c r="I59" s="1">
        <v>86</v>
      </c>
      <c r="J59" s="1">
        <v>112</v>
      </c>
    </row>
    <row r="60" spans="1:13" ht="19.8" x14ac:dyDescent="0.4">
      <c r="A60" s="1">
        <v>0</v>
      </c>
      <c r="B60" s="1">
        <v>2</v>
      </c>
      <c r="C60" s="1">
        <v>8</v>
      </c>
      <c r="D60" s="1">
        <v>15</v>
      </c>
      <c r="E60" s="1">
        <v>23</v>
      </c>
      <c r="F60" s="1">
        <v>33</v>
      </c>
      <c r="G60" s="1">
        <v>49</v>
      </c>
      <c r="H60" s="1">
        <v>66</v>
      </c>
      <c r="I60" s="1">
        <v>87</v>
      </c>
      <c r="J60" s="1">
        <v>115</v>
      </c>
      <c r="M60" t="s">
        <v>191</v>
      </c>
    </row>
    <row r="61" spans="1:13" ht="19.8" x14ac:dyDescent="0.4">
      <c r="A61" s="1">
        <v>0</v>
      </c>
      <c r="B61" s="1">
        <v>2</v>
      </c>
      <c r="C61" s="1">
        <v>8</v>
      </c>
      <c r="D61" s="1">
        <v>16</v>
      </c>
      <c r="E61" s="1">
        <v>23</v>
      </c>
      <c r="F61" s="1">
        <v>33</v>
      </c>
      <c r="G61" s="1">
        <v>53</v>
      </c>
      <c r="H61" s="1">
        <v>68</v>
      </c>
      <c r="I61" s="1">
        <v>91</v>
      </c>
      <c r="J61" s="1">
        <v>115</v>
      </c>
      <c r="M61" t="s">
        <v>192</v>
      </c>
    </row>
    <row r="62" spans="1:13" ht="19.8" x14ac:dyDescent="0.4">
      <c r="A62" s="1">
        <v>0</v>
      </c>
      <c r="B62" s="1">
        <v>2</v>
      </c>
      <c r="C62" s="1">
        <v>9</v>
      </c>
      <c r="D62" s="1">
        <v>16</v>
      </c>
      <c r="E62" s="1">
        <v>24</v>
      </c>
      <c r="F62" s="1">
        <v>34</v>
      </c>
      <c r="G62" s="1">
        <v>54</v>
      </c>
      <c r="H62" s="1">
        <v>68</v>
      </c>
      <c r="I62" s="1">
        <v>94</v>
      </c>
      <c r="J62" s="1">
        <v>117</v>
      </c>
    </row>
    <row r="63" spans="1:13" ht="19.8" x14ac:dyDescent="0.4">
      <c r="A63" s="1">
        <v>0</v>
      </c>
      <c r="B63" s="1">
        <v>2</v>
      </c>
      <c r="C63" s="1">
        <v>9</v>
      </c>
      <c r="D63" s="1">
        <v>18</v>
      </c>
      <c r="E63" s="1">
        <v>25</v>
      </c>
      <c r="F63" s="1">
        <v>35</v>
      </c>
      <c r="G63" s="1">
        <v>54</v>
      </c>
      <c r="H63" s="1">
        <v>68</v>
      </c>
      <c r="I63" s="1">
        <v>99</v>
      </c>
      <c r="J63" s="1">
        <v>118</v>
      </c>
    </row>
    <row r="64" spans="1:13" ht="19.8" x14ac:dyDescent="0.4">
      <c r="A64" s="1">
        <v>0</v>
      </c>
      <c r="B64" s="1">
        <v>2</v>
      </c>
      <c r="C64" s="1">
        <v>9</v>
      </c>
      <c r="D64" s="1">
        <v>18</v>
      </c>
      <c r="E64" s="1">
        <v>26</v>
      </c>
      <c r="F64" s="1">
        <v>35</v>
      </c>
      <c r="G64" s="1">
        <v>54</v>
      </c>
      <c r="H64" s="1">
        <v>71</v>
      </c>
      <c r="I64" s="1">
        <v>100</v>
      </c>
      <c r="J64" s="1">
        <v>123</v>
      </c>
    </row>
    <row r="65" spans="1:10" ht="19.8" x14ac:dyDescent="0.4">
      <c r="A65" s="1">
        <v>0</v>
      </c>
      <c r="B65" s="1">
        <v>3</v>
      </c>
      <c r="C65" s="1">
        <v>9</v>
      </c>
      <c r="D65" s="1">
        <v>18</v>
      </c>
      <c r="E65" s="1">
        <v>27</v>
      </c>
      <c r="F65" s="1">
        <v>37</v>
      </c>
      <c r="G65" s="1">
        <v>55</v>
      </c>
      <c r="H65" s="1">
        <v>77</v>
      </c>
      <c r="I65" s="1">
        <v>100</v>
      </c>
      <c r="J65" s="1">
        <v>127</v>
      </c>
    </row>
    <row r="66" spans="1:10" ht="19.8" x14ac:dyDescent="0.4">
      <c r="A66" s="1">
        <v>1</v>
      </c>
      <c r="B66" s="1">
        <v>3</v>
      </c>
      <c r="C66" s="1">
        <v>10</v>
      </c>
      <c r="D66" s="1">
        <v>19</v>
      </c>
      <c r="E66" s="1">
        <v>28</v>
      </c>
      <c r="F66" s="1">
        <v>37</v>
      </c>
      <c r="G66" s="1">
        <v>57</v>
      </c>
      <c r="H66" s="1">
        <v>77</v>
      </c>
      <c r="I66" s="1">
        <v>102</v>
      </c>
      <c r="J66" s="1">
        <v>128</v>
      </c>
    </row>
    <row r="67" spans="1:10" ht="19.8" x14ac:dyDescent="0.4">
      <c r="A67" s="1">
        <v>1</v>
      </c>
      <c r="B67" s="1">
        <v>3</v>
      </c>
      <c r="C67" s="1">
        <v>10</v>
      </c>
      <c r="D67" s="1">
        <v>20</v>
      </c>
      <c r="E67" s="1">
        <v>28</v>
      </c>
      <c r="F67" s="1">
        <v>37</v>
      </c>
      <c r="G67" s="1">
        <v>58</v>
      </c>
      <c r="H67" s="1">
        <v>78</v>
      </c>
      <c r="I67" s="1">
        <v>102</v>
      </c>
      <c r="J67" s="1">
        <v>133</v>
      </c>
    </row>
    <row r="68" spans="1:10" ht="19.8" x14ac:dyDescent="0.4">
      <c r="A68" s="1">
        <v>1</v>
      </c>
      <c r="B68" s="1">
        <v>4</v>
      </c>
      <c r="C68" s="1">
        <v>11</v>
      </c>
      <c r="D68" s="1">
        <v>21</v>
      </c>
      <c r="E68" s="1">
        <v>30</v>
      </c>
      <c r="F68" s="1">
        <v>38</v>
      </c>
      <c r="G68" s="1">
        <v>59</v>
      </c>
      <c r="H68" s="1">
        <v>79</v>
      </c>
      <c r="I68" s="1">
        <v>105</v>
      </c>
      <c r="J68" s="1">
        <v>136</v>
      </c>
    </row>
    <row r="69" spans="1:10" ht="19.8" x14ac:dyDescent="0.4">
      <c r="A69" s="1">
        <v>1</v>
      </c>
      <c r="B69" s="1">
        <v>5</v>
      </c>
      <c r="C69" s="1">
        <v>11</v>
      </c>
      <c r="D69" s="1">
        <v>22</v>
      </c>
      <c r="E69" s="1">
        <v>31</v>
      </c>
      <c r="F69" s="1">
        <v>38</v>
      </c>
      <c r="G69" s="1">
        <v>61</v>
      </c>
      <c r="H69" s="1">
        <v>80</v>
      </c>
      <c r="I69" s="1">
        <v>106</v>
      </c>
      <c r="J69" s="1">
        <v>139</v>
      </c>
    </row>
    <row r="70" spans="1:10" ht="19.8" x14ac:dyDescent="0.4">
      <c r="A70" s="1">
        <v>1</v>
      </c>
      <c r="B70" s="1">
        <v>6</v>
      </c>
      <c r="C70" s="1">
        <v>12</v>
      </c>
      <c r="D70" s="1">
        <v>22</v>
      </c>
      <c r="E70" s="1">
        <v>31</v>
      </c>
      <c r="F70" s="1">
        <v>40</v>
      </c>
      <c r="G70" s="1">
        <v>62</v>
      </c>
      <c r="H70" s="1">
        <v>81</v>
      </c>
      <c r="I70" s="1">
        <v>107</v>
      </c>
      <c r="J70" s="1">
        <v>183</v>
      </c>
    </row>
  </sheetData>
  <sortState xmlns:xlrd2="http://schemas.microsoft.com/office/spreadsheetml/2017/richdata2" ref="K3:K14">
    <sortCondition ref="K3"/>
  </sortState>
  <mergeCells count="1">
    <mergeCell ref="B18:E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94"/>
  <sheetViews>
    <sheetView topLeftCell="A76" zoomScaleNormal="100" workbookViewId="0">
      <selection activeCell="M396" sqref="M396"/>
    </sheetView>
  </sheetViews>
  <sheetFormatPr defaultRowHeight="14.4" x14ac:dyDescent="0.3"/>
  <cols>
    <col min="5" max="5" width="13.109375" customWidth="1"/>
    <col min="6" max="6" width="12.33203125" bestFit="1" customWidth="1"/>
  </cols>
  <sheetData>
    <row r="2" spans="1:7" x14ac:dyDescent="0.3">
      <c r="A2" t="s">
        <v>307</v>
      </c>
    </row>
    <row r="4" spans="1:7" x14ac:dyDescent="0.3">
      <c r="A4" t="s">
        <v>674</v>
      </c>
      <c r="B4" t="s">
        <v>675</v>
      </c>
    </row>
    <row r="5" spans="1:7" x14ac:dyDescent="0.3">
      <c r="A5" t="s">
        <v>308</v>
      </c>
      <c r="B5">
        <v>2</v>
      </c>
    </row>
    <row r="6" spans="1:7" x14ac:dyDescent="0.3">
      <c r="A6" t="s">
        <v>309</v>
      </c>
      <c r="B6">
        <v>3</v>
      </c>
    </row>
    <row r="7" spans="1:7" x14ac:dyDescent="0.3">
      <c r="A7" t="s">
        <v>310</v>
      </c>
      <c r="B7">
        <v>9</v>
      </c>
      <c r="E7" t="s">
        <v>673</v>
      </c>
    </row>
    <row r="8" spans="1:7" x14ac:dyDescent="0.3">
      <c r="A8" t="s">
        <v>311</v>
      </c>
      <c r="B8">
        <v>2</v>
      </c>
    </row>
    <row r="9" spans="1:7" x14ac:dyDescent="0.3">
      <c r="A9" t="s">
        <v>312</v>
      </c>
      <c r="B9">
        <v>8</v>
      </c>
      <c r="E9" s="123" t="s">
        <v>679</v>
      </c>
      <c r="F9" t="s">
        <v>677</v>
      </c>
      <c r="G9" t="s">
        <v>678</v>
      </c>
    </row>
    <row r="10" spans="1:7" x14ac:dyDescent="0.3">
      <c r="A10" t="s">
        <v>313</v>
      </c>
      <c r="B10">
        <v>8</v>
      </c>
      <c r="E10" s="122">
        <v>1</v>
      </c>
      <c r="F10" s="72">
        <v>26</v>
      </c>
      <c r="G10">
        <f>F10/365</f>
        <v>7.1232876712328766E-2</v>
      </c>
    </row>
    <row r="11" spans="1:7" x14ac:dyDescent="0.3">
      <c r="A11" t="s">
        <v>314</v>
      </c>
      <c r="B11">
        <v>7</v>
      </c>
      <c r="E11" s="122">
        <v>2</v>
      </c>
      <c r="F11" s="72">
        <v>33</v>
      </c>
      <c r="G11">
        <f t="shared" ref="G11:G21" si="0">F11/365</f>
        <v>9.0410958904109592E-2</v>
      </c>
    </row>
    <row r="12" spans="1:7" x14ac:dyDescent="0.3">
      <c r="A12" t="s">
        <v>315</v>
      </c>
      <c r="B12">
        <v>1</v>
      </c>
      <c r="E12" s="122">
        <v>3</v>
      </c>
      <c r="F12" s="72">
        <v>36</v>
      </c>
      <c r="G12">
        <f t="shared" si="0"/>
        <v>9.8630136986301367E-2</v>
      </c>
    </row>
    <row r="13" spans="1:7" x14ac:dyDescent="0.3">
      <c r="A13" t="s">
        <v>316</v>
      </c>
      <c r="B13">
        <v>2</v>
      </c>
      <c r="E13" s="122">
        <v>4</v>
      </c>
      <c r="F13" s="72">
        <v>29</v>
      </c>
      <c r="G13">
        <f t="shared" si="0"/>
        <v>7.9452054794520555E-2</v>
      </c>
    </row>
    <row r="14" spans="1:7" x14ac:dyDescent="0.3">
      <c r="A14" t="s">
        <v>317</v>
      </c>
      <c r="B14">
        <v>8</v>
      </c>
      <c r="E14" s="122">
        <v>5</v>
      </c>
      <c r="F14" s="72">
        <v>31</v>
      </c>
      <c r="G14">
        <f t="shared" si="0"/>
        <v>8.4931506849315067E-2</v>
      </c>
    </row>
    <row r="15" spans="1:7" x14ac:dyDescent="0.3">
      <c r="A15" t="s">
        <v>318</v>
      </c>
      <c r="B15">
        <v>2</v>
      </c>
      <c r="E15" s="122">
        <v>6</v>
      </c>
      <c r="F15" s="72">
        <v>32</v>
      </c>
      <c r="G15">
        <f t="shared" si="0"/>
        <v>8.7671232876712329E-2</v>
      </c>
    </row>
    <row r="16" spans="1:7" x14ac:dyDescent="0.3">
      <c r="A16" t="s">
        <v>319</v>
      </c>
      <c r="B16">
        <v>3</v>
      </c>
      <c r="E16" s="122">
        <v>7</v>
      </c>
      <c r="F16" s="72">
        <v>32</v>
      </c>
      <c r="G16">
        <f t="shared" si="0"/>
        <v>8.7671232876712329E-2</v>
      </c>
    </row>
    <row r="17" spans="1:7" x14ac:dyDescent="0.3">
      <c r="A17" t="s">
        <v>320</v>
      </c>
      <c r="B17">
        <v>5</v>
      </c>
      <c r="E17" s="122">
        <v>8</v>
      </c>
      <c r="F17" s="72">
        <v>39</v>
      </c>
      <c r="G17">
        <f t="shared" si="0"/>
        <v>0.10684931506849316</v>
      </c>
    </row>
    <row r="18" spans="1:7" x14ac:dyDescent="0.3">
      <c r="A18" t="s">
        <v>321</v>
      </c>
      <c r="B18">
        <v>9</v>
      </c>
      <c r="E18" s="122">
        <v>9</v>
      </c>
      <c r="F18" s="72">
        <v>24</v>
      </c>
      <c r="G18">
        <f t="shared" si="0"/>
        <v>6.575342465753424E-2</v>
      </c>
    </row>
    <row r="19" spans="1:7" x14ac:dyDescent="0.3">
      <c r="A19" t="s">
        <v>322</v>
      </c>
      <c r="B19">
        <v>3</v>
      </c>
      <c r="E19" s="122">
        <v>10</v>
      </c>
      <c r="F19" s="72">
        <v>28</v>
      </c>
      <c r="G19">
        <f t="shared" si="0"/>
        <v>7.6712328767123292E-2</v>
      </c>
    </row>
    <row r="20" spans="1:7" x14ac:dyDescent="0.3">
      <c r="A20" t="s">
        <v>323</v>
      </c>
      <c r="B20">
        <v>12</v>
      </c>
      <c r="E20" s="122">
        <v>11</v>
      </c>
      <c r="F20" s="72">
        <v>23</v>
      </c>
      <c r="G20">
        <f t="shared" si="0"/>
        <v>6.3013698630136991E-2</v>
      </c>
    </row>
    <row r="21" spans="1:7" x14ac:dyDescent="0.3">
      <c r="A21" t="s">
        <v>324</v>
      </c>
      <c r="B21">
        <v>5</v>
      </c>
      <c r="E21" s="122">
        <v>12</v>
      </c>
      <c r="F21" s="72">
        <v>32</v>
      </c>
      <c r="G21">
        <f t="shared" si="0"/>
        <v>8.7671232876712329E-2</v>
      </c>
    </row>
    <row r="22" spans="1:7" x14ac:dyDescent="0.3">
      <c r="A22" t="s">
        <v>325</v>
      </c>
      <c r="B22">
        <v>5</v>
      </c>
      <c r="E22" s="122" t="s">
        <v>676</v>
      </c>
      <c r="F22" s="72">
        <v>365</v>
      </c>
      <c r="G22">
        <v>1</v>
      </c>
    </row>
    <row r="23" spans="1:7" x14ac:dyDescent="0.3">
      <c r="A23" t="s">
        <v>326</v>
      </c>
      <c r="B23">
        <v>1</v>
      </c>
    </row>
    <row r="24" spans="1:7" x14ac:dyDescent="0.3">
      <c r="A24" t="s">
        <v>327</v>
      </c>
      <c r="B24">
        <v>5</v>
      </c>
    </row>
    <row r="25" spans="1:7" x14ac:dyDescent="0.3">
      <c r="A25" t="s">
        <v>328</v>
      </c>
      <c r="B25">
        <v>5</v>
      </c>
      <c r="E25" s="123" t="s">
        <v>705</v>
      </c>
      <c r="F25" t="s">
        <v>677</v>
      </c>
    </row>
    <row r="26" spans="1:7" x14ac:dyDescent="0.3">
      <c r="A26" t="s">
        <v>329</v>
      </c>
      <c r="B26">
        <v>5</v>
      </c>
      <c r="E26" s="122">
        <v>1</v>
      </c>
      <c r="F26" s="72">
        <v>26</v>
      </c>
    </row>
    <row r="27" spans="1:7" x14ac:dyDescent="0.3">
      <c r="A27" t="s">
        <v>330</v>
      </c>
      <c r="B27">
        <v>1</v>
      </c>
      <c r="E27" s="122">
        <v>2</v>
      </c>
      <c r="F27" s="72">
        <v>33</v>
      </c>
    </row>
    <row r="28" spans="1:7" x14ac:dyDescent="0.3">
      <c r="A28" t="s">
        <v>331</v>
      </c>
      <c r="B28">
        <v>9</v>
      </c>
      <c r="E28" s="122">
        <v>3</v>
      </c>
      <c r="F28" s="72">
        <v>36</v>
      </c>
    </row>
    <row r="29" spans="1:7" x14ac:dyDescent="0.3">
      <c r="A29" t="s">
        <v>332</v>
      </c>
      <c r="B29">
        <v>11</v>
      </c>
      <c r="E29" s="122">
        <v>4</v>
      </c>
      <c r="F29" s="72">
        <v>29</v>
      </c>
    </row>
    <row r="30" spans="1:7" x14ac:dyDescent="0.3">
      <c r="A30" t="s">
        <v>333</v>
      </c>
      <c r="B30">
        <v>4</v>
      </c>
      <c r="E30" s="122">
        <v>5</v>
      </c>
      <c r="F30" s="72">
        <v>31</v>
      </c>
    </row>
    <row r="31" spans="1:7" x14ac:dyDescent="0.3">
      <c r="A31" t="s">
        <v>334</v>
      </c>
      <c r="B31">
        <v>7</v>
      </c>
      <c r="E31" s="122">
        <v>6</v>
      </c>
      <c r="F31" s="72">
        <v>32</v>
      </c>
    </row>
    <row r="32" spans="1:7" x14ac:dyDescent="0.3">
      <c r="A32" t="s">
        <v>335</v>
      </c>
      <c r="B32">
        <v>5</v>
      </c>
      <c r="E32" s="122">
        <v>7</v>
      </c>
      <c r="F32" s="72">
        <v>32</v>
      </c>
    </row>
    <row r="33" spans="1:6" x14ac:dyDescent="0.3">
      <c r="A33" t="s">
        <v>336</v>
      </c>
      <c r="B33">
        <v>7</v>
      </c>
      <c r="E33" s="122">
        <v>8</v>
      </c>
      <c r="F33" s="72">
        <v>39</v>
      </c>
    </row>
    <row r="34" spans="1:6" x14ac:dyDescent="0.3">
      <c r="A34" t="s">
        <v>337</v>
      </c>
      <c r="B34">
        <v>9</v>
      </c>
      <c r="E34" s="122">
        <v>9</v>
      </c>
      <c r="F34" s="72">
        <v>24</v>
      </c>
    </row>
    <row r="35" spans="1:6" x14ac:dyDescent="0.3">
      <c r="A35" t="s">
        <v>338</v>
      </c>
      <c r="B35">
        <v>6</v>
      </c>
      <c r="E35" s="122">
        <v>10</v>
      </c>
      <c r="F35" s="72">
        <v>28</v>
      </c>
    </row>
    <row r="36" spans="1:6" x14ac:dyDescent="0.3">
      <c r="A36" t="s">
        <v>339</v>
      </c>
      <c r="B36">
        <v>5</v>
      </c>
      <c r="E36" s="122">
        <v>11</v>
      </c>
      <c r="F36" s="72">
        <v>23</v>
      </c>
    </row>
    <row r="37" spans="1:6" x14ac:dyDescent="0.3">
      <c r="A37" t="s">
        <v>340</v>
      </c>
      <c r="B37">
        <v>1</v>
      </c>
      <c r="E37" s="122">
        <v>12</v>
      </c>
      <c r="F37" s="72">
        <v>32</v>
      </c>
    </row>
    <row r="38" spans="1:6" x14ac:dyDescent="0.3">
      <c r="A38" t="s">
        <v>341</v>
      </c>
      <c r="B38">
        <v>4</v>
      </c>
      <c r="E38" s="122" t="s">
        <v>676</v>
      </c>
      <c r="F38" s="72">
        <v>365</v>
      </c>
    </row>
    <row r="39" spans="1:6" x14ac:dyDescent="0.3">
      <c r="A39" t="s">
        <v>342</v>
      </c>
      <c r="B39">
        <v>12</v>
      </c>
    </row>
    <row r="40" spans="1:6" x14ac:dyDescent="0.3">
      <c r="A40" t="s">
        <v>343</v>
      </c>
      <c r="B40">
        <v>4</v>
      </c>
    </row>
    <row r="41" spans="1:6" x14ac:dyDescent="0.3">
      <c r="A41" t="s">
        <v>344</v>
      </c>
      <c r="B41">
        <v>1</v>
      </c>
    </row>
    <row r="42" spans="1:6" x14ac:dyDescent="0.3">
      <c r="A42" t="s">
        <v>345</v>
      </c>
      <c r="B42">
        <v>9</v>
      </c>
    </row>
    <row r="43" spans="1:6" x14ac:dyDescent="0.3">
      <c r="A43" t="s">
        <v>346</v>
      </c>
      <c r="B43">
        <v>1</v>
      </c>
    </row>
    <row r="44" spans="1:6" x14ac:dyDescent="0.3">
      <c r="A44" t="s">
        <v>347</v>
      </c>
      <c r="B44">
        <v>4</v>
      </c>
    </row>
    <row r="45" spans="1:6" x14ac:dyDescent="0.3">
      <c r="A45" t="s">
        <v>348</v>
      </c>
      <c r="B45">
        <v>2</v>
      </c>
    </row>
    <row r="46" spans="1:6" x14ac:dyDescent="0.3">
      <c r="A46" t="s">
        <v>349</v>
      </c>
      <c r="B46">
        <v>2</v>
      </c>
    </row>
    <row r="47" spans="1:6" x14ac:dyDescent="0.3">
      <c r="A47" t="s">
        <v>350</v>
      </c>
      <c r="B47">
        <v>7</v>
      </c>
    </row>
    <row r="48" spans="1:6" x14ac:dyDescent="0.3">
      <c r="A48" t="s">
        <v>351</v>
      </c>
      <c r="B48">
        <v>10</v>
      </c>
    </row>
    <row r="49" spans="1:2" x14ac:dyDescent="0.3">
      <c r="A49" t="s">
        <v>352</v>
      </c>
      <c r="B49">
        <v>12</v>
      </c>
    </row>
    <row r="50" spans="1:2" x14ac:dyDescent="0.3">
      <c r="A50" t="s">
        <v>353</v>
      </c>
      <c r="B50">
        <v>6</v>
      </c>
    </row>
    <row r="51" spans="1:2" x14ac:dyDescent="0.3">
      <c r="A51" t="s">
        <v>354</v>
      </c>
      <c r="B51">
        <v>11</v>
      </c>
    </row>
    <row r="52" spans="1:2" x14ac:dyDescent="0.3">
      <c r="A52" t="s">
        <v>355</v>
      </c>
      <c r="B52">
        <v>8</v>
      </c>
    </row>
    <row r="53" spans="1:2" x14ac:dyDescent="0.3">
      <c r="A53" t="s">
        <v>356</v>
      </c>
      <c r="B53">
        <v>6</v>
      </c>
    </row>
    <row r="54" spans="1:2" x14ac:dyDescent="0.3">
      <c r="A54" t="s">
        <v>357</v>
      </c>
      <c r="B54">
        <v>3</v>
      </c>
    </row>
    <row r="55" spans="1:2" x14ac:dyDescent="0.3">
      <c r="A55" t="s">
        <v>358</v>
      </c>
      <c r="B55">
        <v>7</v>
      </c>
    </row>
    <row r="56" spans="1:2" x14ac:dyDescent="0.3">
      <c r="A56" t="s">
        <v>359</v>
      </c>
      <c r="B56">
        <v>7</v>
      </c>
    </row>
    <row r="57" spans="1:2" x14ac:dyDescent="0.3">
      <c r="A57" t="s">
        <v>360</v>
      </c>
      <c r="B57">
        <v>11</v>
      </c>
    </row>
    <row r="58" spans="1:2" x14ac:dyDescent="0.3">
      <c r="A58" t="s">
        <v>361</v>
      </c>
      <c r="B58">
        <v>4</v>
      </c>
    </row>
    <row r="59" spans="1:2" x14ac:dyDescent="0.3">
      <c r="A59" t="s">
        <v>362</v>
      </c>
      <c r="B59">
        <v>6</v>
      </c>
    </row>
    <row r="60" spans="1:2" x14ac:dyDescent="0.3">
      <c r="A60" t="s">
        <v>363</v>
      </c>
      <c r="B60">
        <v>12</v>
      </c>
    </row>
    <row r="61" spans="1:2" x14ac:dyDescent="0.3">
      <c r="A61" t="s">
        <v>364</v>
      </c>
      <c r="B61">
        <v>8</v>
      </c>
    </row>
    <row r="62" spans="1:2" x14ac:dyDescent="0.3">
      <c r="A62" t="s">
        <v>365</v>
      </c>
      <c r="B62">
        <v>6</v>
      </c>
    </row>
    <row r="63" spans="1:2" x14ac:dyDescent="0.3">
      <c r="A63" t="s">
        <v>366</v>
      </c>
      <c r="B63">
        <v>8</v>
      </c>
    </row>
    <row r="64" spans="1:2" x14ac:dyDescent="0.3">
      <c r="A64" t="s">
        <v>367</v>
      </c>
      <c r="B64">
        <v>5</v>
      </c>
    </row>
    <row r="65" spans="1:2" x14ac:dyDescent="0.3">
      <c r="A65" t="s">
        <v>368</v>
      </c>
      <c r="B65">
        <v>12</v>
      </c>
    </row>
    <row r="66" spans="1:2" x14ac:dyDescent="0.3">
      <c r="A66" t="s">
        <v>369</v>
      </c>
      <c r="B66">
        <v>7</v>
      </c>
    </row>
    <row r="67" spans="1:2" x14ac:dyDescent="0.3">
      <c r="A67" t="s">
        <v>370</v>
      </c>
      <c r="B67">
        <v>12</v>
      </c>
    </row>
    <row r="68" spans="1:2" x14ac:dyDescent="0.3">
      <c r="A68" t="s">
        <v>371</v>
      </c>
      <c r="B68">
        <v>12</v>
      </c>
    </row>
    <row r="69" spans="1:2" x14ac:dyDescent="0.3">
      <c r="A69" t="s">
        <v>372</v>
      </c>
      <c r="B69">
        <v>3</v>
      </c>
    </row>
    <row r="70" spans="1:2" x14ac:dyDescent="0.3">
      <c r="A70" t="s">
        <v>373</v>
      </c>
      <c r="B70">
        <v>7</v>
      </c>
    </row>
    <row r="71" spans="1:2" x14ac:dyDescent="0.3">
      <c r="A71" t="s">
        <v>374</v>
      </c>
      <c r="B71">
        <v>12</v>
      </c>
    </row>
    <row r="72" spans="1:2" x14ac:dyDescent="0.3">
      <c r="A72" t="s">
        <v>375</v>
      </c>
      <c r="B72">
        <v>4</v>
      </c>
    </row>
    <row r="73" spans="1:2" x14ac:dyDescent="0.3">
      <c r="A73" t="s">
        <v>376</v>
      </c>
      <c r="B73">
        <v>12</v>
      </c>
    </row>
    <row r="74" spans="1:2" x14ac:dyDescent="0.3">
      <c r="A74" t="s">
        <v>377</v>
      </c>
      <c r="B74">
        <v>8</v>
      </c>
    </row>
    <row r="75" spans="1:2" x14ac:dyDescent="0.3">
      <c r="A75" t="s">
        <v>378</v>
      </c>
      <c r="B75">
        <v>2</v>
      </c>
    </row>
    <row r="76" spans="1:2" x14ac:dyDescent="0.3">
      <c r="A76" t="s">
        <v>379</v>
      </c>
      <c r="B76">
        <v>4</v>
      </c>
    </row>
    <row r="77" spans="1:2" x14ac:dyDescent="0.3">
      <c r="A77" t="s">
        <v>380</v>
      </c>
      <c r="B77">
        <v>2</v>
      </c>
    </row>
    <row r="78" spans="1:2" x14ac:dyDescent="0.3">
      <c r="A78" t="s">
        <v>381</v>
      </c>
      <c r="B78">
        <v>8</v>
      </c>
    </row>
    <row r="79" spans="1:2" x14ac:dyDescent="0.3">
      <c r="A79" t="s">
        <v>382</v>
      </c>
      <c r="B79">
        <v>5</v>
      </c>
    </row>
    <row r="80" spans="1:2" x14ac:dyDescent="0.3">
      <c r="A80" t="s">
        <v>383</v>
      </c>
      <c r="B80">
        <v>8</v>
      </c>
    </row>
    <row r="81" spans="1:2" x14ac:dyDescent="0.3">
      <c r="A81" t="s">
        <v>384</v>
      </c>
      <c r="B81">
        <v>5</v>
      </c>
    </row>
    <row r="82" spans="1:2" x14ac:dyDescent="0.3">
      <c r="A82" t="s">
        <v>385</v>
      </c>
      <c r="B82">
        <v>11</v>
      </c>
    </row>
    <row r="83" spans="1:2" x14ac:dyDescent="0.3">
      <c r="A83" t="s">
        <v>386</v>
      </c>
      <c r="B83">
        <v>12</v>
      </c>
    </row>
    <row r="84" spans="1:2" x14ac:dyDescent="0.3">
      <c r="A84" t="s">
        <v>387</v>
      </c>
      <c r="B84">
        <v>2</v>
      </c>
    </row>
    <row r="85" spans="1:2" x14ac:dyDescent="0.3">
      <c r="A85" t="s">
        <v>388</v>
      </c>
      <c r="B85">
        <v>8</v>
      </c>
    </row>
    <row r="86" spans="1:2" x14ac:dyDescent="0.3">
      <c r="A86" t="s">
        <v>389</v>
      </c>
      <c r="B86">
        <v>3</v>
      </c>
    </row>
    <row r="87" spans="1:2" x14ac:dyDescent="0.3">
      <c r="A87" t="s">
        <v>390</v>
      </c>
      <c r="B87">
        <v>1</v>
      </c>
    </row>
    <row r="88" spans="1:2" x14ac:dyDescent="0.3">
      <c r="A88" t="s">
        <v>391</v>
      </c>
      <c r="B88">
        <v>6</v>
      </c>
    </row>
    <row r="89" spans="1:2" x14ac:dyDescent="0.3">
      <c r="A89" t="s">
        <v>392</v>
      </c>
      <c r="B89">
        <v>12</v>
      </c>
    </row>
    <row r="90" spans="1:2" x14ac:dyDescent="0.3">
      <c r="A90" t="s">
        <v>393</v>
      </c>
      <c r="B90">
        <v>8</v>
      </c>
    </row>
    <row r="91" spans="1:2" x14ac:dyDescent="0.3">
      <c r="A91" t="s">
        <v>394</v>
      </c>
      <c r="B91">
        <v>12</v>
      </c>
    </row>
    <row r="92" spans="1:2" x14ac:dyDescent="0.3">
      <c r="A92" t="s">
        <v>395</v>
      </c>
      <c r="B92">
        <v>3</v>
      </c>
    </row>
    <row r="93" spans="1:2" x14ac:dyDescent="0.3">
      <c r="A93" t="s">
        <v>396</v>
      </c>
      <c r="B93">
        <v>12</v>
      </c>
    </row>
    <row r="94" spans="1:2" x14ac:dyDescent="0.3">
      <c r="A94" t="s">
        <v>397</v>
      </c>
      <c r="B94">
        <v>9</v>
      </c>
    </row>
    <row r="95" spans="1:2" x14ac:dyDescent="0.3">
      <c r="A95" t="s">
        <v>398</v>
      </c>
      <c r="B95">
        <v>7</v>
      </c>
    </row>
    <row r="96" spans="1:2" x14ac:dyDescent="0.3">
      <c r="A96" t="s">
        <v>399</v>
      </c>
      <c r="B96">
        <v>4</v>
      </c>
    </row>
    <row r="97" spans="1:2" x14ac:dyDescent="0.3">
      <c r="A97" t="s">
        <v>400</v>
      </c>
      <c r="B97">
        <v>8</v>
      </c>
    </row>
    <row r="98" spans="1:2" x14ac:dyDescent="0.3">
      <c r="A98" t="s">
        <v>401</v>
      </c>
      <c r="B98">
        <v>7</v>
      </c>
    </row>
    <row r="99" spans="1:2" x14ac:dyDescent="0.3">
      <c r="A99" t="s">
        <v>402</v>
      </c>
      <c r="B99">
        <v>11</v>
      </c>
    </row>
    <row r="100" spans="1:2" x14ac:dyDescent="0.3">
      <c r="A100" t="s">
        <v>403</v>
      </c>
      <c r="B100">
        <v>6</v>
      </c>
    </row>
    <row r="101" spans="1:2" x14ac:dyDescent="0.3">
      <c r="A101" t="s">
        <v>404</v>
      </c>
      <c r="B101">
        <v>2</v>
      </c>
    </row>
    <row r="102" spans="1:2" x14ac:dyDescent="0.3">
      <c r="A102" t="s">
        <v>405</v>
      </c>
      <c r="B102">
        <v>2</v>
      </c>
    </row>
    <row r="103" spans="1:2" x14ac:dyDescent="0.3">
      <c r="A103" t="s">
        <v>406</v>
      </c>
      <c r="B103">
        <v>3</v>
      </c>
    </row>
    <row r="104" spans="1:2" x14ac:dyDescent="0.3">
      <c r="A104" t="s">
        <v>407</v>
      </c>
      <c r="B104">
        <v>12</v>
      </c>
    </row>
    <row r="105" spans="1:2" x14ac:dyDescent="0.3">
      <c r="A105" t="s">
        <v>408</v>
      </c>
      <c r="B105">
        <v>10</v>
      </c>
    </row>
    <row r="106" spans="1:2" x14ac:dyDescent="0.3">
      <c r="A106" t="s">
        <v>409</v>
      </c>
      <c r="B106">
        <v>2</v>
      </c>
    </row>
    <row r="107" spans="1:2" x14ac:dyDescent="0.3">
      <c r="A107" t="s">
        <v>410</v>
      </c>
      <c r="B107">
        <v>4</v>
      </c>
    </row>
    <row r="108" spans="1:2" x14ac:dyDescent="0.3">
      <c r="A108" t="s">
        <v>411</v>
      </c>
      <c r="B108">
        <v>3</v>
      </c>
    </row>
    <row r="109" spans="1:2" x14ac:dyDescent="0.3">
      <c r="A109" t="s">
        <v>412</v>
      </c>
      <c r="B109">
        <v>2</v>
      </c>
    </row>
    <row r="110" spans="1:2" x14ac:dyDescent="0.3">
      <c r="A110" t="s">
        <v>413</v>
      </c>
      <c r="B110">
        <v>1</v>
      </c>
    </row>
    <row r="111" spans="1:2" x14ac:dyDescent="0.3">
      <c r="A111" t="s">
        <v>414</v>
      </c>
      <c r="B111">
        <v>1</v>
      </c>
    </row>
    <row r="112" spans="1:2" x14ac:dyDescent="0.3">
      <c r="A112" t="s">
        <v>415</v>
      </c>
      <c r="B112">
        <v>7</v>
      </c>
    </row>
    <row r="113" spans="1:2" x14ac:dyDescent="0.3">
      <c r="A113" t="s">
        <v>416</v>
      </c>
      <c r="B113">
        <v>2</v>
      </c>
    </row>
    <row r="114" spans="1:2" x14ac:dyDescent="0.3">
      <c r="A114" t="s">
        <v>417</v>
      </c>
      <c r="B114">
        <v>6</v>
      </c>
    </row>
    <row r="115" spans="1:2" x14ac:dyDescent="0.3">
      <c r="A115" t="s">
        <v>418</v>
      </c>
      <c r="B115">
        <v>10</v>
      </c>
    </row>
    <row r="116" spans="1:2" x14ac:dyDescent="0.3">
      <c r="A116" t="s">
        <v>419</v>
      </c>
      <c r="B116">
        <v>5</v>
      </c>
    </row>
    <row r="117" spans="1:2" x14ac:dyDescent="0.3">
      <c r="A117" t="s">
        <v>420</v>
      </c>
      <c r="B117">
        <v>3</v>
      </c>
    </row>
    <row r="118" spans="1:2" x14ac:dyDescent="0.3">
      <c r="A118" t="s">
        <v>421</v>
      </c>
      <c r="B118">
        <v>9</v>
      </c>
    </row>
    <row r="119" spans="1:2" x14ac:dyDescent="0.3">
      <c r="A119" t="s">
        <v>422</v>
      </c>
      <c r="B119">
        <v>6</v>
      </c>
    </row>
    <row r="120" spans="1:2" x14ac:dyDescent="0.3">
      <c r="A120" t="s">
        <v>423</v>
      </c>
      <c r="B120">
        <v>9</v>
      </c>
    </row>
    <row r="121" spans="1:2" x14ac:dyDescent="0.3">
      <c r="A121" t="s">
        <v>424</v>
      </c>
      <c r="B121">
        <v>1</v>
      </c>
    </row>
    <row r="122" spans="1:2" x14ac:dyDescent="0.3">
      <c r="A122" t="s">
        <v>425</v>
      </c>
      <c r="B122">
        <v>1</v>
      </c>
    </row>
    <row r="123" spans="1:2" x14ac:dyDescent="0.3">
      <c r="A123" t="s">
        <v>426</v>
      </c>
      <c r="B123">
        <v>3</v>
      </c>
    </row>
    <row r="124" spans="1:2" x14ac:dyDescent="0.3">
      <c r="A124" t="s">
        <v>427</v>
      </c>
      <c r="B124">
        <v>5</v>
      </c>
    </row>
    <row r="125" spans="1:2" x14ac:dyDescent="0.3">
      <c r="A125" t="s">
        <v>428</v>
      </c>
      <c r="B125">
        <v>7</v>
      </c>
    </row>
    <row r="126" spans="1:2" x14ac:dyDescent="0.3">
      <c r="A126" t="s">
        <v>429</v>
      </c>
      <c r="B126">
        <v>8</v>
      </c>
    </row>
    <row r="127" spans="1:2" x14ac:dyDescent="0.3">
      <c r="A127" t="s">
        <v>430</v>
      </c>
      <c r="B127">
        <v>6</v>
      </c>
    </row>
    <row r="128" spans="1:2" x14ac:dyDescent="0.3">
      <c r="A128" t="s">
        <v>431</v>
      </c>
      <c r="B128">
        <v>8</v>
      </c>
    </row>
    <row r="129" spans="1:2" x14ac:dyDescent="0.3">
      <c r="A129" t="s">
        <v>432</v>
      </c>
      <c r="B129">
        <v>8</v>
      </c>
    </row>
    <row r="130" spans="1:2" x14ac:dyDescent="0.3">
      <c r="A130" t="s">
        <v>433</v>
      </c>
      <c r="B130">
        <v>7</v>
      </c>
    </row>
    <row r="131" spans="1:2" x14ac:dyDescent="0.3">
      <c r="A131" t="s">
        <v>434</v>
      </c>
      <c r="B131">
        <v>4</v>
      </c>
    </row>
    <row r="132" spans="1:2" x14ac:dyDescent="0.3">
      <c r="A132" t="s">
        <v>435</v>
      </c>
      <c r="B132">
        <v>11</v>
      </c>
    </row>
    <row r="133" spans="1:2" x14ac:dyDescent="0.3">
      <c r="A133" t="s">
        <v>436</v>
      </c>
      <c r="B133">
        <v>11</v>
      </c>
    </row>
    <row r="134" spans="1:2" x14ac:dyDescent="0.3">
      <c r="A134" t="s">
        <v>437</v>
      </c>
      <c r="B134">
        <v>4</v>
      </c>
    </row>
    <row r="135" spans="1:2" x14ac:dyDescent="0.3">
      <c r="A135" t="s">
        <v>438</v>
      </c>
      <c r="B135">
        <v>10</v>
      </c>
    </row>
    <row r="136" spans="1:2" x14ac:dyDescent="0.3">
      <c r="A136" t="s">
        <v>439</v>
      </c>
      <c r="B136">
        <v>5</v>
      </c>
    </row>
    <row r="137" spans="1:2" x14ac:dyDescent="0.3">
      <c r="A137" t="s">
        <v>440</v>
      </c>
      <c r="B137">
        <v>1</v>
      </c>
    </row>
    <row r="138" spans="1:2" x14ac:dyDescent="0.3">
      <c r="A138" t="s">
        <v>441</v>
      </c>
      <c r="B138">
        <v>1</v>
      </c>
    </row>
    <row r="139" spans="1:2" x14ac:dyDescent="0.3">
      <c r="A139" t="s">
        <v>442</v>
      </c>
      <c r="B139">
        <v>7</v>
      </c>
    </row>
    <row r="140" spans="1:2" x14ac:dyDescent="0.3">
      <c r="A140" t="s">
        <v>443</v>
      </c>
      <c r="B140">
        <v>8</v>
      </c>
    </row>
    <row r="141" spans="1:2" x14ac:dyDescent="0.3">
      <c r="A141" t="s">
        <v>444</v>
      </c>
      <c r="B141">
        <v>5</v>
      </c>
    </row>
    <row r="142" spans="1:2" x14ac:dyDescent="0.3">
      <c r="A142" t="s">
        <v>445</v>
      </c>
      <c r="B142">
        <v>11</v>
      </c>
    </row>
    <row r="143" spans="1:2" x14ac:dyDescent="0.3">
      <c r="A143" t="s">
        <v>446</v>
      </c>
      <c r="B143">
        <v>2</v>
      </c>
    </row>
    <row r="144" spans="1:2" x14ac:dyDescent="0.3">
      <c r="A144" t="s">
        <v>447</v>
      </c>
      <c r="B144">
        <v>9</v>
      </c>
    </row>
    <row r="145" spans="1:2" x14ac:dyDescent="0.3">
      <c r="A145" t="s">
        <v>448</v>
      </c>
      <c r="B145">
        <v>3</v>
      </c>
    </row>
    <row r="146" spans="1:2" x14ac:dyDescent="0.3">
      <c r="A146" t="s">
        <v>449</v>
      </c>
      <c r="B146">
        <v>3</v>
      </c>
    </row>
    <row r="147" spans="1:2" x14ac:dyDescent="0.3">
      <c r="A147" t="s">
        <v>450</v>
      </c>
      <c r="B147">
        <v>3</v>
      </c>
    </row>
    <row r="148" spans="1:2" x14ac:dyDescent="0.3">
      <c r="A148" t="s">
        <v>451</v>
      </c>
      <c r="B148">
        <v>9</v>
      </c>
    </row>
    <row r="149" spans="1:2" x14ac:dyDescent="0.3">
      <c r="A149" t="s">
        <v>452</v>
      </c>
      <c r="B149">
        <v>12</v>
      </c>
    </row>
    <row r="150" spans="1:2" x14ac:dyDescent="0.3">
      <c r="A150" t="s">
        <v>453</v>
      </c>
      <c r="B150">
        <v>10</v>
      </c>
    </row>
    <row r="151" spans="1:2" x14ac:dyDescent="0.3">
      <c r="A151" t="s">
        <v>454</v>
      </c>
      <c r="B151">
        <v>3</v>
      </c>
    </row>
    <row r="152" spans="1:2" x14ac:dyDescent="0.3">
      <c r="A152" t="s">
        <v>455</v>
      </c>
      <c r="B152">
        <v>4</v>
      </c>
    </row>
    <row r="153" spans="1:2" x14ac:dyDescent="0.3">
      <c r="A153" t="s">
        <v>456</v>
      </c>
      <c r="B153">
        <v>12</v>
      </c>
    </row>
    <row r="154" spans="1:2" x14ac:dyDescent="0.3">
      <c r="A154" t="s">
        <v>457</v>
      </c>
      <c r="B154">
        <v>11</v>
      </c>
    </row>
    <row r="155" spans="1:2" x14ac:dyDescent="0.3">
      <c r="A155" t="s">
        <v>458</v>
      </c>
      <c r="B155">
        <v>5</v>
      </c>
    </row>
    <row r="156" spans="1:2" x14ac:dyDescent="0.3">
      <c r="A156" t="s">
        <v>459</v>
      </c>
      <c r="B156">
        <v>4</v>
      </c>
    </row>
    <row r="157" spans="1:2" x14ac:dyDescent="0.3">
      <c r="A157" t="s">
        <v>460</v>
      </c>
      <c r="B157">
        <v>3</v>
      </c>
    </row>
    <row r="158" spans="1:2" x14ac:dyDescent="0.3">
      <c r="A158" t="s">
        <v>461</v>
      </c>
      <c r="B158">
        <v>9</v>
      </c>
    </row>
    <row r="159" spans="1:2" x14ac:dyDescent="0.3">
      <c r="A159" t="s">
        <v>462</v>
      </c>
      <c r="B159">
        <v>11</v>
      </c>
    </row>
    <row r="160" spans="1:2" x14ac:dyDescent="0.3">
      <c r="A160" t="s">
        <v>463</v>
      </c>
      <c r="B160">
        <v>1</v>
      </c>
    </row>
    <row r="161" spans="1:2" x14ac:dyDescent="0.3">
      <c r="A161" t="s">
        <v>464</v>
      </c>
      <c r="B161">
        <v>4</v>
      </c>
    </row>
    <row r="162" spans="1:2" x14ac:dyDescent="0.3">
      <c r="A162" t="s">
        <v>465</v>
      </c>
      <c r="B162">
        <v>2</v>
      </c>
    </row>
    <row r="163" spans="1:2" x14ac:dyDescent="0.3">
      <c r="A163" t="s">
        <v>466</v>
      </c>
      <c r="B163">
        <v>2</v>
      </c>
    </row>
    <row r="164" spans="1:2" x14ac:dyDescent="0.3">
      <c r="A164" t="s">
        <v>467</v>
      </c>
      <c r="B164">
        <v>2</v>
      </c>
    </row>
    <row r="165" spans="1:2" x14ac:dyDescent="0.3">
      <c r="A165" t="s">
        <v>468</v>
      </c>
      <c r="B165">
        <v>7</v>
      </c>
    </row>
    <row r="166" spans="1:2" x14ac:dyDescent="0.3">
      <c r="A166" t="s">
        <v>469</v>
      </c>
      <c r="B166">
        <v>5</v>
      </c>
    </row>
    <row r="167" spans="1:2" x14ac:dyDescent="0.3">
      <c r="A167" t="s">
        <v>470</v>
      </c>
      <c r="B167">
        <v>10</v>
      </c>
    </row>
    <row r="168" spans="1:2" x14ac:dyDescent="0.3">
      <c r="A168" t="s">
        <v>471</v>
      </c>
      <c r="B168">
        <v>6</v>
      </c>
    </row>
    <row r="169" spans="1:2" x14ac:dyDescent="0.3">
      <c r="A169" t="s">
        <v>472</v>
      </c>
      <c r="B169">
        <v>4</v>
      </c>
    </row>
    <row r="170" spans="1:2" x14ac:dyDescent="0.3">
      <c r="A170" t="s">
        <v>473</v>
      </c>
      <c r="B170">
        <v>11</v>
      </c>
    </row>
    <row r="171" spans="1:2" x14ac:dyDescent="0.3">
      <c r="A171" t="s">
        <v>474</v>
      </c>
      <c r="B171">
        <v>2</v>
      </c>
    </row>
    <row r="172" spans="1:2" x14ac:dyDescent="0.3">
      <c r="A172" t="s">
        <v>475</v>
      </c>
      <c r="B172">
        <v>6</v>
      </c>
    </row>
    <row r="173" spans="1:2" x14ac:dyDescent="0.3">
      <c r="A173" t="s">
        <v>476</v>
      </c>
      <c r="B173">
        <v>6</v>
      </c>
    </row>
    <row r="174" spans="1:2" x14ac:dyDescent="0.3">
      <c r="A174" t="s">
        <v>477</v>
      </c>
      <c r="B174">
        <v>10</v>
      </c>
    </row>
    <row r="175" spans="1:2" x14ac:dyDescent="0.3">
      <c r="A175" t="s">
        <v>478</v>
      </c>
      <c r="B175">
        <v>6</v>
      </c>
    </row>
    <row r="176" spans="1:2" x14ac:dyDescent="0.3">
      <c r="A176" t="s">
        <v>479</v>
      </c>
      <c r="B176">
        <v>6</v>
      </c>
    </row>
    <row r="177" spans="1:2" x14ac:dyDescent="0.3">
      <c r="A177" t="s">
        <v>480</v>
      </c>
      <c r="B177">
        <v>7</v>
      </c>
    </row>
    <row r="178" spans="1:2" x14ac:dyDescent="0.3">
      <c r="A178" t="s">
        <v>481</v>
      </c>
      <c r="B178">
        <v>5</v>
      </c>
    </row>
    <row r="179" spans="1:2" x14ac:dyDescent="0.3">
      <c r="A179" t="s">
        <v>482</v>
      </c>
      <c r="B179">
        <v>10</v>
      </c>
    </row>
    <row r="180" spans="1:2" x14ac:dyDescent="0.3">
      <c r="A180" t="s">
        <v>483</v>
      </c>
      <c r="B180">
        <v>2</v>
      </c>
    </row>
    <row r="181" spans="1:2" x14ac:dyDescent="0.3">
      <c r="A181" t="s">
        <v>484</v>
      </c>
      <c r="B181">
        <v>8</v>
      </c>
    </row>
    <row r="182" spans="1:2" x14ac:dyDescent="0.3">
      <c r="A182" t="s">
        <v>485</v>
      </c>
      <c r="B182">
        <v>3</v>
      </c>
    </row>
    <row r="183" spans="1:2" x14ac:dyDescent="0.3">
      <c r="A183" t="s">
        <v>486</v>
      </c>
      <c r="B183">
        <v>8</v>
      </c>
    </row>
    <row r="184" spans="1:2" x14ac:dyDescent="0.3">
      <c r="A184" t="s">
        <v>487</v>
      </c>
      <c r="B184">
        <v>8</v>
      </c>
    </row>
    <row r="185" spans="1:2" x14ac:dyDescent="0.3">
      <c r="A185" t="s">
        <v>488</v>
      </c>
      <c r="B185">
        <v>3</v>
      </c>
    </row>
    <row r="186" spans="1:2" x14ac:dyDescent="0.3">
      <c r="A186" t="s">
        <v>489</v>
      </c>
      <c r="B186">
        <v>5</v>
      </c>
    </row>
    <row r="187" spans="1:2" x14ac:dyDescent="0.3">
      <c r="A187" t="s">
        <v>490</v>
      </c>
      <c r="B187">
        <v>2</v>
      </c>
    </row>
    <row r="188" spans="1:2" x14ac:dyDescent="0.3">
      <c r="A188" t="s">
        <v>491</v>
      </c>
      <c r="B188">
        <v>8</v>
      </c>
    </row>
    <row r="189" spans="1:2" x14ac:dyDescent="0.3">
      <c r="A189" t="s">
        <v>492</v>
      </c>
      <c r="B189">
        <v>6</v>
      </c>
    </row>
    <row r="190" spans="1:2" x14ac:dyDescent="0.3">
      <c r="A190" t="s">
        <v>493</v>
      </c>
      <c r="B190">
        <v>3</v>
      </c>
    </row>
    <row r="191" spans="1:2" x14ac:dyDescent="0.3">
      <c r="A191" t="s">
        <v>494</v>
      </c>
      <c r="B191">
        <v>10</v>
      </c>
    </row>
    <row r="192" spans="1:2" x14ac:dyDescent="0.3">
      <c r="A192" t="s">
        <v>495</v>
      </c>
      <c r="B192">
        <v>3</v>
      </c>
    </row>
    <row r="193" spans="1:2" x14ac:dyDescent="0.3">
      <c r="A193" t="s">
        <v>496</v>
      </c>
      <c r="B193">
        <v>8</v>
      </c>
    </row>
    <row r="194" spans="1:2" x14ac:dyDescent="0.3">
      <c r="A194" t="s">
        <v>497</v>
      </c>
      <c r="B194">
        <v>2</v>
      </c>
    </row>
    <row r="195" spans="1:2" x14ac:dyDescent="0.3">
      <c r="A195" t="s">
        <v>498</v>
      </c>
      <c r="B195">
        <v>8</v>
      </c>
    </row>
    <row r="196" spans="1:2" x14ac:dyDescent="0.3">
      <c r="A196" t="s">
        <v>499</v>
      </c>
      <c r="B196">
        <v>8</v>
      </c>
    </row>
    <row r="197" spans="1:2" x14ac:dyDescent="0.3">
      <c r="A197" t="s">
        <v>500</v>
      </c>
      <c r="B197">
        <v>6</v>
      </c>
    </row>
    <row r="198" spans="1:2" x14ac:dyDescent="0.3">
      <c r="A198" t="s">
        <v>501</v>
      </c>
      <c r="B198">
        <v>10</v>
      </c>
    </row>
    <row r="199" spans="1:2" x14ac:dyDescent="0.3">
      <c r="A199" t="s">
        <v>502</v>
      </c>
      <c r="B199">
        <v>9</v>
      </c>
    </row>
    <row r="200" spans="1:2" x14ac:dyDescent="0.3">
      <c r="A200" t="s">
        <v>503</v>
      </c>
      <c r="B200">
        <v>8</v>
      </c>
    </row>
    <row r="201" spans="1:2" x14ac:dyDescent="0.3">
      <c r="A201" t="s">
        <v>504</v>
      </c>
      <c r="B201">
        <v>7</v>
      </c>
    </row>
    <row r="202" spans="1:2" x14ac:dyDescent="0.3">
      <c r="A202" t="s">
        <v>505</v>
      </c>
      <c r="B202">
        <v>4</v>
      </c>
    </row>
    <row r="203" spans="1:2" x14ac:dyDescent="0.3">
      <c r="A203" t="s">
        <v>506</v>
      </c>
      <c r="B203">
        <v>11</v>
      </c>
    </row>
    <row r="204" spans="1:2" x14ac:dyDescent="0.3">
      <c r="A204" t="s">
        <v>507</v>
      </c>
      <c r="B204">
        <v>9</v>
      </c>
    </row>
    <row r="205" spans="1:2" x14ac:dyDescent="0.3">
      <c r="A205" t="s">
        <v>508</v>
      </c>
      <c r="B205">
        <v>3</v>
      </c>
    </row>
    <row r="206" spans="1:2" x14ac:dyDescent="0.3">
      <c r="A206" t="s">
        <v>509</v>
      </c>
      <c r="B206">
        <v>12</v>
      </c>
    </row>
    <row r="207" spans="1:2" x14ac:dyDescent="0.3">
      <c r="A207" t="s">
        <v>510</v>
      </c>
      <c r="B207">
        <v>6</v>
      </c>
    </row>
    <row r="208" spans="1:2" x14ac:dyDescent="0.3">
      <c r="A208" t="s">
        <v>511</v>
      </c>
      <c r="B208">
        <v>2</v>
      </c>
    </row>
    <row r="209" spans="1:2" x14ac:dyDescent="0.3">
      <c r="A209" t="s">
        <v>512</v>
      </c>
      <c r="B209">
        <v>2</v>
      </c>
    </row>
    <row r="210" spans="1:2" x14ac:dyDescent="0.3">
      <c r="A210" t="s">
        <v>513</v>
      </c>
      <c r="B210">
        <v>3</v>
      </c>
    </row>
    <row r="211" spans="1:2" x14ac:dyDescent="0.3">
      <c r="A211" t="s">
        <v>514</v>
      </c>
      <c r="B211">
        <v>11</v>
      </c>
    </row>
    <row r="212" spans="1:2" x14ac:dyDescent="0.3">
      <c r="A212" t="s">
        <v>515</v>
      </c>
      <c r="B212">
        <v>1</v>
      </c>
    </row>
    <row r="213" spans="1:2" x14ac:dyDescent="0.3">
      <c r="A213" t="s">
        <v>516</v>
      </c>
      <c r="B213">
        <v>7</v>
      </c>
    </row>
    <row r="214" spans="1:2" x14ac:dyDescent="0.3">
      <c r="A214" t="s">
        <v>517</v>
      </c>
      <c r="B214">
        <v>8</v>
      </c>
    </row>
    <row r="215" spans="1:2" x14ac:dyDescent="0.3">
      <c r="A215" t="s">
        <v>518</v>
      </c>
      <c r="B215">
        <v>3</v>
      </c>
    </row>
    <row r="216" spans="1:2" x14ac:dyDescent="0.3">
      <c r="A216" t="s">
        <v>519</v>
      </c>
      <c r="B216">
        <v>10</v>
      </c>
    </row>
    <row r="217" spans="1:2" x14ac:dyDescent="0.3">
      <c r="A217" t="s">
        <v>520</v>
      </c>
      <c r="B217">
        <v>3</v>
      </c>
    </row>
    <row r="218" spans="1:2" x14ac:dyDescent="0.3">
      <c r="A218" t="s">
        <v>521</v>
      </c>
      <c r="B218">
        <v>7</v>
      </c>
    </row>
    <row r="219" spans="1:2" x14ac:dyDescent="0.3">
      <c r="A219" t="s">
        <v>522</v>
      </c>
      <c r="B219">
        <v>11</v>
      </c>
    </row>
    <row r="220" spans="1:2" x14ac:dyDescent="0.3">
      <c r="A220" t="s">
        <v>523</v>
      </c>
      <c r="B220">
        <v>8</v>
      </c>
    </row>
    <row r="221" spans="1:2" x14ac:dyDescent="0.3">
      <c r="A221" t="s">
        <v>524</v>
      </c>
      <c r="B221">
        <v>8</v>
      </c>
    </row>
    <row r="222" spans="1:2" x14ac:dyDescent="0.3">
      <c r="A222" t="s">
        <v>525</v>
      </c>
      <c r="B222">
        <v>8</v>
      </c>
    </row>
    <row r="223" spans="1:2" x14ac:dyDescent="0.3">
      <c r="A223" t="s">
        <v>526</v>
      </c>
      <c r="B223">
        <v>4</v>
      </c>
    </row>
    <row r="224" spans="1:2" x14ac:dyDescent="0.3">
      <c r="A224" t="s">
        <v>527</v>
      </c>
      <c r="B224">
        <v>11</v>
      </c>
    </row>
    <row r="225" spans="1:2" x14ac:dyDescent="0.3">
      <c r="A225" t="s">
        <v>528</v>
      </c>
      <c r="B225">
        <v>6</v>
      </c>
    </row>
    <row r="226" spans="1:2" x14ac:dyDescent="0.3">
      <c r="A226" t="s">
        <v>529</v>
      </c>
      <c r="B226">
        <v>1</v>
      </c>
    </row>
    <row r="227" spans="1:2" x14ac:dyDescent="0.3">
      <c r="A227" t="s">
        <v>530</v>
      </c>
      <c r="B227">
        <v>6</v>
      </c>
    </row>
    <row r="228" spans="1:2" x14ac:dyDescent="0.3">
      <c r="A228" t="s">
        <v>531</v>
      </c>
      <c r="B228">
        <v>12</v>
      </c>
    </row>
    <row r="229" spans="1:2" x14ac:dyDescent="0.3">
      <c r="A229" t="s">
        <v>532</v>
      </c>
      <c r="B229">
        <v>4</v>
      </c>
    </row>
    <row r="230" spans="1:2" x14ac:dyDescent="0.3">
      <c r="A230" t="s">
        <v>533</v>
      </c>
      <c r="B230">
        <v>7</v>
      </c>
    </row>
    <row r="231" spans="1:2" x14ac:dyDescent="0.3">
      <c r="A231" t="s">
        <v>534</v>
      </c>
      <c r="B231">
        <v>2</v>
      </c>
    </row>
    <row r="232" spans="1:2" x14ac:dyDescent="0.3">
      <c r="A232" t="s">
        <v>535</v>
      </c>
      <c r="B232">
        <v>9</v>
      </c>
    </row>
    <row r="233" spans="1:2" x14ac:dyDescent="0.3">
      <c r="A233" t="s">
        <v>536</v>
      </c>
      <c r="B233">
        <v>10</v>
      </c>
    </row>
    <row r="234" spans="1:2" x14ac:dyDescent="0.3">
      <c r="A234" t="s">
        <v>537</v>
      </c>
      <c r="B234">
        <v>8</v>
      </c>
    </row>
    <row r="235" spans="1:2" x14ac:dyDescent="0.3">
      <c r="A235" t="s">
        <v>538</v>
      </c>
      <c r="B235">
        <v>5</v>
      </c>
    </row>
    <row r="236" spans="1:2" x14ac:dyDescent="0.3">
      <c r="A236" t="s">
        <v>539</v>
      </c>
      <c r="B236">
        <v>7</v>
      </c>
    </row>
    <row r="237" spans="1:2" x14ac:dyDescent="0.3">
      <c r="A237" t="s">
        <v>540</v>
      </c>
      <c r="B237">
        <v>11</v>
      </c>
    </row>
    <row r="238" spans="1:2" x14ac:dyDescent="0.3">
      <c r="A238" t="s">
        <v>541</v>
      </c>
      <c r="B238">
        <v>7</v>
      </c>
    </row>
    <row r="239" spans="1:2" x14ac:dyDescent="0.3">
      <c r="A239" t="s">
        <v>542</v>
      </c>
      <c r="B239">
        <v>7</v>
      </c>
    </row>
    <row r="240" spans="1:2" x14ac:dyDescent="0.3">
      <c r="A240" t="s">
        <v>543</v>
      </c>
      <c r="B240">
        <v>1</v>
      </c>
    </row>
    <row r="241" spans="1:2" x14ac:dyDescent="0.3">
      <c r="A241" t="s">
        <v>544</v>
      </c>
      <c r="B241">
        <v>8</v>
      </c>
    </row>
    <row r="242" spans="1:2" x14ac:dyDescent="0.3">
      <c r="A242" t="s">
        <v>545</v>
      </c>
      <c r="B242">
        <v>12</v>
      </c>
    </row>
    <row r="243" spans="1:2" x14ac:dyDescent="0.3">
      <c r="A243" t="s">
        <v>546</v>
      </c>
      <c r="B243">
        <v>3</v>
      </c>
    </row>
    <row r="244" spans="1:2" x14ac:dyDescent="0.3">
      <c r="A244" t="s">
        <v>547</v>
      </c>
      <c r="B244">
        <v>12</v>
      </c>
    </row>
    <row r="245" spans="1:2" x14ac:dyDescent="0.3">
      <c r="A245" t="s">
        <v>548</v>
      </c>
      <c r="B245">
        <v>10</v>
      </c>
    </row>
    <row r="246" spans="1:2" x14ac:dyDescent="0.3">
      <c r="A246" t="s">
        <v>549</v>
      </c>
      <c r="B246">
        <v>7</v>
      </c>
    </row>
    <row r="247" spans="1:2" x14ac:dyDescent="0.3">
      <c r="A247" t="s">
        <v>550</v>
      </c>
      <c r="B247">
        <v>1</v>
      </c>
    </row>
    <row r="248" spans="1:2" x14ac:dyDescent="0.3">
      <c r="A248" t="s">
        <v>551</v>
      </c>
      <c r="B248">
        <v>8</v>
      </c>
    </row>
    <row r="249" spans="1:2" x14ac:dyDescent="0.3">
      <c r="A249" t="s">
        <v>552</v>
      </c>
      <c r="B249">
        <v>10</v>
      </c>
    </row>
    <row r="250" spans="1:2" x14ac:dyDescent="0.3">
      <c r="A250" t="s">
        <v>553</v>
      </c>
      <c r="B250">
        <v>8</v>
      </c>
    </row>
    <row r="251" spans="1:2" x14ac:dyDescent="0.3">
      <c r="A251" t="s">
        <v>554</v>
      </c>
      <c r="B251">
        <v>10</v>
      </c>
    </row>
    <row r="252" spans="1:2" x14ac:dyDescent="0.3">
      <c r="A252" t="s">
        <v>555</v>
      </c>
      <c r="B252">
        <v>6</v>
      </c>
    </row>
    <row r="253" spans="1:2" x14ac:dyDescent="0.3">
      <c r="A253" t="s">
        <v>556</v>
      </c>
      <c r="B253">
        <v>11</v>
      </c>
    </row>
    <row r="254" spans="1:2" x14ac:dyDescent="0.3">
      <c r="A254" t="s">
        <v>557</v>
      </c>
      <c r="B254">
        <v>9</v>
      </c>
    </row>
    <row r="255" spans="1:2" x14ac:dyDescent="0.3">
      <c r="A255" t="s">
        <v>558</v>
      </c>
      <c r="B255">
        <v>3</v>
      </c>
    </row>
    <row r="256" spans="1:2" x14ac:dyDescent="0.3">
      <c r="A256" t="s">
        <v>559</v>
      </c>
      <c r="B256">
        <v>6</v>
      </c>
    </row>
    <row r="257" spans="1:2" x14ac:dyDescent="0.3">
      <c r="A257" t="s">
        <v>560</v>
      </c>
      <c r="B257">
        <v>1</v>
      </c>
    </row>
    <row r="258" spans="1:2" x14ac:dyDescent="0.3">
      <c r="A258" t="s">
        <v>561</v>
      </c>
      <c r="B258">
        <v>8</v>
      </c>
    </row>
    <row r="259" spans="1:2" x14ac:dyDescent="0.3">
      <c r="A259" t="s">
        <v>562</v>
      </c>
      <c r="B259">
        <v>10</v>
      </c>
    </row>
    <row r="260" spans="1:2" x14ac:dyDescent="0.3">
      <c r="A260" t="s">
        <v>563</v>
      </c>
      <c r="B260">
        <v>11</v>
      </c>
    </row>
    <row r="261" spans="1:2" x14ac:dyDescent="0.3">
      <c r="A261" t="s">
        <v>564</v>
      </c>
      <c r="B261">
        <v>12</v>
      </c>
    </row>
    <row r="262" spans="1:2" x14ac:dyDescent="0.3">
      <c r="A262" t="s">
        <v>565</v>
      </c>
      <c r="B262">
        <v>3</v>
      </c>
    </row>
    <row r="263" spans="1:2" x14ac:dyDescent="0.3">
      <c r="A263" t="s">
        <v>566</v>
      </c>
      <c r="B263">
        <v>3</v>
      </c>
    </row>
    <row r="264" spans="1:2" x14ac:dyDescent="0.3">
      <c r="A264" t="s">
        <v>567</v>
      </c>
      <c r="B264">
        <v>9</v>
      </c>
    </row>
    <row r="265" spans="1:2" x14ac:dyDescent="0.3">
      <c r="A265" t="s">
        <v>568</v>
      </c>
      <c r="B265">
        <v>12</v>
      </c>
    </row>
    <row r="266" spans="1:2" x14ac:dyDescent="0.3">
      <c r="A266" t="s">
        <v>569</v>
      </c>
      <c r="B266">
        <v>6</v>
      </c>
    </row>
    <row r="267" spans="1:2" x14ac:dyDescent="0.3">
      <c r="A267" t="s">
        <v>570</v>
      </c>
      <c r="B267">
        <v>10</v>
      </c>
    </row>
    <row r="268" spans="1:2" x14ac:dyDescent="0.3">
      <c r="A268" t="s">
        <v>571</v>
      </c>
      <c r="B268">
        <v>5</v>
      </c>
    </row>
    <row r="269" spans="1:2" x14ac:dyDescent="0.3">
      <c r="A269" t="s">
        <v>572</v>
      </c>
      <c r="B269">
        <v>6</v>
      </c>
    </row>
    <row r="270" spans="1:2" x14ac:dyDescent="0.3">
      <c r="A270" t="s">
        <v>573</v>
      </c>
      <c r="B270">
        <v>10</v>
      </c>
    </row>
    <row r="271" spans="1:2" x14ac:dyDescent="0.3">
      <c r="A271" t="s">
        <v>574</v>
      </c>
      <c r="B271">
        <v>7</v>
      </c>
    </row>
    <row r="272" spans="1:2" x14ac:dyDescent="0.3">
      <c r="A272" t="s">
        <v>575</v>
      </c>
      <c r="B272">
        <v>3</v>
      </c>
    </row>
    <row r="273" spans="1:2" x14ac:dyDescent="0.3">
      <c r="A273" t="s">
        <v>576</v>
      </c>
      <c r="B273">
        <v>10</v>
      </c>
    </row>
    <row r="274" spans="1:2" x14ac:dyDescent="0.3">
      <c r="A274" t="s">
        <v>577</v>
      </c>
      <c r="B274">
        <v>6</v>
      </c>
    </row>
    <row r="275" spans="1:2" x14ac:dyDescent="0.3">
      <c r="A275" t="s">
        <v>578</v>
      </c>
      <c r="B275">
        <v>5</v>
      </c>
    </row>
    <row r="276" spans="1:2" x14ac:dyDescent="0.3">
      <c r="A276" t="s">
        <v>579</v>
      </c>
      <c r="B276">
        <v>4</v>
      </c>
    </row>
    <row r="277" spans="1:2" x14ac:dyDescent="0.3">
      <c r="A277" t="s">
        <v>580</v>
      </c>
      <c r="B277">
        <v>6</v>
      </c>
    </row>
    <row r="278" spans="1:2" x14ac:dyDescent="0.3">
      <c r="A278" t="s">
        <v>581</v>
      </c>
      <c r="B278">
        <v>4</v>
      </c>
    </row>
    <row r="279" spans="1:2" x14ac:dyDescent="0.3">
      <c r="A279" t="s">
        <v>582</v>
      </c>
      <c r="B279">
        <v>4</v>
      </c>
    </row>
    <row r="280" spans="1:2" x14ac:dyDescent="0.3">
      <c r="A280" t="s">
        <v>583</v>
      </c>
      <c r="B280">
        <v>5</v>
      </c>
    </row>
    <row r="281" spans="1:2" x14ac:dyDescent="0.3">
      <c r="A281" t="s">
        <v>584</v>
      </c>
      <c r="B281">
        <v>8</v>
      </c>
    </row>
    <row r="282" spans="1:2" x14ac:dyDescent="0.3">
      <c r="A282" t="s">
        <v>585</v>
      </c>
      <c r="B282">
        <v>1</v>
      </c>
    </row>
    <row r="283" spans="1:2" x14ac:dyDescent="0.3">
      <c r="A283" t="s">
        <v>586</v>
      </c>
      <c r="B283">
        <v>10</v>
      </c>
    </row>
    <row r="284" spans="1:2" x14ac:dyDescent="0.3">
      <c r="A284" t="s">
        <v>587</v>
      </c>
      <c r="B284">
        <v>1</v>
      </c>
    </row>
    <row r="285" spans="1:2" x14ac:dyDescent="0.3">
      <c r="A285" t="s">
        <v>588</v>
      </c>
      <c r="B285">
        <v>4</v>
      </c>
    </row>
    <row r="286" spans="1:2" x14ac:dyDescent="0.3">
      <c r="A286" t="s">
        <v>589</v>
      </c>
      <c r="B286">
        <v>3</v>
      </c>
    </row>
    <row r="287" spans="1:2" x14ac:dyDescent="0.3">
      <c r="A287" t="s">
        <v>590</v>
      </c>
      <c r="B287">
        <v>4</v>
      </c>
    </row>
    <row r="288" spans="1:2" x14ac:dyDescent="0.3">
      <c r="A288" t="s">
        <v>591</v>
      </c>
      <c r="B288">
        <v>7</v>
      </c>
    </row>
    <row r="289" spans="1:2" x14ac:dyDescent="0.3">
      <c r="A289" t="s">
        <v>592</v>
      </c>
      <c r="B289">
        <v>12</v>
      </c>
    </row>
    <row r="290" spans="1:2" x14ac:dyDescent="0.3">
      <c r="A290" t="s">
        <v>593</v>
      </c>
      <c r="B290">
        <v>2</v>
      </c>
    </row>
    <row r="291" spans="1:2" x14ac:dyDescent="0.3">
      <c r="A291" t="s">
        <v>594</v>
      </c>
      <c r="B291">
        <v>12</v>
      </c>
    </row>
    <row r="292" spans="1:2" x14ac:dyDescent="0.3">
      <c r="A292" t="s">
        <v>595</v>
      </c>
      <c r="B292">
        <v>6</v>
      </c>
    </row>
    <row r="293" spans="1:2" x14ac:dyDescent="0.3">
      <c r="A293" t="s">
        <v>596</v>
      </c>
      <c r="B293">
        <v>11</v>
      </c>
    </row>
    <row r="294" spans="1:2" x14ac:dyDescent="0.3">
      <c r="A294" t="s">
        <v>597</v>
      </c>
      <c r="B294">
        <v>5</v>
      </c>
    </row>
    <row r="295" spans="1:2" x14ac:dyDescent="0.3">
      <c r="A295" t="s">
        <v>598</v>
      </c>
      <c r="B295">
        <v>2</v>
      </c>
    </row>
    <row r="296" spans="1:2" x14ac:dyDescent="0.3">
      <c r="A296" t="s">
        <v>599</v>
      </c>
      <c r="B296">
        <v>2</v>
      </c>
    </row>
    <row r="297" spans="1:2" x14ac:dyDescent="0.3">
      <c r="A297" t="s">
        <v>600</v>
      </c>
      <c r="B297">
        <v>4</v>
      </c>
    </row>
    <row r="298" spans="1:2" x14ac:dyDescent="0.3">
      <c r="A298" t="s">
        <v>601</v>
      </c>
      <c r="B298">
        <v>8</v>
      </c>
    </row>
    <row r="299" spans="1:2" x14ac:dyDescent="0.3">
      <c r="A299" t="s">
        <v>602</v>
      </c>
      <c r="B299">
        <v>3</v>
      </c>
    </row>
    <row r="300" spans="1:2" x14ac:dyDescent="0.3">
      <c r="A300" t="s">
        <v>603</v>
      </c>
      <c r="B300">
        <v>9</v>
      </c>
    </row>
    <row r="301" spans="1:2" x14ac:dyDescent="0.3">
      <c r="A301" t="s">
        <v>604</v>
      </c>
      <c r="B301">
        <v>5</v>
      </c>
    </row>
    <row r="302" spans="1:2" x14ac:dyDescent="0.3">
      <c r="A302" t="s">
        <v>605</v>
      </c>
      <c r="B302">
        <v>8</v>
      </c>
    </row>
    <row r="303" spans="1:2" x14ac:dyDescent="0.3">
      <c r="A303" t="s">
        <v>606</v>
      </c>
      <c r="B303">
        <v>2</v>
      </c>
    </row>
    <row r="304" spans="1:2" x14ac:dyDescent="0.3">
      <c r="A304" t="s">
        <v>607</v>
      </c>
      <c r="B304">
        <v>6</v>
      </c>
    </row>
    <row r="305" spans="1:2" x14ac:dyDescent="0.3">
      <c r="A305" t="s">
        <v>608</v>
      </c>
      <c r="B305">
        <v>3</v>
      </c>
    </row>
    <row r="306" spans="1:2" x14ac:dyDescent="0.3">
      <c r="A306" t="s">
        <v>609</v>
      </c>
      <c r="B306">
        <v>9</v>
      </c>
    </row>
    <row r="307" spans="1:2" x14ac:dyDescent="0.3">
      <c r="A307" t="s">
        <v>610</v>
      </c>
      <c r="B307">
        <v>12</v>
      </c>
    </row>
    <row r="308" spans="1:2" x14ac:dyDescent="0.3">
      <c r="A308" t="s">
        <v>611</v>
      </c>
      <c r="B308">
        <v>7</v>
      </c>
    </row>
    <row r="309" spans="1:2" x14ac:dyDescent="0.3">
      <c r="A309" t="s">
        <v>612</v>
      </c>
      <c r="B309">
        <v>10</v>
      </c>
    </row>
    <row r="310" spans="1:2" x14ac:dyDescent="0.3">
      <c r="A310" t="s">
        <v>613</v>
      </c>
      <c r="B310">
        <v>9</v>
      </c>
    </row>
    <row r="311" spans="1:2" x14ac:dyDescent="0.3">
      <c r="A311" t="s">
        <v>614</v>
      </c>
      <c r="B311">
        <v>10</v>
      </c>
    </row>
    <row r="312" spans="1:2" x14ac:dyDescent="0.3">
      <c r="A312" t="s">
        <v>615</v>
      </c>
      <c r="B312">
        <v>8</v>
      </c>
    </row>
    <row r="313" spans="1:2" x14ac:dyDescent="0.3">
      <c r="A313" t="s">
        <v>616</v>
      </c>
      <c r="B313">
        <v>9</v>
      </c>
    </row>
    <row r="314" spans="1:2" x14ac:dyDescent="0.3">
      <c r="A314" t="s">
        <v>617</v>
      </c>
      <c r="B314">
        <v>6</v>
      </c>
    </row>
    <row r="315" spans="1:2" x14ac:dyDescent="0.3">
      <c r="A315" t="s">
        <v>618</v>
      </c>
      <c r="B315">
        <v>4</v>
      </c>
    </row>
    <row r="316" spans="1:2" x14ac:dyDescent="0.3">
      <c r="A316" t="s">
        <v>619</v>
      </c>
      <c r="B316">
        <v>2</v>
      </c>
    </row>
    <row r="317" spans="1:2" x14ac:dyDescent="0.3">
      <c r="A317" t="s">
        <v>620</v>
      </c>
      <c r="B317">
        <v>5</v>
      </c>
    </row>
    <row r="318" spans="1:2" x14ac:dyDescent="0.3">
      <c r="A318" t="s">
        <v>621</v>
      </c>
      <c r="B318">
        <v>7</v>
      </c>
    </row>
    <row r="319" spans="1:2" x14ac:dyDescent="0.3">
      <c r="A319" t="s">
        <v>622</v>
      </c>
      <c r="B319">
        <v>1</v>
      </c>
    </row>
    <row r="320" spans="1:2" x14ac:dyDescent="0.3">
      <c r="A320" t="s">
        <v>623</v>
      </c>
      <c r="B320">
        <v>1</v>
      </c>
    </row>
    <row r="321" spans="1:2" x14ac:dyDescent="0.3">
      <c r="A321" t="s">
        <v>624</v>
      </c>
      <c r="B321">
        <v>4</v>
      </c>
    </row>
    <row r="322" spans="1:2" x14ac:dyDescent="0.3">
      <c r="A322" t="s">
        <v>625</v>
      </c>
      <c r="B322">
        <v>11</v>
      </c>
    </row>
    <row r="323" spans="1:2" x14ac:dyDescent="0.3">
      <c r="A323" t="s">
        <v>626</v>
      </c>
      <c r="B323">
        <v>9</v>
      </c>
    </row>
    <row r="324" spans="1:2" x14ac:dyDescent="0.3">
      <c r="A324" t="s">
        <v>627</v>
      </c>
      <c r="B324">
        <v>12</v>
      </c>
    </row>
    <row r="325" spans="1:2" x14ac:dyDescent="0.3">
      <c r="A325" t="s">
        <v>628</v>
      </c>
      <c r="B325">
        <v>1</v>
      </c>
    </row>
    <row r="326" spans="1:2" x14ac:dyDescent="0.3">
      <c r="A326" t="s">
        <v>629</v>
      </c>
      <c r="B326">
        <v>5</v>
      </c>
    </row>
    <row r="327" spans="1:2" x14ac:dyDescent="0.3">
      <c r="A327" t="s">
        <v>630</v>
      </c>
      <c r="B327">
        <v>2</v>
      </c>
    </row>
    <row r="328" spans="1:2" x14ac:dyDescent="0.3">
      <c r="A328" t="s">
        <v>631</v>
      </c>
      <c r="B328">
        <v>5</v>
      </c>
    </row>
    <row r="329" spans="1:2" x14ac:dyDescent="0.3">
      <c r="A329" t="s">
        <v>632</v>
      </c>
      <c r="B329">
        <v>10</v>
      </c>
    </row>
    <row r="330" spans="1:2" x14ac:dyDescent="0.3">
      <c r="A330" t="s">
        <v>633</v>
      </c>
      <c r="B330">
        <v>9</v>
      </c>
    </row>
    <row r="331" spans="1:2" x14ac:dyDescent="0.3">
      <c r="A331" t="s">
        <v>634</v>
      </c>
      <c r="B331">
        <v>9</v>
      </c>
    </row>
    <row r="332" spans="1:2" x14ac:dyDescent="0.3">
      <c r="A332" t="s">
        <v>635</v>
      </c>
      <c r="B332">
        <v>10</v>
      </c>
    </row>
    <row r="333" spans="1:2" x14ac:dyDescent="0.3">
      <c r="A333" t="s">
        <v>636</v>
      </c>
      <c r="B333">
        <v>12</v>
      </c>
    </row>
    <row r="334" spans="1:2" x14ac:dyDescent="0.3">
      <c r="A334" t="s">
        <v>637</v>
      </c>
      <c r="B334">
        <v>6</v>
      </c>
    </row>
    <row r="335" spans="1:2" x14ac:dyDescent="0.3">
      <c r="A335" t="s">
        <v>638</v>
      </c>
      <c r="B335">
        <v>10</v>
      </c>
    </row>
    <row r="336" spans="1:2" x14ac:dyDescent="0.3">
      <c r="A336" t="s">
        <v>639</v>
      </c>
      <c r="B336">
        <v>4</v>
      </c>
    </row>
    <row r="337" spans="1:2" x14ac:dyDescent="0.3">
      <c r="A337" t="s">
        <v>640</v>
      </c>
      <c r="B337">
        <v>10</v>
      </c>
    </row>
    <row r="338" spans="1:2" x14ac:dyDescent="0.3">
      <c r="A338" t="s">
        <v>641</v>
      </c>
      <c r="B338">
        <v>1</v>
      </c>
    </row>
    <row r="339" spans="1:2" x14ac:dyDescent="0.3">
      <c r="A339" t="s">
        <v>642</v>
      </c>
      <c r="B339">
        <v>11</v>
      </c>
    </row>
    <row r="340" spans="1:2" x14ac:dyDescent="0.3">
      <c r="A340" t="s">
        <v>643</v>
      </c>
      <c r="B340">
        <v>3</v>
      </c>
    </row>
    <row r="341" spans="1:2" x14ac:dyDescent="0.3">
      <c r="A341" t="s">
        <v>644</v>
      </c>
      <c r="B341">
        <v>12</v>
      </c>
    </row>
    <row r="342" spans="1:2" x14ac:dyDescent="0.3">
      <c r="A342" t="s">
        <v>645</v>
      </c>
      <c r="B342">
        <v>10</v>
      </c>
    </row>
    <row r="343" spans="1:2" x14ac:dyDescent="0.3">
      <c r="A343" t="s">
        <v>646</v>
      </c>
      <c r="B343">
        <v>5</v>
      </c>
    </row>
    <row r="344" spans="1:2" x14ac:dyDescent="0.3">
      <c r="A344" t="s">
        <v>647</v>
      </c>
      <c r="B344">
        <v>1</v>
      </c>
    </row>
    <row r="345" spans="1:2" x14ac:dyDescent="0.3">
      <c r="A345" t="s">
        <v>648</v>
      </c>
      <c r="B345">
        <v>3</v>
      </c>
    </row>
    <row r="346" spans="1:2" x14ac:dyDescent="0.3">
      <c r="A346" t="s">
        <v>649</v>
      </c>
      <c r="B346">
        <v>7</v>
      </c>
    </row>
    <row r="347" spans="1:2" x14ac:dyDescent="0.3">
      <c r="A347" t="s">
        <v>650</v>
      </c>
      <c r="B347">
        <v>6</v>
      </c>
    </row>
    <row r="348" spans="1:2" x14ac:dyDescent="0.3">
      <c r="A348" t="s">
        <v>651</v>
      </c>
      <c r="B348">
        <v>4</v>
      </c>
    </row>
    <row r="349" spans="1:2" x14ac:dyDescent="0.3">
      <c r="A349" t="s">
        <v>652</v>
      </c>
      <c r="B349">
        <v>12</v>
      </c>
    </row>
    <row r="350" spans="1:2" x14ac:dyDescent="0.3">
      <c r="A350" t="s">
        <v>653</v>
      </c>
      <c r="B350">
        <v>11</v>
      </c>
    </row>
    <row r="351" spans="1:2" x14ac:dyDescent="0.3">
      <c r="A351" t="s">
        <v>654</v>
      </c>
      <c r="B351">
        <v>8</v>
      </c>
    </row>
    <row r="352" spans="1:2" x14ac:dyDescent="0.3">
      <c r="A352" t="s">
        <v>655</v>
      </c>
      <c r="B352">
        <v>12</v>
      </c>
    </row>
    <row r="353" spans="1:2" x14ac:dyDescent="0.3">
      <c r="A353" t="s">
        <v>656</v>
      </c>
      <c r="B353">
        <v>7</v>
      </c>
    </row>
    <row r="354" spans="1:2" x14ac:dyDescent="0.3">
      <c r="A354" t="s">
        <v>657</v>
      </c>
      <c r="B354">
        <v>7</v>
      </c>
    </row>
    <row r="355" spans="1:2" x14ac:dyDescent="0.3">
      <c r="A355" t="s">
        <v>658</v>
      </c>
      <c r="B355">
        <v>2</v>
      </c>
    </row>
    <row r="356" spans="1:2" x14ac:dyDescent="0.3">
      <c r="A356" t="s">
        <v>659</v>
      </c>
      <c r="B356">
        <v>7</v>
      </c>
    </row>
    <row r="357" spans="1:2" x14ac:dyDescent="0.3">
      <c r="A357" t="s">
        <v>660</v>
      </c>
      <c r="B357">
        <v>3</v>
      </c>
    </row>
    <row r="358" spans="1:2" x14ac:dyDescent="0.3">
      <c r="A358" t="s">
        <v>661</v>
      </c>
      <c r="B358">
        <v>6</v>
      </c>
    </row>
    <row r="359" spans="1:2" x14ac:dyDescent="0.3">
      <c r="A359" t="s">
        <v>662</v>
      </c>
      <c r="B359">
        <v>12</v>
      </c>
    </row>
    <row r="360" spans="1:2" x14ac:dyDescent="0.3">
      <c r="A360" t="s">
        <v>663</v>
      </c>
      <c r="B360">
        <v>5</v>
      </c>
    </row>
    <row r="361" spans="1:2" x14ac:dyDescent="0.3">
      <c r="A361" t="s">
        <v>664</v>
      </c>
      <c r="B361">
        <v>9</v>
      </c>
    </row>
    <row r="362" spans="1:2" x14ac:dyDescent="0.3">
      <c r="A362" t="s">
        <v>665</v>
      </c>
      <c r="B362">
        <v>11</v>
      </c>
    </row>
    <row r="363" spans="1:2" x14ac:dyDescent="0.3">
      <c r="A363" t="s">
        <v>666</v>
      </c>
      <c r="B363">
        <v>5</v>
      </c>
    </row>
    <row r="364" spans="1:2" x14ac:dyDescent="0.3">
      <c r="A364" t="s">
        <v>667</v>
      </c>
      <c r="B364">
        <v>3</v>
      </c>
    </row>
    <row r="365" spans="1:2" x14ac:dyDescent="0.3">
      <c r="A365" t="s">
        <v>668</v>
      </c>
      <c r="B365">
        <v>10</v>
      </c>
    </row>
    <row r="366" spans="1:2" x14ac:dyDescent="0.3">
      <c r="A366" t="s">
        <v>669</v>
      </c>
      <c r="B366">
        <v>2</v>
      </c>
    </row>
    <row r="367" spans="1:2" x14ac:dyDescent="0.3">
      <c r="A367" t="s">
        <v>670</v>
      </c>
      <c r="B367">
        <v>4</v>
      </c>
    </row>
    <row r="368" spans="1:2" x14ac:dyDescent="0.3">
      <c r="A368" t="s">
        <v>671</v>
      </c>
      <c r="B368">
        <v>8</v>
      </c>
    </row>
    <row r="369" spans="1:11" x14ac:dyDescent="0.3">
      <c r="A369" t="s">
        <v>672</v>
      </c>
      <c r="B369">
        <v>12</v>
      </c>
    </row>
    <row r="371" spans="1:11" x14ac:dyDescent="0.3">
      <c r="A371" s="211" t="s">
        <v>282</v>
      </c>
      <c r="B371" s="211"/>
      <c r="C371" s="211"/>
      <c r="D371" s="211"/>
      <c r="E371" s="211"/>
    </row>
    <row r="372" spans="1:11" x14ac:dyDescent="0.3">
      <c r="G372" t="s">
        <v>1063</v>
      </c>
      <c r="I372" t="s">
        <v>1096</v>
      </c>
    </row>
    <row r="374" spans="1:11" x14ac:dyDescent="0.3">
      <c r="C374" t="s">
        <v>1093</v>
      </c>
      <c r="J374" t="s">
        <v>1094</v>
      </c>
      <c r="K374" t="s">
        <v>1095</v>
      </c>
    </row>
    <row r="375" spans="1:11" x14ac:dyDescent="0.3">
      <c r="G375">
        <v>0</v>
      </c>
      <c r="H375">
        <v>1</v>
      </c>
      <c r="J375">
        <v>0.5</v>
      </c>
      <c r="K375">
        <v>0.5</v>
      </c>
    </row>
    <row r="376" spans="1:11" x14ac:dyDescent="0.3">
      <c r="B376" s="212" t="s">
        <v>1057</v>
      </c>
      <c r="C376">
        <v>0</v>
      </c>
      <c r="D376">
        <f>BINOMDIST(C376,10,0.5,FALSE)</f>
        <v>9.765625E-4</v>
      </c>
      <c r="E376" s="196">
        <f>D376</f>
        <v>9.765625E-4</v>
      </c>
    </row>
    <row r="377" spans="1:11" x14ac:dyDescent="0.3">
      <c r="B377" s="212"/>
      <c r="C377">
        <v>1</v>
      </c>
      <c r="D377">
        <f t="shared" ref="D377:D386" si="1">BINOMDIST(C377,10,0.5,FALSE)</f>
        <v>9.7656250000000017E-3</v>
      </c>
      <c r="E377" s="196">
        <f>E376+D377</f>
        <v>1.0742187500000002E-2</v>
      </c>
    </row>
    <row r="378" spans="1:11" x14ac:dyDescent="0.3">
      <c r="B378" s="212"/>
      <c r="C378">
        <v>2</v>
      </c>
      <c r="D378">
        <f t="shared" si="1"/>
        <v>4.3945312499999972E-2</v>
      </c>
      <c r="E378" s="196">
        <f>E377+D378</f>
        <v>5.4687499999999972E-2</v>
      </c>
    </row>
    <row r="379" spans="1:11" x14ac:dyDescent="0.3">
      <c r="B379" s="212"/>
      <c r="C379">
        <v>3</v>
      </c>
      <c r="D379">
        <f t="shared" si="1"/>
        <v>0.11718750000000003</v>
      </c>
      <c r="E379" s="196">
        <f t="shared" ref="E379:E385" si="2">E378+D379</f>
        <v>0.171875</v>
      </c>
      <c r="H379" t="s">
        <v>1097</v>
      </c>
    </row>
    <row r="380" spans="1:11" x14ac:dyDescent="0.3">
      <c r="B380" s="212"/>
      <c r="C380">
        <v>4</v>
      </c>
      <c r="D380">
        <f t="shared" si="1"/>
        <v>0.20507812500000006</v>
      </c>
      <c r="E380" s="196">
        <f t="shared" si="2"/>
        <v>0.37695312500000006</v>
      </c>
    </row>
    <row r="381" spans="1:11" x14ac:dyDescent="0.3">
      <c r="B381" s="212"/>
      <c r="C381">
        <v>5</v>
      </c>
      <c r="D381">
        <f t="shared" si="1"/>
        <v>0.24609375000000008</v>
      </c>
      <c r="E381" s="196">
        <f t="shared" si="2"/>
        <v>0.62304687500000011</v>
      </c>
      <c r="H381" t="s">
        <v>1098</v>
      </c>
    </row>
    <row r="382" spans="1:11" x14ac:dyDescent="0.3">
      <c r="B382" s="212"/>
      <c r="C382">
        <v>6</v>
      </c>
      <c r="D382">
        <f t="shared" si="1"/>
        <v>0.20507812500000006</v>
      </c>
      <c r="E382" s="196">
        <f t="shared" si="2"/>
        <v>0.82812500000000022</v>
      </c>
    </row>
    <row r="383" spans="1:11" x14ac:dyDescent="0.3">
      <c r="B383" s="212"/>
      <c r="C383">
        <v>7</v>
      </c>
      <c r="D383">
        <f t="shared" si="1"/>
        <v>0.11718750000000003</v>
      </c>
      <c r="E383" s="196">
        <f t="shared" si="2"/>
        <v>0.94531250000000022</v>
      </c>
      <c r="H383" t="s">
        <v>1099</v>
      </c>
    </row>
    <row r="384" spans="1:11" x14ac:dyDescent="0.3">
      <c r="B384" s="212"/>
      <c r="C384">
        <v>8</v>
      </c>
      <c r="D384">
        <f t="shared" si="1"/>
        <v>4.3945312499999986E-2</v>
      </c>
      <c r="E384" s="196">
        <f t="shared" si="2"/>
        <v>0.98925781250000022</v>
      </c>
    </row>
    <row r="385" spans="2:11" x14ac:dyDescent="0.3">
      <c r="B385" s="212"/>
      <c r="C385">
        <v>9</v>
      </c>
      <c r="D385">
        <f>BINOMDIST(C385,10,0.5,FALSE)</f>
        <v>9.7656250000000017E-3</v>
      </c>
      <c r="E385" s="196">
        <f t="shared" si="2"/>
        <v>0.99902343750000022</v>
      </c>
    </row>
    <row r="386" spans="2:11" x14ac:dyDescent="0.3">
      <c r="B386" s="212"/>
      <c r="C386">
        <v>10</v>
      </c>
      <c r="D386">
        <f t="shared" si="1"/>
        <v>9.765625E-4</v>
      </c>
      <c r="E386" s="196">
        <f>E385+D386</f>
        <v>1.0000000000000002</v>
      </c>
      <c r="H386" t="s">
        <v>1100</v>
      </c>
    </row>
    <row r="387" spans="2:11" x14ac:dyDescent="0.3">
      <c r="H387">
        <v>1</v>
      </c>
      <c r="I387">
        <f t="shared" ref="I387:I392" si="3">1/6</f>
        <v>0.16666666666666666</v>
      </c>
      <c r="K387">
        <f>(1+1+1+1+1+1)/6</f>
        <v>1</v>
      </c>
    </row>
    <row r="388" spans="2:11" x14ac:dyDescent="0.3">
      <c r="D388">
        <v>1</v>
      </c>
      <c r="H388">
        <v>2</v>
      </c>
      <c r="I388">
        <f t="shared" si="3"/>
        <v>0.16666666666666666</v>
      </c>
    </row>
    <row r="389" spans="2:11" x14ac:dyDescent="0.3">
      <c r="H389">
        <v>3</v>
      </c>
      <c r="I389">
        <f t="shared" si="3"/>
        <v>0.16666666666666666</v>
      </c>
    </row>
    <row r="390" spans="2:11" x14ac:dyDescent="0.3">
      <c r="E390">
        <f>BINOMDIST(5,10,0.5,TRUE)</f>
        <v>0.623046875</v>
      </c>
      <c r="H390">
        <v>4</v>
      </c>
      <c r="I390">
        <f t="shared" si="3"/>
        <v>0.16666666666666666</v>
      </c>
    </row>
    <row r="391" spans="2:11" x14ac:dyDescent="0.3">
      <c r="H391">
        <v>5</v>
      </c>
      <c r="I391">
        <f t="shared" si="3"/>
        <v>0.16666666666666666</v>
      </c>
    </row>
    <row r="392" spans="2:11" x14ac:dyDescent="0.3">
      <c r="D392">
        <f>1-BINOMDIST(7,10,0.5,TRUE)</f>
        <v>5.46875E-2</v>
      </c>
      <c r="H392">
        <v>6</v>
      </c>
      <c r="I392">
        <f t="shared" si="3"/>
        <v>0.16666666666666666</v>
      </c>
    </row>
    <row r="394" spans="2:11" x14ac:dyDescent="0.3">
      <c r="I394">
        <f>SUM(I387:I392)</f>
        <v>0.99999999999999989</v>
      </c>
    </row>
  </sheetData>
  <mergeCells count="2">
    <mergeCell ref="B376:B386"/>
    <mergeCell ref="A371:E371"/>
  </mergeCell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30"/>
  <sheetViews>
    <sheetView topLeftCell="E38" zoomScale="106" zoomScaleNormal="106" workbookViewId="0">
      <selection activeCell="M33" sqref="M33"/>
    </sheetView>
  </sheetViews>
  <sheetFormatPr defaultRowHeight="14.4" x14ac:dyDescent="0.3"/>
  <sheetData>
    <row r="1" spans="1:16" ht="19.8" x14ac:dyDescent="0.4">
      <c r="A1" s="1">
        <v>0</v>
      </c>
      <c r="B1" s="1">
        <v>1</v>
      </c>
      <c r="C1" s="1">
        <v>2</v>
      </c>
      <c r="D1" s="1">
        <v>6</v>
      </c>
      <c r="E1" s="1">
        <v>10</v>
      </c>
      <c r="F1" s="1">
        <v>16</v>
      </c>
      <c r="G1" s="1">
        <v>22</v>
      </c>
      <c r="H1" s="1">
        <v>28</v>
      </c>
      <c r="I1" s="1">
        <v>33</v>
      </c>
      <c r="J1" s="1">
        <v>43</v>
      </c>
      <c r="K1" s="1">
        <v>57</v>
      </c>
      <c r="L1" s="1">
        <v>68</v>
      </c>
      <c r="M1" s="1">
        <v>82</v>
      </c>
      <c r="N1" s="1">
        <v>102</v>
      </c>
      <c r="O1" s="1">
        <v>115</v>
      </c>
    </row>
    <row r="2" spans="1:16" ht="19.8" x14ac:dyDescent="0.4">
      <c r="A2" s="1">
        <v>0</v>
      </c>
      <c r="B2" s="1">
        <v>1</v>
      </c>
      <c r="C2" s="1">
        <v>2</v>
      </c>
      <c r="D2" s="1">
        <v>7</v>
      </c>
      <c r="E2" s="1">
        <v>10</v>
      </c>
      <c r="F2" s="1">
        <v>16</v>
      </c>
      <c r="G2" s="1">
        <v>22</v>
      </c>
      <c r="H2" s="1">
        <v>28</v>
      </c>
      <c r="I2" s="1">
        <v>34</v>
      </c>
      <c r="J2" s="1">
        <v>44</v>
      </c>
      <c r="K2" s="1">
        <v>58</v>
      </c>
      <c r="L2" s="1">
        <v>68</v>
      </c>
      <c r="M2" s="1">
        <v>82</v>
      </c>
      <c r="N2" s="1">
        <v>102</v>
      </c>
      <c r="O2" s="1">
        <v>117</v>
      </c>
    </row>
    <row r="3" spans="1:16" ht="19.8" x14ac:dyDescent="0.4">
      <c r="A3" s="1">
        <v>0</v>
      </c>
      <c r="B3" s="1">
        <v>1</v>
      </c>
      <c r="C3" s="1">
        <v>2</v>
      </c>
      <c r="D3" s="1">
        <v>7</v>
      </c>
      <c r="E3" s="1">
        <v>11</v>
      </c>
      <c r="F3" s="1">
        <v>18</v>
      </c>
      <c r="G3" s="1">
        <v>22</v>
      </c>
      <c r="H3" s="1">
        <v>30</v>
      </c>
      <c r="I3" s="1">
        <v>35</v>
      </c>
      <c r="J3" s="1">
        <v>46</v>
      </c>
      <c r="K3" s="1">
        <v>59</v>
      </c>
      <c r="L3" s="1">
        <v>68</v>
      </c>
      <c r="M3" s="1">
        <v>86</v>
      </c>
      <c r="N3" s="1">
        <v>105</v>
      </c>
      <c r="O3" s="1">
        <v>118</v>
      </c>
    </row>
    <row r="4" spans="1:16" ht="19.8" x14ac:dyDescent="0.4">
      <c r="A4" s="1">
        <v>0</v>
      </c>
      <c r="B4" s="1">
        <v>1</v>
      </c>
      <c r="C4" s="1">
        <v>2</v>
      </c>
      <c r="D4" s="1">
        <v>8</v>
      </c>
      <c r="E4" s="1">
        <v>11</v>
      </c>
      <c r="F4" s="1">
        <v>18</v>
      </c>
      <c r="G4" s="1">
        <v>23</v>
      </c>
      <c r="H4" s="1">
        <v>31</v>
      </c>
      <c r="I4" s="1">
        <v>35</v>
      </c>
      <c r="J4" s="1">
        <v>48</v>
      </c>
      <c r="K4" s="1">
        <v>61</v>
      </c>
      <c r="L4" s="1">
        <v>71</v>
      </c>
      <c r="M4" s="1">
        <v>86</v>
      </c>
      <c r="N4" s="1">
        <v>106</v>
      </c>
      <c r="O4" s="1">
        <v>123</v>
      </c>
    </row>
    <row r="5" spans="1:16" ht="19.8" x14ac:dyDescent="0.4">
      <c r="A5" s="1">
        <v>0</v>
      </c>
      <c r="B5" s="1">
        <v>1</v>
      </c>
      <c r="C5" s="1">
        <v>3</v>
      </c>
      <c r="D5" s="1">
        <v>8</v>
      </c>
      <c r="E5" s="1">
        <v>12</v>
      </c>
      <c r="F5" s="1">
        <v>18</v>
      </c>
      <c r="G5" s="1">
        <v>23</v>
      </c>
      <c r="H5" s="1">
        <v>31</v>
      </c>
      <c r="I5" s="1">
        <v>37</v>
      </c>
      <c r="J5" s="1">
        <v>49</v>
      </c>
      <c r="K5" s="1">
        <v>62</v>
      </c>
      <c r="L5" s="1">
        <v>77</v>
      </c>
      <c r="M5" s="1">
        <v>87</v>
      </c>
      <c r="N5" s="1">
        <v>107</v>
      </c>
      <c r="O5" s="1">
        <v>127</v>
      </c>
    </row>
    <row r="6" spans="1:16" ht="19.8" x14ac:dyDescent="0.4">
      <c r="A6" s="1">
        <v>0</v>
      </c>
      <c r="B6" s="1">
        <v>2</v>
      </c>
      <c r="C6" s="1">
        <v>3</v>
      </c>
      <c r="D6" s="1">
        <v>8</v>
      </c>
      <c r="E6" s="1">
        <v>12</v>
      </c>
      <c r="F6" s="1">
        <v>19</v>
      </c>
      <c r="G6" s="1">
        <v>23</v>
      </c>
      <c r="H6" s="1">
        <v>31</v>
      </c>
      <c r="I6" s="1">
        <v>37</v>
      </c>
      <c r="J6" s="1">
        <v>53</v>
      </c>
      <c r="K6" s="1">
        <v>63</v>
      </c>
      <c r="L6" s="1">
        <v>77</v>
      </c>
      <c r="M6" s="1">
        <v>91</v>
      </c>
      <c r="N6" s="1">
        <v>107</v>
      </c>
      <c r="O6" s="1">
        <v>128</v>
      </c>
    </row>
    <row r="7" spans="1:16" ht="19.8" x14ac:dyDescent="0.4">
      <c r="A7" s="1">
        <v>0</v>
      </c>
      <c r="B7" s="1">
        <v>2</v>
      </c>
      <c r="C7" s="1">
        <v>3</v>
      </c>
      <c r="D7" s="1">
        <v>9</v>
      </c>
      <c r="E7" s="1">
        <v>13</v>
      </c>
      <c r="F7" s="1">
        <v>20</v>
      </c>
      <c r="G7" s="1">
        <v>24</v>
      </c>
      <c r="H7" s="1">
        <v>31</v>
      </c>
      <c r="I7" s="1">
        <v>37</v>
      </c>
      <c r="J7" s="1">
        <v>54</v>
      </c>
      <c r="K7" s="1">
        <v>64</v>
      </c>
      <c r="L7" s="1">
        <v>78</v>
      </c>
      <c r="M7" s="1">
        <v>94</v>
      </c>
      <c r="N7" s="1">
        <v>107</v>
      </c>
      <c r="O7" s="1">
        <v>133</v>
      </c>
    </row>
    <row r="8" spans="1:16" ht="19.8" x14ac:dyDescent="0.4">
      <c r="A8" s="1">
        <v>0</v>
      </c>
      <c r="B8" s="1">
        <v>2</v>
      </c>
      <c r="C8" s="1">
        <v>4</v>
      </c>
      <c r="D8" s="1">
        <v>9</v>
      </c>
      <c r="E8" s="1">
        <v>14</v>
      </c>
      <c r="F8" s="1">
        <v>21</v>
      </c>
      <c r="G8" s="1">
        <v>25</v>
      </c>
      <c r="H8" s="1">
        <v>31</v>
      </c>
      <c r="I8" s="1">
        <v>38</v>
      </c>
      <c r="J8" s="1">
        <v>54</v>
      </c>
      <c r="K8" s="1">
        <v>66</v>
      </c>
      <c r="L8" s="1">
        <v>79</v>
      </c>
      <c r="M8" s="1">
        <v>99</v>
      </c>
      <c r="N8" s="1">
        <v>108</v>
      </c>
      <c r="O8" s="1">
        <v>136</v>
      </c>
    </row>
    <row r="9" spans="1:16" ht="19.8" x14ac:dyDescent="0.4">
      <c r="A9" s="1">
        <v>0</v>
      </c>
      <c r="B9" s="1">
        <v>2</v>
      </c>
      <c r="C9" s="1">
        <v>5</v>
      </c>
      <c r="D9" s="1">
        <v>9</v>
      </c>
      <c r="E9" s="1">
        <v>15</v>
      </c>
      <c r="F9" s="1">
        <v>22</v>
      </c>
      <c r="G9" s="1">
        <v>26</v>
      </c>
      <c r="H9" s="1">
        <v>31</v>
      </c>
      <c r="I9" s="1">
        <v>38</v>
      </c>
      <c r="J9" s="1">
        <v>54</v>
      </c>
      <c r="K9" s="1">
        <v>66</v>
      </c>
      <c r="L9" s="1">
        <v>80</v>
      </c>
      <c r="M9" s="1">
        <v>100</v>
      </c>
      <c r="N9" s="1">
        <v>112</v>
      </c>
      <c r="O9" s="1">
        <v>139</v>
      </c>
    </row>
    <row r="10" spans="1:16" ht="19.8" x14ac:dyDescent="0.4">
      <c r="A10" s="1">
        <v>0</v>
      </c>
      <c r="B10" s="1">
        <v>2</v>
      </c>
      <c r="C10" s="1">
        <v>6</v>
      </c>
      <c r="D10" s="1">
        <v>9</v>
      </c>
      <c r="E10" s="1">
        <v>15</v>
      </c>
      <c r="F10" s="1">
        <v>22</v>
      </c>
      <c r="G10" s="1">
        <v>27</v>
      </c>
      <c r="H10" s="1">
        <v>33</v>
      </c>
      <c r="I10" s="1">
        <v>40</v>
      </c>
      <c r="J10" s="1">
        <v>55</v>
      </c>
      <c r="K10" s="1">
        <v>66</v>
      </c>
      <c r="L10" s="1">
        <v>81</v>
      </c>
      <c r="M10" s="1">
        <v>100</v>
      </c>
      <c r="N10" s="1">
        <v>115</v>
      </c>
      <c r="O10" s="1">
        <v>183</v>
      </c>
    </row>
    <row r="12" spans="1:16" x14ac:dyDescent="0.3">
      <c r="B12" t="s">
        <v>155</v>
      </c>
      <c r="D12" s="53">
        <f>COUNT(A1:O10)</f>
        <v>150</v>
      </c>
    </row>
    <row r="13" spans="1:16" x14ac:dyDescent="0.3">
      <c r="B13" t="s">
        <v>146</v>
      </c>
      <c r="D13" s="53">
        <f>MIN(A1:O10)</f>
        <v>0</v>
      </c>
    </row>
    <row r="14" spans="1:16" x14ac:dyDescent="0.3">
      <c r="B14" t="s">
        <v>147</v>
      </c>
      <c r="D14" s="53">
        <f>MAX(A1:O10)</f>
        <v>183</v>
      </c>
    </row>
    <row r="15" spans="1:16" x14ac:dyDescent="0.3">
      <c r="B15" t="s">
        <v>151</v>
      </c>
      <c r="D15" s="53">
        <f>D14-D13</f>
        <v>183</v>
      </c>
      <c r="E15" s="49"/>
      <c r="P15">
        <f>107/150</f>
        <v>0.71333333333333337</v>
      </c>
    </row>
    <row r="16" spans="1:16" x14ac:dyDescent="0.3">
      <c r="B16" t="s">
        <v>138</v>
      </c>
      <c r="D16" s="53">
        <f>QUARTILE(A1:O10,1)</f>
        <v>9</v>
      </c>
      <c r="F16">
        <f>(D12/4)*1</f>
        <v>37.5</v>
      </c>
      <c r="G16" t="s">
        <v>156</v>
      </c>
    </row>
    <row r="17" spans="2:16" x14ac:dyDescent="0.3">
      <c r="B17" t="s">
        <v>140</v>
      </c>
      <c r="D17" s="53">
        <f>QUARTILE(A1:O10,3)</f>
        <v>68</v>
      </c>
      <c r="P17">
        <f>144/150</f>
        <v>0.96</v>
      </c>
    </row>
    <row r="18" spans="2:16" x14ac:dyDescent="0.3">
      <c r="B18" t="s">
        <v>53</v>
      </c>
      <c r="D18" s="53">
        <f>AVERAGE(A1:O10)</f>
        <v>43.413333333333334</v>
      </c>
    </row>
    <row r="19" spans="2:16" x14ac:dyDescent="0.3">
      <c r="B19" t="s">
        <v>33</v>
      </c>
      <c r="D19" s="53">
        <f>MEDIAN(A1:O10)</f>
        <v>31</v>
      </c>
      <c r="F19">
        <f>(D12/4)*2</f>
        <v>75</v>
      </c>
      <c r="G19">
        <f>((D12/4)*2)+1</f>
        <v>76</v>
      </c>
      <c r="H19" t="s">
        <v>157</v>
      </c>
      <c r="P19">
        <f>149/150</f>
        <v>0.99333333333333329</v>
      </c>
    </row>
    <row r="20" spans="2:16" x14ac:dyDescent="0.3">
      <c r="B20" t="s">
        <v>54</v>
      </c>
      <c r="D20" s="53">
        <f>MODE(A1:O10)</f>
        <v>0</v>
      </c>
    </row>
    <row r="21" spans="2:16" x14ac:dyDescent="0.3">
      <c r="B21" t="s">
        <v>143</v>
      </c>
      <c r="D21" s="53">
        <f>D17-D16</f>
        <v>59</v>
      </c>
    </row>
    <row r="22" spans="2:16" x14ac:dyDescent="0.3">
      <c r="B22" t="s">
        <v>38</v>
      </c>
      <c r="D22" s="53">
        <f>D17+1.5*D21</f>
        <v>156.5</v>
      </c>
      <c r="F22" t="s">
        <v>158</v>
      </c>
      <c r="J22" s="45"/>
    </row>
    <row r="23" spans="2:16" x14ac:dyDescent="0.3">
      <c r="B23" t="s">
        <v>39</v>
      </c>
      <c r="D23" s="53">
        <f>D16-1.5*D21</f>
        <v>-79.5</v>
      </c>
      <c r="F23" t="s">
        <v>163</v>
      </c>
      <c r="I23" s="53"/>
      <c r="K23" s="53"/>
      <c r="L23">
        <f>43-1*41</f>
        <v>2</v>
      </c>
      <c r="M23" t="s">
        <v>166</v>
      </c>
      <c r="N23">
        <f>43+1*41</f>
        <v>84</v>
      </c>
    </row>
    <row r="24" spans="2:16" x14ac:dyDescent="0.3">
      <c r="B24" t="s">
        <v>152</v>
      </c>
      <c r="D24" s="53">
        <v>183</v>
      </c>
      <c r="F24" t="s">
        <v>164</v>
      </c>
      <c r="J24" s="45"/>
      <c r="L24">
        <f>43-2*41</f>
        <v>-39</v>
      </c>
      <c r="M24" t="s">
        <v>166</v>
      </c>
      <c r="N24">
        <f>43+2*41</f>
        <v>125</v>
      </c>
    </row>
    <row r="25" spans="2:16" x14ac:dyDescent="0.3">
      <c r="B25" t="s">
        <v>153</v>
      </c>
      <c r="D25" s="53">
        <f>STDEV(A1:O10)</f>
        <v>40.684773905485727</v>
      </c>
      <c r="F25" t="s">
        <v>165</v>
      </c>
      <c r="L25">
        <f>43-3*41</f>
        <v>-80</v>
      </c>
      <c r="M25" t="s">
        <v>166</v>
      </c>
      <c r="N25">
        <f>43+3*41</f>
        <v>166</v>
      </c>
    </row>
    <row r="26" spans="2:16" x14ac:dyDescent="0.3">
      <c r="B26" t="s">
        <v>142</v>
      </c>
      <c r="D26" s="53">
        <f>VAR(A1:O10)</f>
        <v>1655.2508277404922</v>
      </c>
      <c r="J26" s="55"/>
    </row>
    <row r="27" spans="2:16" x14ac:dyDescent="0.3">
      <c r="B27" t="s">
        <v>130</v>
      </c>
      <c r="D27" s="54">
        <f>SKEW(A1:O10)</f>
        <v>0.90017629003952804</v>
      </c>
      <c r="F27" t="s">
        <v>159</v>
      </c>
    </row>
    <row r="28" spans="2:16" x14ac:dyDescent="0.3">
      <c r="B28" t="s">
        <v>154</v>
      </c>
      <c r="D28" s="54">
        <f>KURT(A1:O10)</f>
        <v>-3.0604927569723106E-2</v>
      </c>
      <c r="F28" t="s">
        <v>160</v>
      </c>
      <c r="L28">
        <f>43-2*41</f>
        <v>-39</v>
      </c>
      <c r="M28" t="s">
        <v>166</v>
      </c>
      <c r="N28">
        <f>43+2*41</f>
        <v>125</v>
      </c>
    </row>
    <row r="29" spans="2:16" x14ac:dyDescent="0.3">
      <c r="F29" t="s">
        <v>161</v>
      </c>
      <c r="L29">
        <f>43-3*41</f>
        <v>-80</v>
      </c>
      <c r="M29" t="s">
        <v>166</v>
      </c>
      <c r="N29">
        <f>43+3*41</f>
        <v>166</v>
      </c>
    </row>
    <row r="30" spans="2:16" x14ac:dyDescent="0.3">
      <c r="F30" t="s">
        <v>162</v>
      </c>
      <c r="L30">
        <f>43-4.5*41</f>
        <v>-141.5</v>
      </c>
      <c r="M30" t="s">
        <v>166</v>
      </c>
      <c r="N30">
        <f>43+4.5*41</f>
        <v>227.5</v>
      </c>
    </row>
  </sheetData>
  <pageMargins left="0.7" right="0.7" top="0.75" bottom="0.75" header="0.3" footer="0.3"/>
  <ignoredErrors>
    <ignoredError sqref="L24 N24"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8"/>
  <sheetViews>
    <sheetView topLeftCell="A30" zoomScale="80" zoomScaleNormal="80" workbookViewId="0">
      <selection activeCell="E52" sqref="E52"/>
    </sheetView>
  </sheetViews>
  <sheetFormatPr defaultColWidth="8.88671875" defaultRowHeight="19.8" x14ac:dyDescent="0.4"/>
  <cols>
    <col min="1" max="2" width="10.44140625" style="10" bestFit="1" customWidth="1"/>
    <col min="3" max="3" width="12.33203125" style="10" customWidth="1"/>
    <col min="4" max="4" width="8.88671875" style="10"/>
    <col min="5" max="6" width="13.109375" style="10" bestFit="1" customWidth="1"/>
    <col min="7" max="16384" width="8.88671875" style="10"/>
  </cols>
  <sheetData>
    <row r="1" spans="1:21" x14ac:dyDescent="0.4">
      <c r="A1" s="27" t="s">
        <v>53</v>
      </c>
      <c r="B1" s="27" t="s">
        <v>55</v>
      </c>
      <c r="C1" s="27" t="s">
        <v>54</v>
      </c>
    </row>
    <row r="2" spans="1:21" x14ac:dyDescent="0.4">
      <c r="I2" s="61"/>
      <c r="J2" s="61"/>
      <c r="K2" s="61"/>
      <c r="L2" s="61"/>
    </row>
    <row r="3" spans="1:21" x14ac:dyDescent="0.4">
      <c r="A3" s="199" t="s">
        <v>0</v>
      </c>
      <c r="B3" s="199"/>
      <c r="I3" s="10" t="s">
        <v>691</v>
      </c>
      <c r="J3" s="10" t="s">
        <v>1152</v>
      </c>
      <c r="K3" s="199" t="s">
        <v>1153</v>
      </c>
    </row>
    <row r="4" spans="1:21" x14ac:dyDescent="0.4">
      <c r="A4" s="199">
        <v>19</v>
      </c>
      <c r="B4" s="199"/>
      <c r="C4" s="199">
        <v>1</v>
      </c>
      <c r="E4" s="199"/>
      <c r="F4" s="199"/>
      <c r="G4" s="199"/>
      <c r="H4" s="199"/>
      <c r="I4" s="199">
        <v>1</v>
      </c>
      <c r="J4" s="199">
        <f>I4-AVERAGE(I$4:I$20)</f>
        <v>-12.941176470588236</v>
      </c>
      <c r="K4" s="199">
        <f>J4^2</f>
        <v>167.47404844290659</v>
      </c>
      <c r="L4" s="199"/>
      <c r="M4" s="199"/>
      <c r="N4" s="199"/>
      <c r="O4" s="199"/>
      <c r="P4" s="199"/>
      <c r="Q4" s="199"/>
      <c r="R4" s="199"/>
      <c r="S4" s="199"/>
      <c r="T4" s="199"/>
      <c r="U4" s="199"/>
    </row>
    <row r="5" spans="1:21" x14ac:dyDescent="0.4">
      <c r="A5" s="199">
        <v>4</v>
      </c>
      <c r="B5" s="199"/>
      <c r="C5" s="199">
        <v>2</v>
      </c>
      <c r="E5" s="199"/>
      <c r="F5" s="199">
        <f>AVERAGE(A4:A20)</f>
        <v>13.941176470588236</v>
      </c>
      <c r="G5" s="199"/>
      <c r="H5" s="199"/>
      <c r="I5" s="199">
        <v>2</v>
      </c>
      <c r="J5" s="199">
        <f t="shared" ref="J5:J20" si="0">I5-AVERAGE(I$4:I$20)</f>
        <v>-11.941176470588236</v>
      </c>
      <c r="K5" s="199">
        <f t="shared" ref="K5:K20" si="1">J5^2</f>
        <v>142.5916955017301</v>
      </c>
      <c r="L5" s="199"/>
      <c r="M5" s="199"/>
      <c r="N5" s="199"/>
      <c r="O5" s="199"/>
      <c r="P5" s="199"/>
      <c r="Q5" s="199"/>
      <c r="R5" s="199"/>
      <c r="S5" s="199"/>
      <c r="T5" s="199"/>
      <c r="U5" s="199"/>
    </row>
    <row r="6" spans="1:21" x14ac:dyDescent="0.4">
      <c r="A6" s="199">
        <v>33</v>
      </c>
      <c r="B6" s="199"/>
      <c r="C6" s="199">
        <v>2</v>
      </c>
      <c r="E6" s="199"/>
      <c r="F6" s="199"/>
      <c r="G6" s="199"/>
      <c r="H6" s="199"/>
      <c r="I6" s="199">
        <v>2</v>
      </c>
      <c r="J6" s="199">
        <f t="shared" si="0"/>
        <v>-11.941176470588236</v>
      </c>
      <c r="K6" s="199">
        <f t="shared" si="1"/>
        <v>142.5916955017301</v>
      </c>
      <c r="L6" s="199"/>
      <c r="M6" s="199"/>
      <c r="N6" s="199"/>
      <c r="O6" s="199"/>
      <c r="P6" s="199"/>
      <c r="Q6" s="199"/>
      <c r="R6" s="199"/>
      <c r="S6" s="199"/>
      <c r="T6" s="199"/>
      <c r="U6" s="199"/>
    </row>
    <row r="7" spans="1:21" x14ac:dyDescent="0.4">
      <c r="A7" s="199">
        <v>2</v>
      </c>
      <c r="B7" s="199"/>
      <c r="C7" s="199">
        <v>2</v>
      </c>
      <c r="E7" s="199"/>
      <c r="F7" s="199"/>
      <c r="G7" s="199"/>
      <c r="H7" s="199"/>
      <c r="I7" s="199">
        <v>2</v>
      </c>
      <c r="J7" s="199">
        <f t="shared" si="0"/>
        <v>-11.941176470588236</v>
      </c>
      <c r="K7" s="199">
        <f t="shared" si="1"/>
        <v>142.5916955017301</v>
      </c>
      <c r="L7" s="199"/>
      <c r="M7" s="199"/>
      <c r="N7" s="199"/>
      <c r="O7" s="199"/>
      <c r="P7" s="199"/>
      <c r="Q7" s="199"/>
      <c r="R7" s="199"/>
      <c r="S7" s="199"/>
      <c r="T7" s="199"/>
      <c r="U7" s="199"/>
    </row>
    <row r="8" spans="1:21" x14ac:dyDescent="0.4">
      <c r="A8" s="199">
        <v>51</v>
      </c>
      <c r="B8" s="199"/>
      <c r="C8" s="199">
        <v>2</v>
      </c>
      <c r="E8" s="199"/>
      <c r="F8" s="199"/>
      <c r="G8" s="199"/>
      <c r="H8" s="199"/>
      <c r="I8" s="199">
        <v>2</v>
      </c>
      <c r="J8" s="199">
        <f t="shared" si="0"/>
        <v>-11.941176470588236</v>
      </c>
      <c r="K8" s="199">
        <f t="shared" si="1"/>
        <v>142.5916955017301</v>
      </c>
      <c r="L8" s="199"/>
      <c r="M8" s="199"/>
      <c r="N8" s="199"/>
      <c r="O8" s="199"/>
      <c r="P8" s="199"/>
      <c r="Q8" s="199"/>
      <c r="R8" s="199"/>
      <c r="S8" s="199"/>
      <c r="T8" s="199"/>
      <c r="U8" s="199"/>
    </row>
    <row r="9" spans="1:21" x14ac:dyDescent="0.4">
      <c r="A9" s="199">
        <v>32</v>
      </c>
      <c r="B9" s="199"/>
      <c r="C9" s="199">
        <v>4</v>
      </c>
      <c r="E9" s="199"/>
      <c r="F9" s="199"/>
      <c r="G9" s="199"/>
      <c r="H9" s="199"/>
      <c r="I9" s="199">
        <v>4</v>
      </c>
      <c r="J9" s="199">
        <f t="shared" si="0"/>
        <v>-9.9411764705882355</v>
      </c>
      <c r="K9" s="199">
        <f t="shared" si="1"/>
        <v>98.826989619377173</v>
      </c>
      <c r="L9" s="199"/>
      <c r="M9" s="199"/>
      <c r="N9" s="199"/>
      <c r="O9" s="199"/>
      <c r="P9" s="199"/>
      <c r="Q9" s="199"/>
      <c r="R9" s="199"/>
      <c r="S9" s="199"/>
      <c r="T9" s="199"/>
      <c r="U9" s="199"/>
    </row>
    <row r="10" spans="1:21" x14ac:dyDescent="0.4">
      <c r="A10" s="199">
        <v>2</v>
      </c>
      <c r="B10" s="199"/>
      <c r="C10" s="199">
        <v>4</v>
      </c>
      <c r="E10" s="199"/>
      <c r="F10" s="199"/>
      <c r="G10" s="199"/>
      <c r="H10" s="199"/>
      <c r="I10" s="199">
        <v>4</v>
      </c>
      <c r="J10" s="199">
        <f t="shared" si="0"/>
        <v>-9.9411764705882355</v>
      </c>
      <c r="K10" s="199">
        <f t="shared" si="1"/>
        <v>98.826989619377173</v>
      </c>
      <c r="L10" s="199"/>
      <c r="M10" s="199"/>
      <c r="N10" s="199"/>
      <c r="O10" s="199"/>
      <c r="P10" s="199"/>
      <c r="Q10" s="199"/>
      <c r="R10" s="199"/>
      <c r="S10" s="199"/>
      <c r="T10" s="199"/>
      <c r="U10" s="199"/>
    </row>
    <row r="11" spans="1:21" x14ac:dyDescent="0.4">
      <c r="A11" s="199">
        <v>41</v>
      </c>
      <c r="B11" s="199"/>
      <c r="C11" s="199">
        <v>5</v>
      </c>
      <c r="E11" s="199"/>
      <c r="F11" s="199"/>
      <c r="G11" s="199"/>
      <c r="H11" s="199"/>
      <c r="I11" s="199">
        <v>5</v>
      </c>
      <c r="J11" s="199">
        <f t="shared" si="0"/>
        <v>-8.9411764705882355</v>
      </c>
      <c r="K11" s="199">
        <f t="shared" si="1"/>
        <v>79.944636678200695</v>
      </c>
      <c r="L11" s="199"/>
      <c r="M11" s="199"/>
      <c r="N11" s="199"/>
      <c r="O11" s="199"/>
      <c r="P11" s="199"/>
      <c r="Q11" s="199"/>
      <c r="R11" s="199"/>
      <c r="S11" s="199"/>
      <c r="T11" s="199"/>
      <c r="U11" s="199"/>
    </row>
    <row r="12" spans="1:21" x14ac:dyDescent="0.4">
      <c r="A12" s="199">
        <v>18</v>
      </c>
      <c r="B12" s="199"/>
      <c r="C12" s="199">
        <v>5</v>
      </c>
      <c r="D12" s="48" t="s">
        <v>1001</v>
      </c>
      <c r="E12" s="199"/>
      <c r="F12" s="199" t="s">
        <v>55</v>
      </c>
      <c r="G12" s="199">
        <v>7</v>
      </c>
      <c r="H12" s="199"/>
      <c r="I12" s="199">
        <v>5</v>
      </c>
      <c r="J12" s="199">
        <f t="shared" si="0"/>
        <v>-8.9411764705882355</v>
      </c>
      <c r="K12" s="199">
        <f t="shared" si="1"/>
        <v>79.944636678200695</v>
      </c>
      <c r="L12" s="199"/>
      <c r="M12" s="199"/>
      <c r="N12" s="199"/>
      <c r="O12" s="199"/>
      <c r="P12" s="199"/>
      <c r="Q12" s="199"/>
      <c r="R12" s="199"/>
      <c r="S12" s="199"/>
      <c r="T12" s="199"/>
      <c r="U12" s="199"/>
    </row>
    <row r="13" spans="1:21" x14ac:dyDescent="0.4">
      <c r="A13" s="199">
        <v>2</v>
      </c>
      <c r="B13" s="199"/>
      <c r="C13" s="199">
        <v>9</v>
      </c>
      <c r="D13" s="10" t="s">
        <v>1002</v>
      </c>
      <c r="E13" s="199"/>
      <c r="F13" s="199"/>
      <c r="G13" s="199"/>
      <c r="H13" s="199"/>
      <c r="I13" s="199">
        <v>7</v>
      </c>
      <c r="J13" s="199">
        <f t="shared" si="0"/>
        <v>-6.9411764705882355</v>
      </c>
      <c r="K13" s="199">
        <f t="shared" si="1"/>
        <v>48.179930795847753</v>
      </c>
      <c r="L13" s="199"/>
      <c r="M13" s="199"/>
      <c r="N13" s="199"/>
      <c r="O13" s="199"/>
      <c r="P13" s="199"/>
      <c r="Q13" s="199"/>
      <c r="R13" s="199"/>
      <c r="S13" s="199"/>
      <c r="T13" s="199"/>
      <c r="U13" s="199"/>
    </row>
    <row r="14" spans="1:21" x14ac:dyDescent="0.4">
      <c r="A14" s="199">
        <v>4</v>
      </c>
      <c r="B14" s="199"/>
      <c r="C14" s="199">
        <v>15</v>
      </c>
      <c r="E14" s="199"/>
      <c r="F14" s="199"/>
      <c r="G14" s="199"/>
      <c r="H14" s="199"/>
      <c r="I14" s="199">
        <v>9</v>
      </c>
      <c r="J14" s="199">
        <f t="shared" si="0"/>
        <v>-4.9411764705882355</v>
      </c>
      <c r="K14" s="199">
        <f t="shared" si="1"/>
        <v>24.415224913494811</v>
      </c>
      <c r="L14" s="199"/>
      <c r="M14" s="199"/>
      <c r="N14" s="199"/>
      <c r="O14" s="199"/>
      <c r="P14" s="199"/>
      <c r="Q14" s="199"/>
      <c r="R14" s="199"/>
      <c r="S14" s="199"/>
      <c r="T14" s="199"/>
      <c r="U14" s="199"/>
    </row>
    <row r="15" spans="1:21" x14ac:dyDescent="0.4">
      <c r="A15" s="199">
        <v>1</v>
      </c>
      <c r="B15" s="199"/>
      <c r="C15" s="199">
        <v>18</v>
      </c>
      <c r="E15" s="199"/>
      <c r="F15" s="199"/>
      <c r="G15" s="199"/>
      <c r="H15" s="199"/>
      <c r="I15" s="199">
        <v>18</v>
      </c>
      <c r="J15" s="199">
        <f t="shared" si="0"/>
        <v>4.0588235294117645</v>
      </c>
      <c r="K15" s="199">
        <f t="shared" si="1"/>
        <v>16.474048442906572</v>
      </c>
      <c r="L15" s="199"/>
      <c r="M15" s="199"/>
      <c r="N15" s="199"/>
      <c r="O15" s="199"/>
      <c r="P15" s="199"/>
      <c r="Q15" s="199"/>
      <c r="R15" s="199"/>
      <c r="S15" s="199"/>
      <c r="T15" s="199"/>
      <c r="U15" s="199"/>
    </row>
    <row r="16" spans="1:21" x14ac:dyDescent="0.4">
      <c r="A16" s="199">
        <v>5</v>
      </c>
      <c r="B16" s="199"/>
      <c r="C16" s="199">
        <v>19</v>
      </c>
      <c r="E16" s="199"/>
      <c r="F16" s="199"/>
      <c r="G16" s="199"/>
      <c r="H16" s="199"/>
      <c r="I16" s="199">
        <v>19</v>
      </c>
      <c r="J16" s="199">
        <f t="shared" si="0"/>
        <v>5.0588235294117645</v>
      </c>
      <c r="K16" s="199">
        <f t="shared" si="1"/>
        <v>25.591695501730101</v>
      </c>
      <c r="L16" s="199"/>
      <c r="M16" s="199"/>
      <c r="N16" s="199"/>
      <c r="O16" s="199"/>
      <c r="P16" s="199"/>
      <c r="Q16" s="199"/>
      <c r="R16" s="199"/>
      <c r="S16" s="199"/>
      <c r="T16" s="199"/>
      <c r="U16" s="199"/>
    </row>
    <row r="17" spans="1:21" x14ac:dyDescent="0.4">
      <c r="A17" s="199">
        <v>7</v>
      </c>
      <c r="B17" s="199"/>
      <c r="C17" s="199">
        <v>32</v>
      </c>
      <c r="E17" s="199"/>
      <c r="F17" s="199"/>
      <c r="G17" s="199"/>
      <c r="H17" s="199"/>
      <c r="I17" s="199">
        <v>32</v>
      </c>
      <c r="J17" s="199">
        <f t="shared" si="0"/>
        <v>18.058823529411764</v>
      </c>
      <c r="K17" s="199">
        <f t="shared" si="1"/>
        <v>326.12110726643596</v>
      </c>
      <c r="L17" s="199"/>
      <c r="M17" s="199"/>
      <c r="N17" s="199"/>
      <c r="O17" s="199"/>
      <c r="P17" s="199"/>
      <c r="Q17" s="199"/>
      <c r="R17" s="199"/>
      <c r="S17" s="199"/>
      <c r="T17" s="199"/>
      <c r="U17" s="199"/>
    </row>
    <row r="18" spans="1:21" x14ac:dyDescent="0.4">
      <c r="A18" s="199">
        <v>9</v>
      </c>
      <c r="B18" s="199"/>
      <c r="C18" s="199">
        <v>33</v>
      </c>
      <c r="E18" s="199"/>
      <c r="F18" s="199"/>
      <c r="G18" s="199"/>
      <c r="H18" s="199"/>
      <c r="I18" s="199">
        <v>33</v>
      </c>
      <c r="J18" s="199">
        <f t="shared" si="0"/>
        <v>19.058823529411764</v>
      </c>
      <c r="K18" s="199">
        <f t="shared" si="1"/>
        <v>363.23875432525949</v>
      </c>
      <c r="L18" s="199"/>
      <c r="M18" s="199"/>
      <c r="N18" s="199"/>
      <c r="O18" s="199"/>
      <c r="P18" s="199"/>
      <c r="Q18" s="199"/>
      <c r="R18" s="199"/>
      <c r="S18" s="199"/>
      <c r="T18" s="199"/>
      <c r="U18" s="199"/>
    </row>
    <row r="19" spans="1:21" x14ac:dyDescent="0.4">
      <c r="A19" s="199">
        <v>2</v>
      </c>
      <c r="B19" s="199"/>
      <c r="C19" s="199">
        <v>41</v>
      </c>
      <c r="E19" s="199"/>
      <c r="F19" s="199"/>
      <c r="G19" s="199"/>
      <c r="H19" s="199"/>
      <c r="I19" s="199">
        <v>41</v>
      </c>
      <c r="J19" s="199">
        <f t="shared" si="0"/>
        <v>27.058823529411764</v>
      </c>
      <c r="K19" s="199">
        <f t="shared" si="1"/>
        <v>732.17993079584778</v>
      </c>
      <c r="L19" s="199"/>
      <c r="M19" s="199"/>
      <c r="N19" s="199"/>
      <c r="O19" s="199"/>
      <c r="P19" s="199"/>
      <c r="Q19" s="199"/>
      <c r="R19" s="199"/>
      <c r="S19" s="199"/>
      <c r="T19" s="199"/>
      <c r="U19" s="199"/>
    </row>
    <row r="20" spans="1:21" x14ac:dyDescent="0.4">
      <c r="A20" s="199">
        <v>5</v>
      </c>
      <c r="B20" s="199"/>
      <c r="C20" s="199">
        <v>51</v>
      </c>
      <c r="E20" s="199"/>
      <c r="F20" s="199"/>
      <c r="G20" s="199"/>
      <c r="H20" s="199"/>
      <c r="I20" s="199">
        <v>51</v>
      </c>
      <c r="J20" s="199">
        <f t="shared" si="0"/>
        <v>37.058823529411768</v>
      </c>
      <c r="K20" s="199">
        <f t="shared" si="1"/>
        <v>1373.3564013840833</v>
      </c>
      <c r="L20" s="199"/>
      <c r="M20" s="199"/>
      <c r="N20" s="199"/>
      <c r="O20" s="199"/>
      <c r="P20" s="199"/>
      <c r="Q20" s="199"/>
      <c r="R20" s="199"/>
      <c r="S20" s="199"/>
      <c r="T20" s="199"/>
      <c r="U20" s="199"/>
    </row>
    <row r="21" spans="1:21" x14ac:dyDescent="0.4">
      <c r="C21" s="10">
        <v>72</v>
      </c>
      <c r="E21" s="199"/>
      <c r="F21" s="199"/>
      <c r="G21" s="199"/>
      <c r="H21" s="199"/>
      <c r="I21" s="199"/>
      <c r="J21" s="199"/>
      <c r="K21" s="199">
        <f>SUM(K4:K20)</f>
        <v>4004.9411764705883</v>
      </c>
      <c r="L21" s="199"/>
      <c r="M21" s="199"/>
      <c r="N21" s="199"/>
      <c r="O21" s="199"/>
      <c r="P21" s="199"/>
      <c r="Q21" s="199"/>
      <c r="R21" s="199"/>
      <c r="S21" s="199"/>
      <c r="T21" s="199"/>
      <c r="U21" s="199"/>
    </row>
    <row r="22" spans="1:21" x14ac:dyDescent="0.4">
      <c r="E22" s="44"/>
      <c r="F22" s="46"/>
      <c r="K22" s="10">
        <f>COUNT(I4:I20)-1</f>
        <v>16</v>
      </c>
    </row>
    <row r="23" spans="1:21" x14ac:dyDescent="0.4">
      <c r="E23" s="44"/>
      <c r="F23" s="46"/>
      <c r="I23" s="10" t="s">
        <v>142</v>
      </c>
      <c r="K23" s="10">
        <f>K21/K22</f>
        <v>250.30882352941177</v>
      </c>
    </row>
    <row r="24" spans="1:21" x14ac:dyDescent="0.4">
      <c r="E24" s="44"/>
      <c r="F24" s="46"/>
      <c r="I24" s="10" t="s">
        <v>153</v>
      </c>
      <c r="K24" s="10">
        <f>SQRT(K23)</f>
        <v>15.821151144256595</v>
      </c>
    </row>
    <row r="25" spans="1:21" x14ac:dyDescent="0.4">
      <c r="E25" s="44"/>
      <c r="F25" s="46"/>
    </row>
    <row r="26" spans="1:21" x14ac:dyDescent="0.4">
      <c r="A26" s="198" t="s">
        <v>222</v>
      </c>
      <c r="B26" s="198" t="s">
        <v>223</v>
      </c>
      <c r="E26" s="44"/>
      <c r="F26" s="46"/>
    </row>
    <row r="27" spans="1:21" x14ac:dyDescent="0.4">
      <c r="A27" s="198">
        <v>12</v>
      </c>
      <c r="B27" s="198">
        <v>34</v>
      </c>
      <c r="D27" s="10">
        <f>A27-AVERAGE(A$27:A$46)</f>
        <v>-20.5</v>
      </c>
      <c r="E27" s="44">
        <f>D27^2</f>
        <v>420.25</v>
      </c>
      <c r="F27" s="46"/>
    </row>
    <row r="28" spans="1:21" x14ac:dyDescent="0.4">
      <c r="A28" s="198">
        <v>13</v>
      </c>
      <c r="B28" s="198">
        <v>14</v>
      </c>
      <c r="D28" s="199">
        <f t="shared" ref="D28:D46" si="2">A28-AVERAGE(A$27:A$46)</f>
        <v>-19.5</v>
      </c>
      <c r="E28" s="199">
        <f t="shared" ref="E28:E46" si="3">D28^2</f>
        <v>380.25</v>
      </c>
      <c r="F28" s="46"/>
    </row>
    <row r="29" spans="1:21" x14ac:dyDescent="0.4">
      <c r="A29" s="198">
        <v>17</v>
      </c>
      <c r="B29" s="198">
        <v>31</v>
      </c>
      <c r="D29" s="199">
        <f t="shared" si="2"/>
        <v>-15.5</v>
      </c>
      <c r="E29" s="199">
        <f t="shared" si="3"/>
        <v>240.25</v>
      </c>
    </row>
    <row r="30" spans="1:21" x14ac:dyDescent="0.4">
      <c r="A30" s="198">
        <v>21</v>
      </c>
      <c r="B30" s="198">
        <v>59</v>
      </c>
      <c r="D30" s="199">
        <f t="shared" si="2"/>
        <v>-11.5</v>
      </c>
      <c r="E30" s="199">
        <f t="shared" si="3"/>
        <v>132.25</v>
      </c>
    </row>
    <row r="31" spans="1:21" x14ac:dyDescent="0.4">
      <c r="A31" s="198">
        <v>24</v>
      </c>
      <c r="B31" s="198">
        <v>11</v>
      </c>
      <c r="D31" s="199">
        <f t="shared" si="2"/>
        <v>-8.5</v>
      </c>
      <c r="E31" s="199">
        <f t="shared" si="3"/>
        <v>72.25</v>
      </c>
    </row>
    <row r="32" spans="1:21" x14ac:dyDescent="0.4">
      <c r="A32" s="198">
        <v>24</v>
      </c>
      <c r="B32" s="198">
        <v>50</v>
      </c>
      <c r="C32" s="61"/>
      <c r="D32" s="199">
        <f t="shared" si="2"/>
        <v>-8.5</v>
      </c>
      <c r="E32" s="199">
        <f t="shared" si="3"/>
        <v>72.25</v>
      </c>
    </row>
    <row r="33" spans="1:7" x14ac:dyDescent="0.4">
      <c r="A33" s="198">
        <v>26</v>
      </c>
      <c r="B33" s="198">
        <v>27</v>
      </c>
      <c r="D33" s="199">
        <f t="shared" si="2"/>
        <v>-6.5</v>
      </c>
      <c r="E33" s="199">
        <f t="shared" si="3"/>
        <v>42.25</v>
      </c>
    </row>
    <row r="34" spans="1:7" x14ac:dyDescent="0.4">
      <c r="A34" s="198">
        <v>27</v>
      </c>
      <c r="B34" s="198">
        <v>33</v>
      </c>
      <c r="D34" s="199">
        <f t="shared" si="2"/>
        <v>-5.5</v>
      </c>
      <c r="E34" s="199">
        <f t="shared" si="3"/>
        <v>30.25</v>
      </c>
    </row>
    <row r="35" spans="1:7" x14ac:dyDescent="0.4">
      <c r="A35" s="198">
        <v>27</v>
      </c>
      <c r="B35" s="198">
        <v>53</v>
      </c>
      <c r="D35" s="199">
        <f t="shared" si="2"/>
        <v>-5.5</v>
      </c>
      <c r="E35" s="199">
        <f t="shared" si="3"/>
        <v>30.25</v>
      </c>
    </row>
    <row r="36" spans="1:7" x14ac:dyDescent="0.4">
      <c r="A36" s="198">
        <v>30</v>
      </c>
      <c r="B36" s="198">
        <v>34</v>
      </c>
      <c r="D36" s="199">
        <f t="shared" si="2"/>
        <v>-2.5</v>
      </c>
      <c r="E36" s="199">
        <f t="shared" si="3"/>
        <v>6.25</v>
      </c>
      <c r="F36"/>
      <c r="G36"/>
    </row>
    <row r="37" spans="1:7" x14ac:dyDescent="0.4">
      <c r="A37" s="198">
        <v>32</v>
      </c>
      <c r="B37" s="198">
        <v>13</v>
      </c>
      <c r="D37" s="199">
        <f t="shared" si="2"/>
        <v>-0.5</v>
      </c>
      <c r="E37" s="199">
        <f t="shared" si="3"/>
        <v>0.25</v>
      </c>
      <c r="F37" s="72"/>
      <c r="G37"/>
    </row>
    <row r="38" spans="1:7" x14ac:dyDescent="0.4">
      <c r="A38" s="198">
        <v>35</v>
      </c>
      <c r="B38" s="198">
        <v>13</v>
      </c>
      <c r="D38" s="199">
        <f t="shared" si="2"/>
        <v>2.5</v>
      </c>
      <c r="E38" s="199">
        <f t="shared" si="3"/>
        <v>6.25</v>
      </c>
      <c r="F38" s="72"/>
      <c r="G38"/>
    </row>
    <row r="39" spans="1:7" x14ac:dyDescent="0.4">
      <c r="A39" s="198">
        <v>37</v>
      </c>
      <c r="B39" s="198">
        <v>42</v>
      </c>
      <c r="D39" s="199">
        <f t="shared" si="2"/>
        <v>4.5</v>
      </c>
      <c r="E39" s="199">
        <f t="shared" si="3"/>
        <v>20.25</v>
      </c>
      <c r="F39" s="72"/>
      <c r="G39"/>
    </row>
    <row r="40" spans="1:7" x14ac:dyDescent="0.4">
      <c r="A40" s="198">
        <v>38</v>
      </c>
      <c r="B40" s="198">
        <v>29</v>
      </c>
      <c r="D40" s="199">
        <f t="shared" si="2"/>
        <v>5.5</v>
      </c>
      <c r="E40" s="199">
        <f t="shared" si="3"/>
        <v>30.25</v>
      </c>
      <c r="F40" s="72"/>
      <c r="G40"/>
    </row>
    <row r="41" spans="1:7" x14ac:dyDescent="0.4">
      <c r="A41" s="198">
        <v>41</v>
      </c>
      <c r="B41" s="198">
        <v>33</v>
      </c>
      <c r="D41" s="199">
        <f t="shared" si="2"/>
        <v>8.5</v>
      </c>
      <c r="E41" s="199">
        <f t="shared" si="3"/>
        <v>72.25</v>
      </c>
      <c r="F41" s="72"/>
      <c r="G41"/>
    </row>
    <row r="42" spans="1:7" x14ac:dyDescent="0.4">
      <c r="A42" s="198">
        <v>43</v>
      </c>
      <c r="B42" s="198">
        <v>42</v>
      </c>
      <c r="D42" s="199">
        <f t="shared" si="2"/>
        <v>10.5</v>
      </c>
      <c r="E42" s="199">
        <f t="shared" si="3"/>
        <v>110.25</v>
      </c>
      <c r="F42" s="72"/>
      <c r="G42"/>
    </row>
    <row r="43" spans="1:7" x14ac:dyDescent="0.4">
      <c r="A43" s="198">
        <v>44</v>
      </c>
      <c r="B43" s="198">
        <v>34</v>
      </c>
      <c r="D43" s="199">
        <f t="shared" si="2"/>
        <v>11.5</v>
      </c>
      <c r="E43" s="199">
        <f t="shared" si="3"/>
        <v>132.25</v>
      </c>
      <c r="F43" s="72"/>
      <c r="G43"/>
    </row>
    <row r="44" spans="1:7" x14ac:dyDescent="0.4">
      <c r="A44" s="198">
        <v>46</v>
      </c>
      <c r="B44" s="198">
        <v>33</v>
      </c>
      <c r="D44" s="199">
        <f t="shared" si="2"/>
        <v>13.5</v>
      </c>
      <c r="E44" s="199">
        <f t="shared" si="3"/>
        <v>182.25</v>
      </c>
      <c r="F44" s="72"/>
      <c r="G44"/>
    </row>
    <row r="45" spans="1:7" x14ac:dyDescent="0.4">
      <c r="A45" s="198">
        <v>53</v>
      </c>
      <c r="B45" s="198">
        <v>44</v>
      </c>
      <c r="D45" s="199">
        <f t="shared" si="2"/>
        <v>20.5</v>
      </c>
      <c r="E45" s="199">
        <f t="shared" si="3"/>
        <v>420.25</v>
      </c>
      <c r="F45" s="72"/>
      <c r="G45"/>
    </row>
    <row r="46" spans="1:7" x14ac:dyDescent="0.4">
      <c r="A46" s="198">
        <v>60</v>
      </c>
      <c r="B46" s="198">
        <v>21</v>
      </c>
      <c r="D46" s="199">
        <f t="shared" si="2"/>
        <v>27.5</v>
      </c>
      <c r="E46" s="199">
        <f t="shared" si="3"/>
        <v>756.25</v>
      </c>
      <c r="F46" s="72"/>
      <c r="G46"/>
    </row>
    <row r="47" spans="1:7" x14ac:dyDescent="0.4">
      <c r="A47" s="61"/>
      <c r="D47" s="61"/>
      <c r="E47" s="61"/>
      <c r="F47" s="72"/>
      <c r="G47"/>
    </row>
    <row r="48" spans="1:7" x14ac:dyDescent="0.4">
      <c r="A48" s="61"/>
      <c r="D48" s="61"/>
      <c r="E48" s="61">
        <f>SUM(E27:E46)</f>
        <v>3157</v>
      </c>
      <c r="F48" s="72"/>
      <c r="G48"/>
    </row>
    <row r="49" spans="1:7" x14ac:dyDescent="0.4">
      <c r="A49" s="61"/>
      <c r="D49" s="61"/>
      <c r="E49" s="61"/>
      <c r="F49" s="72"/>
      <c r="G49"/>
    </row>
    <row r="50" spans="1:7" x14ac:dyDescent="0.4">
      <c r="A50" s="61"/>
      <c r="D50" s="61"/>
      <c r="E50" s="61"/>
      <c r="F50" s="72"/>
      <c r="G50"/>
    </row>
    <row r="51" spans="1:7" x14ac:dyDescent="0.4">
      <c r="A51" s="61"/>
      <c r="D51" s="61"/>
      <c r="E51" s="61"/>
      <c r="F51" s="72"/>
      <c r="G51"/>
    </row>
    <row r="52" spans="1:7" x14ac:dyDescent="0.4">
      <c r="A52" s="61"/>
      <c r="D52" s="61"/>
      <c r="E52" s="61"/>
      <c r="F52" s="72"/>
      <c r="G52"/>
    </row>
    <row r="53" spans="1:7" x14ac:dyDescent="0.4">
      <c r="A53" s="61"/>
      <c r="D53" s="61"/>
      <c r="E53" s="61"/>
      <c r="F53" s="72"/>
      <c r="G53"/>
    </row>
    <row r="54" spans="1:7" x14ac:dyDescent="0.4">
      <c r="A54" s="61"/>
      <c r="D54" s="61"/>
      <c r="E54" s="61"/>
      <c r="F54" s="72"/>
    </row>
    <row r="55" spans="1:7" x14ac:dyDescent="0.4">
      <c r="A55" s="61"/>
      <c r="D55" s="61"/>
      <c r="E55" s="61"/>
      <c r="F55" s="72"/>
    </row>
    <row r="56" spans="1:7" x14ac:dyDescent="0.4">
      <c r="A56" s="61"/>
      <c r="D56" s="61"/>
      <c r="E56" s="61"/>
      <c r="F56" s="72"/>
    </row>
    <row r="57" spans="1:7" x14ac:dyDescent="0.4">
      <c r="A57" s="61"/>
      <c r="D57" s="61"/>
      <c r="E57" s="61"/>
      <c r="F57" s="72"/>
    </row>
    <row r="58" spans="1:7" x14ac:dyDescent="0.4">
      <c r="A58" s="61"/>
      <c r="D58" s="61"/>
      <c r="E58" s="61"/>
      <c r="F58" s="72"/>
    </row>
    <row r="59" spans="1:7" x14ac:dyDescent="0.4">
      <c r="A59" s="61"/>
      <c r="D59" s="61"/>
      <c r="E59" s="61"/>
      <c r="F59" s="72"/>
    </row>
    <row r="60" spans="1:7" x14ac:dyDescent="0.4">
      <c r="A60" s="61"/>
      <c r="D60" s="61"/>
      <c r="E60" s="61"/>
      <c r="F60" s="72"/>
    </row>
    <row r="61" spans="1:7" x14ac:dyDescent="0.4">
      <c r="A61" s="61"/>
      <c r="D61" s="61"/>
      <c r="E61" s="61"/>
      <c r="F61" s="72"/>
    </row>
    <row r="62" spans="1:7" x14ac:dyDescent="0.4">
      <c r="A62" s="61"/>
      <c r="D62" s="61"/>
      <c r="E62" s="61"/>
      <c r="F62" s="72"/>
    </row>
    <row r="63" spans="1:7" x14ac:dyDescent="0.4">
      <c r="A63" s="61"/>
      <c r="D63" s="61"/>
      <c r="E63" s="61"/>
      <c r="F63" s="72"/>
    </row>
    <row r="64" spans="1:7" x14ac:dyDescent="0.4">
      <c r="A64" s="61"/>
      <c r="D64" s="61"/>
      <c r="E64" s="61"/>
      <c r="F64" s="72"/>
    </row>
    <row r="65" spans="1:6" x14ac:dyDescent="0.4">
      <c r="A65" s="61"/>
      <c r="D65" s="61"/>
      <c r="E65" s="61"/>
      <c r="F65" s="72"/>
    </row>
    <row r="66" spans="1:6" x14ac:dyDescent="0.4">
      <c r="A66" s="61"/>
      <c r="D66" s="61"/>
      <c r="E66" s="61"/>
      <c r="F66" s="72"/>
    </row>
    <row r="67" spans="1:6" x14ac:dyDescent="0.4">
      <c r="A67" s="61"/>
      <c r="D67" s="61"/>
      <c r="E67" s="61"/>
      <c r="F67" s="72"/>
    </row>
    <row r="68" spans="1:6" x14ac:dyDescent="0.4">
      <c r="A68" s="61"/>
      <c r="D68" s="61"/>
      <c r="E68" s="61"/>
      <c r="F68" s="72"/>
    </row>
    <row r="69" spans="1:6" x14ac:dyDescent="0.4">
      <c r="A69" s="61"/>
      <c r="D69" s="61"/>
      <c r="E69" s="61"/>
    </row>
    <row r="70" spans="1:6" x14ac:dyDescent="0.4">
      <c r="A70" s="61"/>
      <c r="D70" s="61"/>
      <c r="E70" s="61"/>
    </row>
    <row r="71" spans="1:6" x14ac:dyDescent="0.4">
      <c r="A71" s="61"/>
      <c r="D71" s="61"/>
      <c r="E71" s="61"/>
    </row>
    <row r="72" spans="1:6" x14ac:dyDescent="0.4">
      <c r="A72" s="61"/>
      <c r="D72" s="61"/>
      <c r="E72" s="61"/>
    </row>
    <row r="73" spans="1:6" x14ac:dyDescent="0.4">
      <c r="A73" s="61"/>
      <c r="D73" s="61"/>
      <c r="E73" s="61"/>
    </row>
    <row r="74" spans="1:6" x14ac:dyDescent="0.4">
      <c r="A74" s="61"/>
      <c r="D74" s="61"/>
      <c r="E74" s="61"/>
    </row>
    <row r="75" spans="1:6" x14ac:dyDescent="0.4">
      <c r="A75" s="61"/>
      <c r="D75" s="61"/>
      <c r="E75" s="61"/>
    </row>
    <row r="76" spans="1:6" x14ac:dyDescent="0.4">
      <c r="A76" s="61"/>
      <c r="D76" s="61"/>
      <c r="E76" s="61"/>
    </row>
    <row r="77" spans="1:6" x14ac:dyDescent="0.4">
      <c r="A77" s="61"/>
      <c r="D77" s="61"/>
      <c r="E77" s="61"/>
    </row>
    <row r="78" spans="1:6" x14ac:dyDescent="0.4">
      <c r="A78" s="61"/>
      <c r="D78" s="61"/>
      <c r="E78" s="61"/>
    </row>
    <row r="79" spans="1:6" x14ac:dyDescent="0.4">
      <c r="A79" s="61"/>
      <c r="D79" s="61"/>
      <c r="E79" s="61"/>
    </row>
    <row r="80" spans="1:6" x14ac:dyDescent="0.4">
      <c r="A80" s="61"/>
      <c r="D80" s="61"/>
      <c r="E80" s="61"/>
    </row>
    <row r="81" spans="1:5" x14ac:dyDescent="0.4">
      <c r="A81" s="61"/>
      <c r="D81" s="61"/>
      <c r="E81" s="61"/>
    </row>
    <row r="82" spans="1:5" x14ac:dyDescent="0.4">
      <c r="A82" s="61"/>
      <c r="D82" s="61"/>
      <c r="E82" s="61"/>
    </row>
    <row r="83" spans="1:5" x14ac:dyDescent="0.4">
      <c r="A83" s="61"/>
      <c r="D83" s="61"/>
      <c r="E83" s="61"/>
    </row>
    <row r="84" spans="1:5" x14ac:dyDescent="0.4">
      <c r="A84" s="61"/>
      <c r="D84" s="61"/>
      <c r="E84" s="61"/>
    </row>
    <row r="85" spans="1:5" x14ac:dyDescent="0.4">
      <c r="A85" s="61"/>
      <c r="D85" s="61"/>
      <c r="E85" s="61"/>
    </row>
    <row r="86" spans="1:5" x14ac:dyDescent="0.4">
      <c r="A86" s="61"/>
      <c r="D86" s="61"/>
      <c r="E86" s="61"/>
    </row>
    <row r="87" spans="1:5" x14ac:dyDescent="0.4">
      <c r="A87" s="61"/>
      <c r="D87" s="61"/>
      <c r="E87" s="61"/>
    </row>
    <row r="88" spans="1:5" x14ac:dyDescent="0.4">
      <c r="A88" s="61"/>
      <c r="D88" s="61"/>
      <c r="E88" s="61"/>
    </row>
    <row r="89" spans="1:5" x14ac:dyDescent="0.4">
      <c r="A89" s="61"/>
      <c r="D89" s="61"/>
      <c r="E89" s="61"/>
    </row>
    <row r="90" spans="1:5" x14ac:dyDescent="0.4">
      <c r="A90" s="61"/>
      <c r="D90" s="61"/>
      <c r="E90" s="61"/>
    </row>
    <row r="91" spans="1:5" x14ac:dyDescent="0.4">
      <c r="A91" s="61"/>
      <c r="D91" s="61"/>
      <c r="E91" s="61"/>
    </row>
    <row r="92" spans="1:5" x14ac:dyDescent="0.4">
      <c r="A92" s="61"/>
      <c r="D92" s="61"/>
      <c r="E92" s="61"/>
    </row>
    <row r="93" spans="1:5" x14ac:dyDescent="0.4">
      <c r="A93" s="61"/>
      <c r="D93" s="61"/>
      <c r="E93" s="61"/>
    </row>
    <row r="94" spans="1:5" x14ac:dyDescent="0.4">
      <c r="A94" s="61"/>
      <c r="D94" s="61"/>
      <c r="E94" s="61"/>
    </row>
    <row r="95" spans="1:5" x14ac:dyDescent="0.4">
      <c r="A95" s="61"/>
      <c r="D95" s="61"/>
      <c r="E95" s="61"/>
    </row>
    <row r="96" spans="1:5" x14ac:dyDescent="0.4">
      <c r="A96" s="61"/>
      <c r="D96" s="61"/>
      <c r="E96" s="61"/>
    </row>
    <row r="97" spans="1:5" x14ac:dyDescent="0.4">
      <c r="A97" s="61"/>
      <c r="D97" s="61"/>
      <c r="E97" s="61"/>
    </row>
    <row r="98" spans="1:5" x14ac:dyDescent="0.4">
      <c r="A98" s="61"/>
      <c r="D98" s="61"/>
      <c r="E98" s="61"/>
    </row>
    <row r="99" spans="1:5" x14ac:dyDescent="0.4">
      <c r="A99" s="61"/>
      <c r="D99" s="61"/>
      <c r="E99" s="61"/>
    </row>
    <row r="100" spans="1:5" ht="20.399999999999999" thickBot="1" x14ac:dyDescent="0.45">
      <c r="A100" s="61"/>
      <c r="D100" s="61"/>
      <c r="E100" s="61"/>
    </row>
    <row r="101" spans="1:5" x14ac:dyDescent="0.4">
      <c r="A101" s="61"/>
      <c r="C101" s="64"/>
      <c r="D101" s="61"/>
      <c r="E101" s="61"/>
    </row>
    <row r="102" spans="1:5" ht="20.399999999999999" thickBot="1" x14ac:dyDescent="0.45">
      <c r="A102" s="61"/>
      <c r="C102" s="65"/>
      <c r="D102" s="61"/>
      <c r="E102" s="61"/>
    </row>
    <row r="103" spans="1:5" x14ac:dyDescent="0.4">
      <c r="A103" s="61"/>
      <c r="D103" s="61"/>
      <c r="E103" s="61"/>
    </row>
    <row r="104" spans="1:5" x14ac:dyDescent="0.4">
      <c r="A104" s="61"/>
      <c r="D104" s="61"/>
      <c r="E104" s="61"/>
    </row>
    <row r="105" spans="1:5" x14ac:dyDescent="0.4">
      <c r="A105" s="61"/>
      <c r="D105" s="61"/>
      <c r="E105" s="61"/>
    </row>
    <row r="106" spans="1:5" x14ac:dyDescent="0.4">
      <c r="A106" s="61"/>
      <c r="D106" s="61"/>
      <c r="E106" s="61"/>
    </row>
    <row r="107" spans="1:5" x14ac:dyDescent="0.4">
      <c r="A107" s="61"/>
      <c r="D107" s="61"/>
      <c r="E107" s="61"/>
    </row>
    <row r="108" spans="1:5" x14ac:dyDescent="0.4">
      <c r="A108" s="61"/>
      <c r="D108" s="61"/>
      <c r="E108" s="61"/>
    </row>
    <row r="109" spans="1:5" x14ac:dyDescent="0.4">
      <c r="A109" s="61"/>
      <c r="D109" s="61"/>
      <c r="E109" s="61"/>
    </row>
    <row r="110" spans="1:5" x14ac:dyDescent="0.4">
      <c r="A110" s="61"/>
      <c r="D110" s="61"/>
      <c r="E110" s="61"/>
    </row>
    <row r="111" spans="1:5" x14ac:dyDescent="0.4">
      <c r="A111" s="61"/>
      <c r="D111" s="61"/>
      <c r="E111" s="61"/>
    </row>
    <row r="112" spans="1:5" x14ac:dyDescent="0.4">
      <c r="A112" s="61"/>
      <c r="D112" s="61"/>
      <c r="E112" s="61"/>
    </row>
    <row r="113" spans="1:7" x14ac:dyDescent="0.4">
      <c r="A113" s="61"/>
      <c r="D113" s="61"/>
      <c r="E113" s="61"/>
    </row>
    <row r="114" spans="1:7" x14ac:dyDescent="0.4">
      <c r="A114" s="61"/>
      <c r="D114" s="61"/>
      <c r="E114" s="61"/>
    </row>
    <row r="115" spans="1:7" x14ac:dyDescent="0.4">
      <c r="A115" s="61"/>
      <c r="D115" s="61"/>
      <c r="E115" s="61"/>
    </row>
    <row r="116" spans="1:7" x14ac:dyDescent="0.4">
      <c r="A116" s="61"/>
      <c r="D116" s="61"/>
      <c r="E116" s="61"/>
    </row>
    <row r="117" spans="1:7" x14ac:dyDescent="0.4">
      <c r="A117" s="61"/>
      <c r="D117" s="61"/>
      <c r="E117" s="61"/>
    </row>
    <row r="118" spans="1:7" x14ac:dyDescent="0.4">
      <c r="A118" s="61"/>
      <c r="D118" s="61"/>
      <c r="E118" s="61"/>
      <c r="F118" s="61"/>
    </row>
    <row r="119" spans="1:7" x14ac:dyDescent="0.4">
      <c r="A119" s="61"/>
      <c r="D119" s="61"/>
      <c r="E119" s="61"/>
    </row>
    <row r="120" spans="1:7" x14ac:dyDescent="0.4">
      <c r="A120" s="61"/>
      <c r="D120" s="61"/>
      <c r="E120" s="61"/>
    </row>
    <row r="121" spans="1:7" x14ac:dyDescent="0.4">
      <c r="A121" s="61"/>
      <c r="D121" s="61"/>
      <c r="E121" s="61"/>
    </row>
    <row r="122" spans="1:7" x14ac:dyDescent="0.4">
      <c r="A122" s="61"/>
      <c r="D122" s="61"/>
      <c r="E122" s="61"/>
      <c r="F122" s="66"/>
      <c r="G122" s="67"/>
    </row>
    <row r="123" spans="1:7" x14ac:dyDescent="0.4">
      <c r="A123" s="61"/>
      <c r="D123" s="61"/>
      <c r="E123" s="61"/>
      <c r="F123" s="68"/>
      <c r="G123" s="69"/>
    </row>
    <row r="124" spans="1:7" x14ac:dyDescent="0.4">
      <c r="A124" s="61"/>
      <c r="D124" s="61"/>
      <c r="E124" s="61"/>
      <c r="F124" s="68"/>
      <c r="G124" s="69"/>
    </row>
    <row r="125" spans="1:7" x14ac:dyDescent="0.4">
      <c r="A125" s="61"/>
      <c r="D125" s="61"/>
      <c r="E125" s="61"/>
      <c r="F125" s="68"/>
      <c r="G125" s="69"/>
    </row>
    <row r="126" spans="1:7" x14ac:dyDescent="0.4">
      <c r="A126" s="61"/>
      <c r="D126" s="61"/>
      <c r="E126" s="61"/>
      <c r="F126" s="68"/>
      <c r="G126" s="69"/>
    </row>
    <row r="127" spans="1:7" x14ac:dyDescent="0.4">
      <c r="A127" s="61"/>
      <c r="D127" s="61"/>
      <c r="E127" s="61"/>
      <c r="F127" s="68"/>
      <c r="G127" s="69"/>
    </row>
    <row r="128" spans="1:7" x14ac:dyDescent="0.4">
      <c r="A128" s="61"/>
      <c r="D128" s="61"/>
      <c r="E128" s="61"/>
      <c r="F128" s="68"/>
      <c r="G128" s="69"/>
    </row>
    <row r="129" spans="1:7" x14ac:dyDescent="0.4">
      <c r="A129" s="61"/>
      <c r="D129" s="61"/>
      <c r="E129" s="61"/>
      <c r="F129" s="68"/>
      <c r="G129" s="69"/>
    </row>
    <row r="130" spans="1:7" x14ac:dyDescent="0.4">
      <c r="A130" s="61"/>
      <c r="D130" s="61"/>
      <c r="E130" s="61"/>
      <c r="F130" s="68"/>
      <c r="G130" s="69"/>
    </row>
    <row r="131" spans="1:7" x14ac:dyDescent="0.4">
      <c r="A131" s="61"/>
      <c r="D131" s="61"/>
      <c r="E131" s="61"/>
      <c r="F131" s="68"/>
      <c r="G131" s="69"/>
    </row>
    <row r="132" spans="1:7" x14ac:dyDescent="0.4">
      <c r="A132" s="61"/>
      <c r="D132" s="61"/>
      <c r="E132" s="61"/>
      <c r="F132" s="68"/>
      <c r="G132" s="69"/>
    </row>
    <row r="133" spans="1:7" x14ac:dyDescent="0.4">
      <c r="A133" s="61"/>
      <c r="D133" s="61"/>
      <c r="E133" s="61"/>
      <c r="F133" s="68"/>
      <c r="G133" s="69"/>
    </row>
    <row r="134" spans="1:7" x14ac:dyDescent="0.4">
      <c r="A134" s="61"/>
      <c r="D134" s="61"/>
      <c r="E134" s="61"/>
      <c r="F134" s="68"/>
      <c r="G134" s="69"/>
    </row>
    <row r="135" spans="1:7" x14ac:dyDescent="0.4">
      <c r="A135" s="61"/>
      <c r="D135" s="61"/>
      <c r="E135" s="61"/>
      <c r="F135" s="68"/>
      <c r="G135" s="69"/>
    </row>
    <row r="136" spans="1:7" x14ac:dyDescent="0.4">
      <c r="A136" s="61"/>
      <c r="D136" s="61"/>
      <c r="E136" s="61"/>
      <c r="F136" s="68"/>
      <c r="G136" s="69"/>
    </row>
    <row r="137" spans="1:7" x14ac:dyDescent="0.4">
      <c r="A137" s="61"/>
      <c r="D137" s="61"/>
      <c r="E137" s="61"/>
      <c r="F137" s="68"/>
      <c r="G137" s="69"/>
    </row>
    <row r="138" spans="1:7" x14ac:dyDescent="0.4">
      <c r="A138" s="61"/>
      <c r="D138" s="61"/>
      <c r="E138" s="61"/>
      <c r="F138" s="68"/>
      <c r="G138" s="69"/>
    </row>
    <row r="139" spans="1:7" x14ac:dyDescent="0.4">
      <c r="A139" s="61"/>
      <c r="D139" s="61"/>
      <c r="E139" s="61"/>
      <c r="F139" s="70"/>
      <c r="G139" s="71"/>
    </row>
    <row r="140" spans="1:7" x14ac:dyDescent="0.4">
      <c r="A140" s="61"/>
      <c r="D140" s="61"/>
      <c r="E140" s="61"/>
    </row>
    <row r="141" spans="1:7" x14ac:dyDescent="0.4">
      <c r="A141" s="61"/>
      <c r="D141" s="61"/>
      <c r="E141" s="61"/>
    </row>
    <row r="142" spans="1:7" x14ac:dyDescent="0.4">
      <c r="A142" s="61"/>
      <c r="D142" s="61"/>
      <c r="E142" s="61"/>
    </row>
    <row r="143" spans="1:7" x14ac:dyDescent="0.4">
      <c r="A143" s="61"/>
      <c r="D143" s="61"/>
      <c r="E143" s="61"/>
    </row>
    <row r="144" spans="1:7" x14ac:dyDescent="0.4">
      <c r="A144" s="61"/>
      <c r="D144" s="61"/>
      <c r="E144" s="61"/>
    </row>
    <row r="145" spans="1:6" x14ac:dyDescent="0.4">
      <c r="A145" s="61"/>
      <c r="D145" s="61"/>
      <c r="E145" s="61"/>
    </row>
    <row r="146" spans="1:6" x14ac:dyDescent="0.4">
      <c r="A146" s="61"/>
      <c r="D146" s="61"/>
      <c r="E146" s="61"/>
    </row>
    <row r="147" spans="1:6" x14ac:dyDescent="0.4">
      <c r="A147" s="61"/>
      <c r="D147" s="61"/>
      <c r="E147" s="61"/>
    </row>
    <row r="148" spans="1:6" x14ac:dyDescent="0.4">
      <c r="A148" s="61"/>
      <c r="D148" s="61"/>
      <c r="E148" s="61"/>
    </row>
    <row r="149" spans="1:6" x14ac:dyDescent="0.4">
      <c r="A149" s="61"/>
      <c r="D149" s="61"/>
      <c r="E149" s="61"/>
    </row>
    <row r="150" spans="1:6" x14ac:dyDescent="0.4">
      <c r="A150" s="61"/>
      <c r="D150" s="61"/>
      <c r="E150" s="61"/>
    </row>
    <row r="151" spans="1:6" x14ac:dyDescent="0.4">
      <c r="A151" s="61"/>
      <c r="D151" s="61"/>
      <c r="E151" s="61"/>
    </row>
    <row r="152" spans="1:6" x14ac:dyDescent="0.4">
      <c r="A152" s="61"/>
      <c r="D152" s="61"/>
      <c r="E152" s="61"/>
    </row>
    <row r="153" spans="1:6" x14ac:dyDescent="0.4">
      <c r="A153" s="61"/>
      <c r="D153" s="61"/>
      <c r="E153" s="61"/>
    </row>
    <row r="154" spans="1:6" x14ac:dyDescent="0.4">
      <c r="A154" s="61"/>
      <c r="D154" s="61"/>
      <c r="E154" s="61"/>
    </row>
    <row r="155" spans="1:6" x14ac:dyDescent="0.4">
      <c r="A155" s="61"/>
      <c r="D155" s="61"/>
      <c r="E155" s="61"/>
    </row>
    <row r="156" spans="1:6" x14ac:dyDescent="0.4">
      <c r="A156" s="61"/>
      <c r="D156" s="61"/>
      <c r="E156" s="61"/>
    </row>
    <row r="157" spans="1:6" x14ac:dyDescent="0.4">
      <c r="A157" s="61"/>
      <c r="D157" s="61"/>
      <c r="E157" s="61"/>
      <c r="F157" s="61"/>
    </row>
    <row r="158" spans="1:6" x14ac:dyDescent="0.4">
      <c r="A158" s="61"/>
      <c r="D158" s="61"/>
      <c r="E158" s="61"/>
    </row>
    <row r="159" spans="1:6" x14ac:dyDescent="0.4">
      <c r="A159" s="61"/>
      <c r="D159" s="61"/>
      <c r="E159" s="61"/>
    </row>
    <row r="160" spans="1:6" x14ac:dyDescent="0.4">
      <c r="A160" s="61"/>
      <c r="D160" s="61"/>
      <c r="E160" s="61"/>
    </row>
    <row r="161" spans="1:5" x14ac:dyDescent="0.4">
      <c r="A161" s="61"/>
      <c r="D161" s="61"/>
      <c r="E161" s="61"/>
    </row>
    <row r="162" spans="1:5" x14ac:dyDescent="0.4">
      <c r="A162" s="61"/>
      <c r="D162" s="61"/>
      <c r="E162" s="61"/>
    </row>
    <row r="163" spans="1:5" x14ac:dyDescent="0.4">
      <c r="A163" s="61"/>
      <c r="D163" s="61"/>
      <c r="E163" s="61"/>
    </row>
    <row r="164" spans="1:5" x14ac:dyDescent="0.4">
      <c r="A164" s="61"/>
      <c r="D164" s="61"/>
      <c r="E164" s="61"/>
    </row>
    <row r="165" spans="1:5" x14ac:dyDescent="0.4">
      <c r="A165" s="61"/>
      <c r="D165" s="61"/>
      <c r="E165" s="61"/>
    </row>
    <row r="166" spans="1:5" x14ac:dyDescent="0.4">
      <c r="A166" s="61"/>
      <c r="D166" s="61"/>
      <c r="E166" s="61"/>
    </row>
    <row r="167" spans="1:5" x14ac:dyDescent="0.4">
      <c r="A167" s="61"/>
      <c r="D167" s="61"/>
      <c r="E167" s="61"/>
    </row>
    <row r="168" spans="1:5" x14ac:dyDescent="0.4">
      <c r="A168" s="61"/>
      <c r="D168" s="61"/>
      <c r="E168" s="61"/>
    </row>
    <row r="169" spans="1:5" x14ac:dyDescent="0.4">
      <c r="A169" s="61"/>
      <c r="D169" s="61"/>
      <c r="E169" s="61"/>
    </row>
    <row r="170" spans="1:5" x14ac:dyDescent="0.4">
      <c r="A170" s="61"/>
      <c r="D170" s="61"/>
      <c r="E170" s="61"/>
    </row>
    <row r="173" spans="1:5" x14ac:dyDescent="0.4">
      <c r="B173" s="61"/>
    </row>
    <row r="174" spans="1:5" x14ac:dyDescent="0.4">
      <c r="B174" s="61"/>
    </row>
    <row r="175" spans="1:5" x14ac:dyDescent="0.4">
      <c r="B175" s="61"/>
    </row>
    <row r="176" spans="1:5" x14ac:dyDescent="0.4">
      <c r="B176" s="61"/>
    </row>
    <row r="178" spans="2:2" x14ac:dyDescent="0.4">
      <c r="B178" s="61"/>
    </row>
  </sheetData>
  <sortState xmlns:xlrd2="http://schemas.microsoft.com/office/spreadsheetml/2017/richdata2" ref="I4:I20">
    <sortCondition ref="I4:I20"/>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153"/>
  <sheetViews>
    <sheetView topLeftCell="A127" zoomScale="140" zoomScaleNormal="140" workbookViewId="0">
      <selection activeCell="A117" sqref="A117:L117"/>
    </sheetView>
  </sheetViews>
  <sheetFormatPr defaultRowHeight="14.4" x14ac:dyDescent="0.3"/>
  <cols>
    <col min="11" max="11" width="13.109375" bestFit="1" customWidth="1"/>
  </cols>
  <sheetData>
    <row r="1" spans="1:12" x14ac:dyDescent="0.3">
      <c r="A1" s="86"/>
      <c r="B1" s="86"/>
      <c r="C1" s="121"/>
      <c r="D1" s="121"/>
      <c r="E1" s="121"/>
      <c r="F1" s="121"/>
      <c r="G1" s="121"/>
      <c r="H1" s="121"/>
      <c r="I1" s="86"/>
    </row>
    <row r="2" spans="1:12" x14ac:dyDescent="0.3">
      <c r="A2" t="s">
        <v>232</v>
      </c>
      <c r="C2" s="122"/>
      <c r="D2" s="122"/>
      <c r="E2" s="122"/>
      <c r="F2" s="122"/>
      <c r="G2" s="122"/>
      <c r="H2" s="122"/>
    </row>
    <row r="3" spans="1:12" x14ac:dyDescent="0.3">
      <c r="C3" s="122"/>
      <c r="D3" s="122"/>
      <c r="E3" s="122"/>
      <c r="F3" s="122"/>
      <c r="G3" s="122"/>
      <c r="H3" s="122"/>
    </row>
    <row r="4" spans="1:12" x14ac:dyDescent="0.3">
      <c r="C4" s="122"/>
      <c r="D4" s="122"/>
      <c r="E4" s="122"/>
      <c r="F4" s="122"/>
      <c r="G4" s="122"/>
      <c r="H4" s="122"/>
    </row>
    <row r="5" spans="1:12" x14ac:dyDescent="0.3">
      <c r="A5" t="s">
        <v>233</v>
      </c>
      <c r="C5" s="122"/>
      <c r="D5" s="122"/>
      <c r="E5" s="122"/>
      <c r="F5" s="122"/>
      <c r="G5" s="122"/>
      <c r="H5" s="122"/>
    </row>
    <row r="6" spans="1:12" x14ac:dyDescent="0.3">
      <c r="A6" t="s">
        <v>234</v>
      </c>
      <c r="C6" s="122"/>
      <c r="D6" s="122"/>
      <c r="E6" s="122"/>
      <c r="F6" s="122"/>
      <c r="G6" s="122"/>
      <c r="H6" s="122"/>
    </row>
    <row r="7" spans="1:12" x14ac:dyDescent="0.3">
      <c r="C7" s="122"/>
      <c r="D7" s="122"/>
      <c r="E7" s="122"/>
      <c r="F7" s="122"/>
      <c r="G7" s="122"/>
      <c r="H7" s="122"/>
    </row>
    <row r="8" spans="1:12" ht="15" thickBot="1" x14ac:dyDescent="0.35">
      <c r="A8" s="86"/>
      <c r="B8" s="86"/>
      <c r="C8" s="86"/>
      <c r="D8" s="86"/>
      <c r="E8" s="86"/>
      <c r="F8" s="86"/>
      <c r="G8" s="86"/>
      <c r="H8" s="86"/>
      <c r="I8" s="86"/>
    </row>
    <row r="9" spans="1:12" ht="15" thickBot="1" x14ac:dyDescent="0.35">
      <c r="A9" s="86"/>
      <c r="B9" s="214" t="s">
        <v>237</v>
      </c>
      <c r="C9" s="215"/>
      <c r="D9" s="215"/>
      <c r="E9" s="215"/>
      <c r="F9" s="215"/>
      <c r="G9" s="215"/>
      <c r="H9" s="215"/>
      <c r="I9" s="216"/>
    </row>
    <row r="10" spans="1:12" ht="15" thickBot="1" x14ac:dyDescent="0.35">
      <c r="A10" s="86"/>
      <c r="B10" s="222"/>
      <c r="C10" s="221"/>
      <c r="D10" s="220" t="s">
        <v>235</v>
      </c>
      <c r="E10" s="220"/>
      <c r="F10" s="220"/>
      <c r="G10" s="220"/>
      <c r="H10" s="220"/>
      <c r="I10" s="221"/>
    </row>
    <row r="11" spans="1:12" ht="15" thickBot="1" x14ac:dyDescent="0.35">
      <c r="B11" s="223"/>
      <c r="C11" s="224"/>
      <c r="D11" s="89">
        <v>1</v>
      </c>
      <c r="E11" s="89">
        <v>2</v>
      </c>
      <c r="F11" s="89">
        <v>3</v>
      </c>
      <c r="G11" s="89">
        <v>4</v>
      </c>
      <c r="H11" s="89">
        <v>5</v>
      </c>
      <c r="I11" s="90">
        <v>6</v>
      </c>
    </row>
    <row r="12" spans="1:12" x14ac:dyDescent="0.3">
      <c r="B12" s="218" t="s">
        <v>236</v>
      </c>
      <c r="C12" s="98">
        <v>1</v>
      </c>
      <c r="D12" s="91">
        <v>2</v>
      </c>
      <c r="E12" s="92">
        <v>3</v>
      </c>
      <c r="F12" s="92">
        <v>4</v>
      </c>
      <c r="G12" s="92">
        <v>5</v>
      </c>
      <c r="H12" s="92">
        <v>6</v>
      </c>
      <c r="I12" s="101">
        <v>7</v>
      </c>
    </row>
    <row r="13" spans="1:12" x14ac:dyDescent="0.3">
      <c r="B13" s="218"/>
      <c r="C13" s="99">
        <v>2</v>
      </c>
      <c r="D13" s="93">
        <v>3</v>
      </c>
      <c r="E13" s="94">
        <v>4</v>
      </c>
      <c r="F13" s="94">
        <v>5</v>
      </c>
      <c r="G13" s="94">
        <v>6</v>
      </c>
      <c r="H13" s="94">
        <v>7</v>
      </c>
      <c r="I13" s="95">
        <v>8</v>
      </c>
    </row>
    <row r="14" spans="1:12" x14ac:dyDescent="0.3">
      <c r="B14" s="218"/>
      <c r="C14" s="99">
        <v>3</v>
      </c>
      <c r="D14" s="102">
        <v>4</v>
      </c>
      <c r="E14" s="94">
        <v>5</v>
      </c>
      <c r="F14" s="94">
        <v>6</v>
      </c>
      <c r="G14" s="94">
        <v>7</v>
      </c>
      <c r="H14" s="94">
        <v>8</v>
      </c>
      <c r="I14" s="95">
        <v>9</v>
      </c>
      <c r="K14" t="s">
        <v>239</v>
      </c>
      <c r="L14">
        <f>3/36</f>
        <v>8.3333333333333329E-2</v>
      </c>
    </row>
    <row r="15" spans="1:12" x14ac:dyDescent="0.3">
      <c r="B15" s="218"/>
      <c r="C15" s="99">
        <v>4</v>
      </c>
      <c r="D15" s="93">
        <v>5</v>
      </c>
      <c r="E15" s="94">
        <v>6</v>
      </c>
      <c r="F15" s="94">
        <v>7</v>
      </c>
      <c r="G15" s="94">
        <v>8</v>
      </c>
      <c r="H15" s="94">
        <v>9</v>
      </c>
      <c r="I15" s="95">
        <v>10</v>
      </c>
      <c r="K15" t="s">
        <v>240</v>
      </c>
      <c r="L15">
        <v>0</v>
      </c>
    </row>
    <row r="16" spans="1:12" x14ac:dyDescent="0.3">
      <c r="B16" s="218"/>
      <c r="C16" s="99">
        <v>5</v>
      </c>
      <c r="D16" s="102">
        <v>6</v>
      </c>
      <c r="E16" s="94">
        <v>7</v>
      </c>
      <c r="F16" s="94">
        <v>8</v>
      </c>
      <c r="G16" s="94">
        <v>9</v>
      </c>
      <c r="H16" s="94">
        <v>10</v>
      </c>
      <c r="I16" s="95">
        <v>11</v>
      </c>
      <c r="K16" t="s">
        <v>241</v>
      </c>
      <c r="L16">
        <f>15/36</f>
        <v>0.41666666666666669</v>
      </c>
    </row>
    <row r="17" spans="2:12" ht="15" thickBot="1" x14ac:dyDescent="0.35">
      <c r="B17" s="219"/>
      <c r="C17" s="100">
        <v>6</v>
      </c>
      <c r="D17" s="103">
        <v>7</v>
      </c>
      <c r="E17" s="96">
        <v>8</v>
      </c>
      <c r="F17" s="96">
        <v>9</v>
      </c>
      <c r="G17" s="96">
        <v>10</v>
      </c>
      <c r="H17" s="96">
        <v>11</v>
      </c>
      <c r="I17" s="97">
        <v>12</v>
      </c>
    </row>
    <row r="18" spans="2:12" ht="15" thickBot="1" x14ac:dyDescent="0.35">
      <c r="L18">
        <f>(3/36)*100</f>
        <v>8.3333333333333321</v>
      </c>
    </row>
    <row r="19" spans="2:12" ht="15" thickBot="1" x14ac:dyDescent="0.35">
      <c r="B19" s="214" t="s">
        <v>238</v>
      </c>
      <c r="C19" s="215"/>
      <c r="D19" s="215"/>
      <c r="E19" s="215"/>
      <c r="F19" s="215"/>
      <c r="G19" s="215"/>
      <c r="H19" s="215"/>
      <c r="I19" s="216"/>
    </row>
    <row r="20" spans="2:12" ht="15" thickBot="1" x14ac:dyDescent="0.35">
      <c r="B20" s="222"/>
      <c r="C20" s="221"/>
      <c r="D20" s="220" t="s">
        <v>235</v>
      </c>
      <c r="E20" s="220"/>
      <c r="F20" s="220"/>
      <c r="G20" s="220"/>
      <c r="H20" s="220"/>
      <c r="I20" s="221"/>
    </row>
    <row r="21" spans="2:12" ht="15" thickBot="1" x14ac:dyDescent="0.35">
      <c r="B21" s="223"/>
      <c r="C21" s="224"/>
      <c r="D21" s="89">
        <v>1</v>
      </c>
      <c r="E21" s="89">
        <v>2</v>
      </c>
      <c r="F21" s="89">
        <v>3</v>
      </c>
      <c r="G21" s="89">
        <v>4</v>
      </c>
      <c r="H21" s="89">
        <v>5</v>
      </c>
      <c r="I21" s="90">
        <v>6</v>
      </c>
    </row>
    <row r="22" spans="2:12" x14ac:dyDescent="0.3">
      <c r="B22" s="218" t="s">
        <v>236</v>
      </c>
      <c r="C22" s="98">
        <v>1</v>
      </c>
      <c r="D22" s="91">
        <v>1</v>
      </c>
      <c r="E22" s="92">
        <v>2</v>
      </c>
      <c r="F22" s="92">
        <v>3</v>
      </c>
      <c r="G22" s="92">
        <v>4</v>
      </c>
      <c r="H22" s="92">
        <v>5</v>
      </c>
      <c r="I22" s="101">
        <v>6</v>
      </c>
    </row>
    <row r="23" spans="2:12" x14ac:dyDescent="0.3">
      <c r="B23" s="218"/>
      <c r="C23" s="99">
        <v>2</v>
      </c>
      <c r="D23" s="93">
        <v>2</v>
      </c>
      <c r="E23" s="94">
        <v>4</v>
      </c>
      <c r="F23" s="94">
        <v>6</v>
      </c>
      <c r="G23" s="94">
        <v>8</v>
      </c>
      <c r="H23" s="94">
        <v>10</v>
      </c>
      <c r="I23" s="95">
        <v>12</v>
      </c>
    </row>
    <row r="24" spans="2:12" x14ac:dyDescent="0.3">
      <c r="B24" s="218"/>
      <c r="C24" s="99">
        <v>3</v>
      </c>
      <c r="D24" s="102">
        <v>3</v>
      </c>
      <c r="E24" s="94">
        <v>6</v>
      </c>
      <c r="F24" s="94">
        <v>9</v>
      </c>
      <c r="G24" s="94">
        <v>12</v>
      </c>
      <c r="H24" s="94">
        <v>15</v>
      </c>
      <c r="I24" s="95">
        <v>18</v>
      </c>
    </row>
    <row r="25" spans="2:12" x14ac:dyDescent="0.3">
      <c r="B25" s="218"/>
      <c r="C25" s="99">
        <v>4</v>
      </c>
      <c r="D25" s="93">
        <v>5</v>
      </c>
      <c r="E25" s="94">
        <v>8</v>
      </c>
      <c r="F25" s="94">
        <v>12</v>
      </c>
      <c r="G25" s="94">
        <v>16</v>
      </c>
      <c r="H25" s="94">
        <v>20</v>
      </c>
      <c r="I25" s="95">
        <v>24</v>
      </c>
    </row>
    <row r="26" spans="2:12" x14ac:dyDescent="0.3">
      <c r="B26" s="218"/>
      <c r="C26" s="99">
        <v>5</v>
      </c>
      <c r="D26" s="102">
        <v>6</v>
      </c>
      <c r="E26" s="94">
        <v>10</v>
      </c>
      <c r="F26" s="94">
        <v>15</v>
      </c>
      <c r="G26" s="94">
        <v>20</v>
      </c>
      <c r="H26" s="94">
        <v>25</v>
      </c>
      <c r="I26" s="95">
        <v>30</v>
      </c>
    </row>
    <row r="27" spans="2:12" ht="15" thickBot="1" x14ac:dyDescent="0.35">
      <c r="B27" s="219"/>
      <c r="C27" s="100">
        <v>6</v>
      </c>
      <c r="D27" s="103">
        <v>7</v>
      </c>
      <c r="E27" s="96">
        <v>12</v>
      </c>
      <c r="F27" s="96">
        <v>18</v>
      </c>
      <c r="G27" s="96">
        <v>24</v>
      </c>
      <c r="H27" s="96">
        <v>30</v>
      </c>
      <c r="I27" s="97">
        <v>36</v>
      </c>
    </row>
    <row r="30" spans="2:12" ht="15" thickBot="1" x14ac:dyDescent="0.35">
      <c r="B30" t="s">
        <v>297</v>
      </c>
      <c r="C30" t="s">
        <v>298</v>
      </c>
      <c r="D30" t="s">
        <v>299</v>
      </c>
      <c r="E30" t="s">
        <v>300</v>
      </c>
    </row>
    <row r="31" spans="2:12" ht="15" thickBot="1" x14ac:dyDescent="0.35">
      <c r="B31" s="88" t="s">
        <v>135</v>
      </c>
      <c r="C31" s="88" t="s">
        <v>135</v>
      </c>
      <c r="D31" s="88" t="s">
        <v>135</v>
      </c>
      <c r="E31" s="88" t="s">
        <v>135</v>
      </c>
      <c r="F31" s="104" t="s">
        <v>245</v>
      </c>
      <c r="H31" s="105" t="s">
        <v>248</v>
      </c>
    </row>
    <row r="32" spans="2:12" x14ac:dyDescent="0.3">
      <c r="B32" s="88">
        <v>2</v>
      </c>
      <c r="C32" s="88">
        <v>2</v>
      </c>
      <c r="D32" s="88">
        <v>2</v>
      </c>
      <c r="E32" s="88">
        <v>2</v>
      </c>
      <c r="F32" s="217" t="s">
        <v>246</v>
      </c>
    </row>
    <row r="33" spans="1:12" x14ac:dyDescent="0.3">
      <c r="B33" s="88">
        <v>3</v>
      </c>
      <c r="C33" s="88">
        <v>3</v>
      </c>
      <c r="D33" s="88">
        <v>3</v>
      </c>
      <c r="E33" s="88">
        <v>3</v>
      </c>
      <c r="F33" s="218"/>
    </row>
    <row r="34" spans="1:12" x14ac:dyDescent="0.3">
      <c r="B34" s="88">
        <v>4</v>
      </c>
      <c r="C34" s="88">
        <v>4</v>
      </c>
      <c r="D34" s="88">
        <v>4</v>
      </c>
      <c r="E34" s="88">
        <v>4</v>
      </c>
      <c r="F34" s="218"/>
      <c r="H34" t="s">
        <v>251</v>
      </c>
      <c r="I34" t="s">
        <v>252</v>
      </c>
    </row>
    <row r="35" spans="1:12" x14ac:dyDescent="0.3">
      <c r="B35" s="88">
        <v>5</v>
      </c>
      <c r="C35" s="88">
        <v>5</v>
      </c>
      <c r="D35" s="88">
        <v>5</v>
      </c>
      <c r="E35" s="88">
        <v>5</v>
      </c>
      <c r="F35" s="218"/>
      <c r="H35" t="s">
        <v>250</v>
      </c>
      <c r="I35" t="s">
        <v>244</v>
      </c>
    </row>
    <row r="36" spans="1:12" x14ac:dyDescent="0.3">
      <c r="B36" s="88">
        <v>6</v>
      </c>
      <c r="C36" s="88">
        <v>6</v>
      </c>
      <c r="D36" s="88">
        <v>6</v>
      </c>
      <c r="E36" s="88">
        <v>6</v>
      </c>
      <c r="F36" s="218"/>
    </row>
    <row r="37" spans="1:12" ht="15.6" x14ac:dyDescent="0.3">
      <c r="B37" s="88">
        <v>7</v>
      </c>
      <c r="C37" s="88">
        <v>7</v>
      </c>
      <c r="D37" s="88">
        <v>7</v>
      </c>
      <c r="E37" s="88">
        <v>7</v>
      </c>
      <c r="F37" s="218"/>
      <c r="H37">
        <f>13/52</f>
        <v>0.25</v>
      </c>
      <c r="I37">
        <f>4/52</f>
        <v>7.6923076923076927E-2</v>
      </c>
      <c r="K37" t="s">
        <v>301</v>
      </c>
    </row>
    <row r="38" spans="1:12" x14ac:dyDescent="0.3">
      <c r="B38" s="88">
        <v>8</v>
      </c>
      <c r="C38" s="88">
        <v>8</v>
      </c>
      <c r="D38" s="88">
        <v>8</v>
      </c>
      <c r="E38" s="88">
        <v>8</v>
      </c>
      <c r="F38" s="218"/>
    </row>
    <row r="39" spans="1:12" x14ac:dyDescent="0.3">
      <c r="B39" s="88">
        <v>9</v>
      </c>
      <c r="C39" s="88">
        <v>9</v>
      </c>
      <c r="D39" s="88">
        <v>9</v>
      </c>
      <c r="E39" s="88">
        <v>9</v>
      </c>
      <c r="F39" s="218"/>
      <c r="H39" s="106" t="s">
        <v>253</v>
      </c>
      <c r="I39" s="106" t="s">
        <v>254</v>
      </c>
      <c r="K39" t="s">
        <v>302</v>
      </c>
    </row>
    <row r="40" spans="1:12" ht="15" thickBot="1" x14ac:dyDescent="0.35">
      <c r="B40" s="88">
        <v>10</v>
      </c>
      <c r="C40" s="88">
        <v>10</v>
      </c>
      <c r="D40" s="88">
        <v>10</v>
      </c>
      <c r="E40" s="88">
        <v>10</v>
      </c>
      <c r="F40" s="219"/>
    </row>
    <row r="41" spans="1:12" x14ac:dyDescent="0.3">
      <c r="A41" s="87"/>
      <c r="B41" s="88" t="s">
        <v>242</v>
      </c>
      <c r="C41" s="88" t="s">
        <v>242</v>
      </c>
      <c r="D41" s="88" t="s">
        <v>242</v>
      </c>
      <c r="E41" s="88" t="s">
        <v>242</v>
      </c>
      <c r="F41" s="218" t="s">
        <v>247</v>
      </c>
    </row>
    <row r="42" spans="1:12" x14ac:dyDescent="0.3">
      <c r="B42" s="88" t="s">
        <v>243</v>
      </c>
      <c r="C42" s="88" t="s">
        <v>243</v>
      </c>
      <c r="D42" s="88" t="s">
        <v>243</v>
      </c>
      <c r="E42" s="88" t="s">
        <v>243</v>
      </c>
      <c r="F42" s="218"/>
    </row>
    <row r="43" spans="1:12" ht="15" thickBot="1" x14ac:dyDescent="0.35">
      <c r="B43" s="88" t="s">
        <v>244</v>
      </c>
      <c r="C43" s="88" t="s">
        <v>244</v>
      </c>
      <c r="D43" s="88" t="s">
        <v>244</v>
      </c>
      <c r="E43" s="88" t="s">
        <v>244</v>
      </c>
      <c r="F43" s="219"/>
      <c r="H43" s="105" t="s">
        <v>249</v>
      </c>
    </row>
    <row r="44" spans="1:12" x14ac:dyDescent="0.3">
      <c r="B44" s="87"/>
      <c r="H44" s="87"/>
    </row>
    <row r="45" spans="1:12" x14ac:dyDescent="0.3">
      <c r="D45" s="87"/>
    </row>
    <row r="48" spans="1:12" x14ac:dyDescent="0.3">
      <c r="A48" s="213" t="s">
        <v>282</v>
      </c>
      <c r="B48" s="213"/>
      <c r="C48" s="213"/>
      <c r="D48" s="213"/>
      <c r="E48" s="213"/>
      <c r="F48" s="213"/>
      <c r="G48" s="213"/>
      <c r="H48" s="213"/>
      <c r="I48" s="213"/>
      <c r="J48" s="213"/>
      <c r="K48" s="213"/>
      <c r="L48" s="213"/>
    </row>
    <row r="49" spans="1:7" ht="15" thickBot="1" x14ac:dyDescent="0.35"/>
    <row r="50" spans="1:7" ht="15" thickBot="1" x14ac:dyDescent="0.35">
      <c r="C50" s="110"/>
      <c r="D50" s="110" t="s">
        <v>256</v>
      </c>
      <c r="E50" s="111" t="s">
        <v>257</v>
      </c>
    </row>
    <row r="51" spans="1:7" x14ac:dyDescent="0.3">
      <c r="C51" s="225" t="s">
        <v>255</v>
      </c>
      <c r="D51" s="107">
        <v>0</v>
      </c>
      <c r="E51" s="112">
        <f>BINOMDIST(D51,10,0.5,FALSE)</f>
        <v>9.765625E-4</v>
      </c>
    </row>
    <row r="52" spans="1:7" x14ac:dyDescent="0.3">
      <c r="C52" s="225"/>
      <c r="D52" s="108">
        <v>1</v>
      </c>
      <c r="E52" s="112">
        <f>BINOMDIST(D52,10,0.5,FALSE)</f>
        <v>9.7656250000000017E-3</v>
      </c>
    </row>
    <row r="53" spans="1:7" x14ac:dyDescent="0.3">
      <c r="C53" s="225"/>
      <c r="D53" s="108">
        <v>2</v>
      </c>
      <c r="E53" s="112">
        <f t="shared" ref="E53:E60" si="0">BINOMDIST(D53,10,0.5,FALSE)</f>
        <v>4.3945312499999972E-2</v>
      </c>
    </row>
    <row r="54" spans="1:7" x14ac:dyDescent="0.3">
      <c r="C54" s="225"/>
      <c r="D54" s="108">
        <v>3</v>
      </c>
      <c r="E54" s="112">
        <f t="shared" si="0"/>
        <v>0.11718750000000003</v>
      </c>
    </row>
    <row r="55" spans="1:7" x14ac:dyDescent="0.3">
      <c r="A55" s="87"/>
      <c r="C55" s="225"/>
      <c r="D55" s="108">
        <v>4</v>
      </c>
      <c r="E55" s="112">
        <f t="shared" si="0"/>
        <v>0.20507812500000006</v>
      </c>
      <c r="G55" s="45"/>
    </row>
    <row r="56" spans="1:7" x14ac:dyDescent="0.3">
      <c r="C56" s="225"/>
      <c r="D56" s="108">
        <v>5</v>
      </c>
      <c r="E56" s="112">
        <f>BINOMDIST(D56,10,0.5,FALSE)</f>
        <v>0.24609375000000008</v>
      </c>
      <c r="G56" s="45"/>
    </row>
    <row r="57" spans="1:7" x14ac:dyDescent="0.3">
      <c r="C57" s="225"/>
      <c r="D57" s="108">
        <v>6</v>
      </c>
      <c r="E57" s="112">
        <f t="shared" si="0"/>
        <v>0.20507812500000006</v>
      </c>
      <c r="G57" s="45"/>
    </row>
    <row r="58" spans="1:7" x14ac:dyDescent="0.3">
      <c r="C58" s="225"/>
      <c r="D58" s="108">
        <v>7</v>
      </c>
      <c r="E58" s="112">
        <f t="shared" si="0"/>
        <v>0.11718750000000003</v>
      </c>
      <c r="G58" s="45"/>
    </row>
    <row r="59" spans="1:7" x14ac:dyDescent="0.3">
      <c r="C59" s="225"/>
      <c r="D59" s="108">
        <v>8</v>
      </c>
      <c r="E59" s="112">
        <f t="shared" si="0"/>
        <v>4.3945312499999986E-2</v>
      </c>
      <c r="G59" s="45"/>
    </row>
    <row r="60" spans="1:7" x14ac:dyDescent="0.3">
      <c r="C60" s="225"/>
      <c r="D60" s="108">
        <v>9</v>
      </c>
      <c r="E60" s="112">
        <f t="shared" si="0"/>
        <v>9.7656250000000017E-3</v>
      </c>
    </row>
    <row r="61" spans="1:7" ht="15" thickBot="1" x14ac:dyDescent="0.35">
      <c r="C61" s="226"/>
      <c r="D61" s="109">
        <v>10</v>
      </c>
      <c r="E61" s="113">
        <f>BINOMDIST(D61,10,0.5,FALSE)</f>
        <v>9.765625E-4</v>
      </c>
    </row>
    <row r="65" spans="1:12" x14ac:dyDescent="0.3">
      <c r="C65" t="s">
        <v>303</v>
      </c>
      <c r="E65">
        <f>BINOMDIST(5,10,0.5,FALSE)</f>
        <v>0.24609375000000008</v>
      </c>
      <c r="G65" t="s">
        <v>305</v>
      </c>
    </row>
    <row r="67" spans="1:12" x14ac:dyDescent="0.3">
      <c r="C67" t="s">
        <v>304</v>
      </c>
      <c r="E67">
        <f>BINOMDIST(3,10,0.5,FALSE)</f>
        <v>0.11718750000000003</v>
      </c>
      <c r="G67" t="s">
        <v>306</v>
      </c>
    </row>
    <row r="69" spans="1:12" x14ac:dyDescent="0.3">
      <c r="C69" t="s">
        <v>258</v>
      </c>
      <c r="E69">
        <f>BINOMDIST(3,10,0.5,TRUE)</f>
        <v>0.17187500000000006</v>
      </c>
      <c r="G69" t="s">
        <v>259</v>
      </c>
    </row>
    <row r="71" spans="1:12" x14ac:dyDescent="0.3">
      <c r="C71" t="s">
        <v>261</v>
      </c>
      <c r="E71">
        <f>BINOMDIST(4,10,0.5,TRUE)</f>
        <v>0.376953125</v>
      </c>
      <c r="G71" t="s">
        <v>260</v>
      </c>
    </row>
    <row r="73" spans="1:12" x14ac:dyDescent="0.3">
      <c r="C73" t="s">
        <v>262</v>
      </c>
      <c r="E73">
        <f>1 - BINOMDIST(8,10,0.5,TRUE)</f>
        <v>1.07421875E-2</v>
      </c>
      <c r="G73" t="s">
        <v>263</v>
      </c>
    </row>
    <row r="75" spans="1:12" x14ac:dyDescent="0.3">
      <c r="C75" t="s">
        <v>264</v>
      </c>
      <c r="E75">
        <f>1 - BINOMDIST(4,10,0.5,TRUE)</f>
        <v>0.623046875</v>
      </c>
      <c r="G75" t="s">
        <v>265</v>
      </c>
    </row>
    <row r="78" spans="1:12" x14ac:dyDescent="0.3">
      <c r="A78" s="213" t="s">
        <v>281</v>
      </c>
      <c r="B78" s="213"/>
      <c r="C78" s="213"/>
      <c r="D78" s="213"/>
      <c r="E78" s="213"/>
      <c r="F78" s="213"/>
      <c r="G78" s="213"/>
      <c r="H78" s="213"/>
      <c r="I78" s="213"/>
      <c r="J78" s="213"/>
      <c r="K78" s="213"/>
      <c r="L78" s="213"/>
    </row>
    <row r="81" spans="1:12" x14ac:dyDescent="0.3">
      <c r="A81" t="s">
        <v>283</v>
      </c>
      <c r="C81">
        <v>7</v>
      </c>
    </row>
    <row r="82" spans="1:12" x14ac:dyDescent="0.3">
      <c r="A82" t="s">
        <v>284</v>
      </c>
      <c r="C82">
        <v>10</v>
      </c>
    </row>
    <row r="83" spans="1:12" x14ac:dyDescent="0.3">
      <c r="A83" t="s">
        <v>285</v>
      </c>
      <c r="C83">
        <v>101</v>
      </c>
    </row>
    <row r="84" spans="1:12" x14ac:dyDescent="0.3">
      <c r="A84" t="s">
        <v>286</v>
      </c>
      <c r="C84">
        <v>196</v>
      </c>
      <c r="D84" s="119" t="s">
        <v>287</v>
      </c>
    </row>
    <row r="86" spans="1:12" x14ac:dyDescent="0.3">
      <c r="A86">
        <f>HYPGEOMDIST(7,10,101,196)</f>
        <v>0.1303964270576736</v>
      </c>
      <c r="C86" t="s">
        <v>290</v>
      </c>
    </row>
    <row r="87" spans="1:12" x14ac:dyDescent="0.3">
      <c r="A87" t="s">
        <v>288</v>
      </c>
    </row>
    <row r="88" spans="1:12" x14ac:dyDescent="0.3">
      <c r="A88" t="s">
        <v>289</v>
      </c>
    </row>
    <row r="90" spans="1:12" x14ac:dyDescent="0.3">
      <c r="A90" s="213" t="s">
        <v>681</v>
      </c>
      <c r="B90" s="213"/>
      <c r="C90" s="213"/>
      <c r="D90" s="213"/>
      <c r="E90" s="213"/>
      <c r="F90" s="213"/>
      <c r="G90" s="213"/>
      <c r="H90" s="213"/>
      <c r="I90" s="213"/>
      <c r="J90" s="213"/>
      <c r="K90" s="213"/>
      <c r="L90" s="213"/>
    </row>
    <row r="92" spans="1:12" x14ac:dyDescent="0.3">
      <c r="A92" t="s">
        <v>292</v>
      </c>
      <c r="D92">
        <v>2</v>
      </c>
    </row>
    <row r="93" spans="1:12" x14ac:dyDescent="0.3">
      <c r="A93" t="s">
        <v>293</v>
      </c>
      <c r="D93">
        <v>1</v>
      </c>
    </row>
    <row r="94" spans="1:12" x14ac:dyDescent="0.3">
      <c r="A94" t="s">
        <v>294</v>
      </c>
      <c r="D94">
        <v>0.2</v>
      </c>
    </row>
    <row r="96" spans="1:12" x14ac:dyDescent="0.3">
      <c r="B96">
        <f>NEGBINOMDIST(2,1,0.2)</f>
        <v>0.128</v>
      </c>
      <c r="D96" t="s">
        <v>682</v>
      </c>
    </row>
    <row r="98" spans="1:12" x14ac:dyDescent="0.3">
      <c r="A98" s="213" t="s">
        <v>291</v>
      </c>
      <c r="B98" s="213"/>
      <c r="C98" s="213"/>
      <c r="D98" s="213"/>
      <c r="E98" s="213"/>
      <c r="F98" s="213"/>
      <c r="G98" s="213"/>
      <c r="H98" s="213"/>
      <c r="I98" s="213"/>
      <c r="J98" s="213"/>
      <c r="K98" s="213"/>
      <c r="L98" s="213"/>
    </row>
    <row r="100" spans="1:12" x14ac:dyDescent="0.3">
      <c r="A100" t="s">
        <v>292</v>
      </c>
      <c r="D100">
        <v>5</v>
      </c>
      <c r="H100" t="s">
        <v>295</v>
      </c>
      <c r="I100" t="s">
        <v>296</v>
      </c>
    </row>
    <row r="101" spans="1:12" x14ac:dyDescent="0.3">
      <c r="A101" t="s">
        <v>293</v>
      </c>
      <c r="D101">
        <v>3</v>
      </c>
      <c r="H101">
        <v>1</v>
      </c>
    </row>
    <row r="102" spans="1:12" x14ac:dyDescent="0.3">
      <c r="A102" t="s">
        <v>294</v>
      </c>
      <c r="D102">
        <v>0.2</v>
      </c>
      <c r="H102">
        <v>2</v>
      </c>
      <c r="I102">
        <v>1</v>
      </c>
    </row>
    <row r="103" spans="1:12" x14ac:dyDescent="0.3">
      <c r="H103">
        <v>3</v>
      </c>
    </row>
    <row r="104" spans="1:12" x14ac:dyDescent="0.3">
      <c r="B104">
        <f>NEGBINOMDIST(5,3,0.2)</f>
        <v>5.5050240000000007E-2</v>
      </c>
      <c r="D104" t="s">
        <v>683</v>
      </c>
      <c r="H104">
        <v>4</v>
      </c>
    </row>
    <row r="105" spans="1:12" x14ac:dyDescent="0.3">
      <c r="H105">
        <v>5</v>
      </c>
      <c r="I105">
        <v>1</v>
      </c>
    </row>
    <row r="106" spans="1:12" x14ac:dyDescent="0.3">
      <c r="H106">
        <v>6</v>
      </c>
    </row>
    <row r="107" spans="1:12" x14ac:dyDescent="0.3">
      <c r="H107">
        <v>7</v>
      </c>
    </row>
    <row r="108" spans="1:12" x14ac:dyDescent="0.3">
      <c r="H108">
        <v>8</v>
      </c>
      <c r="I108">
        <v>1</v>
      </c>
    </row>
    <row r="110" spans="1:12" x14ac:dyDescent="0.3">
      <c r="A110" t="s">
        <v>686</v>
      </c>
    </row>
    <row r="111" spans="1:12" x14ac:dyDescent="0.3">
      <c r="A111" t="s">
        <v>684</v>
      </c>
    </row>
    <row r="112" spans="1:12" x14ac:dyDescent="0.3">
      <c r="A112" t="s">
        <v>685</v>
      </c>
    </row>
    <row r="114" spans="1:12" x14ac:dyDescent="0.3">
      <c r="B114">
        <f>NEGBINOMDIST(3,1,0.6)</f>
        <v>3.8400000000000011E-2</v>
      </c>
      <c r="D114" t="s">
        <v>687</v>
      </c>
    </row>
    <row r="117" spans="1:12" x14ac:dyDescent="0.3">
      <c r="A117" s="213" t="s">
        <v>688</v>
      </c>
      <c r="B117" s="213"/>
      <c r="C117" s="213"/>
      <c r="D117" s="213"/>
      <c r="E117" s="213"/>
      <c r="F117" s="213"/>
      <c r="G117" s="213"/>
      <c r="H117" s="213"/>
      <c r="I117" s="213"/>
      <c r="J117" s="213"/>
      <c r="K117" s="213"/>
      <c r="L117" s="213"/>
    </row>
    <row r="119" spans="1:12" x14ac:dyDescent="0.3">
      <c r="A119" t="s">
        <v>689</v>
      </c>
    </row>
    <row r="120" spans="1:12" x14ac:dyDescent="0.3">
      <c r="A120" t="s">
        <v>690</v>
      </c>
    </row>
    <row r="122" spans="1:12" x14ac:dyDescent="0.3">
      <c r="A122" t="s">
        <v>691</v>
      </c>
      <c r="C122">
        <v>15</v>
      </c>
      <c r="J122">
        <v>0</v>
      </c>
      <c r="K122">
        <f>POISSON(J122,12,FALSE)</f>
        <v>6.1442123533282098E-6</v>
      </c>
    </row>
    <row r="123" spans="1:12" x14ac:dyDescent="0.3">
      <c r="A123" t="s">
        <v>692</v>
      </c>
      <c r="C123">
        <v>12</v>
      </c>
      <c r="J123">
        <v>1</v>
      </c>
      <c r="K123">
        <f>POISSON(J123,12,FALSE)</f>
        <v>7.3730548239938514E-5</v>
      </c>
    </row>
    <row r="124" spans="1:12" x14ac:dyDescent="0.3">
      <c r="A124" t="s">
        <v>693</v>
      </c>
      <c r="C124" t="b">
        <v>0</v>
      </c>
      <c r="J124">
        <v>2</v>
      </c>
      <c r="K124">
        <f t="shared" ref="K124:K152" si="1">POISSON(J124,12,FALSE)</f>
        <v>4.423832894396313E-4</v>
      </c>
    </row>
    <row r="125" spans="1:12" x14ac:dyDescent="0.3">
      <c r="J125">
        <v>3</v>
      </c>
      <c r="K125">
        <f t="shared" si="1"/>
        <v>1.7695331577585235E-3</v>
      </c>
    </row>
    <row r="126" spans="1:12" x14ac:dyDescent="0.3">
      <c r="J126">
        <v>4</v>
      </c>
      <c r="K126">
        <f t="shared" si="1"/>
        <v>5.3085994732755765E-3</v>
      </c>
    </row>
    <row r="127" spans="1:12" x14ac:dyDescent="0.3">
      <c r="B127">
        <f>POISSON(15,12,FALSE)</f>
        <v>7.2391120146638691E-2</v>
      </c>
      <c r="D127" t="s">
        <v>694</v>
      </c>
      <c r="J127">
        <v>5</v>
      </c>
      <c r="K127">
        <f t="shared" si="1"/>
        <v>1.2740638735861376E-2</v>
      </c>
    </row>
    <row r="128" spans="1:12" x14ac:dyDescent="0.3">
      <c r="J128">
        <v>6</v>
      </c>
      <c r="K128">
        <f t="shared" si="1"/>
        <v>2.5481277471722744E-2</v>
      </c>
    </row>
    <row r="129" spans="1:11" x14ac:dyDescent="0.3">
      <c r="A129" t="s">
        <v>695</v>
      </c>
      <c r="J129">
        <v>7</v>
      </c>
      <c r="K129">
        <f t="shared" si="1"/>
        <v>4.3682189951524682E-2</v>
      </c>
    </row>
    <row r="130" spans="1:11" x14ac:dyDescent="0.3">
      <c r="J130">
        <v>8</v>
      </c>
      <c r="K130">
        <f t="shared" si="1"/>
        <v>6.5523284927287068E-2</v>
      </c>
    </row>
    <row r="131" spans="1:11" x14ac:dyDescent="0.3">
      <c r="A131" t="s">
        <v>691</v>
      </c>
      <c r="C131">
        <v>15</v>
      </c>
      <c r="J131">
        <v>9</v>
      </c>
      <c r="K131">
        <f t="shared" si="1"/>
        <v>8.7364379903049433E-2</v>
      </c>
    </row>
    <row r="132" spans="1:11" x14ac:dyDescent="0.3">
      <c r="A132" t="s">
        <v>692</v>
      </c>
      <c r="C132">
        <v>12</v>
      </c>
      <c r="J132">
        <v>10</v>
      </c>
      <c r="K132">
        <f t="shared" si="1"/>
        <v>0.10483725588365932</v>
      </c>
    </row>
    <row r="133" spans="1:11" x14ac:dyDescent="0.3">
      <c r="A133" t="s">
        <v>693</v>
      </c>
      <c r="C133" t="b">
        <v>1</v>
      </c>
      <c r="J133">
        <v>11</v>
      </c>
      <c r="K133">
        <f t="shared" si="1"/>
        <v>0.11436791550944653</v>
      </c>
    </row>
    <row r="134" spans="1:11" x14ac:dyDescent="0.3">
      <c r="J134">
        <v>12</v>
      </c>
      <c r="K134">
        <f t="shared" si="1"/>
        <v>0.11436791550944654</v>
      </c>
    </row>
    <row r="135" spans="1:11" x14ac:dyDescent="0.3">
      <c r="B135">
        <f>1-POISSON(15,12,TRUE)</f>
        <v>0.15558434754981687</v>
      </c>
      <c r="D135" t="s">
        <v>697</v>
      </c>
      <c r="J135">
        <v>13</v>
      </c>
      <c r="K135">
        <f t="shared" si="1"/>
        <v>0.10557038354718144</v>
      </c>
    </row>
    <row r="136" spans="1:11" x14ac:dyDescent="0.3">
      <c r="J136">
        <v>14</v>
      </c>
      <c r="K136">
        <f t="shared" si="1"/>
        <v>9.0488900183298387E-2</v>
      </c>
    </row>
    <row r="137" spans="1:11" x14ac:dyDescent="0.3">
      <c r="A137" t="s">
        <v>696</v>
      </c>
      <c r="J137">
        <v>15</v>
      </c>
      <c r="K137">
        <f t="shared" si="1"/>
        <v>7.2391120146638691E-2</v>
      </c>
    </row>
    <row r="138" spans="1:11" x14ac:dyDescent="0.3">
      <c r="J138">
        <v>16</v>
      </c>
      <c r="K138">
        <f t="shared" si="1"/>
        <v>5.4293340109979028E-2</v>
      </c>
    </row>
    <row r="139" spans="1:11" x14ac:dyDescent="0.3">
      <c r="A139" t="s">
        <v>691</v>
      </c>
      <c r="C139">
        <v>9</v>
      </c>
      <c r="J139">
        <v>17</v>
      </c>
      <c r="K139">
        <f t="shared" si="1"/>
        <v>3.8324710665867553E-2</v>
      </c>
    </row>
    <row r="140" spans="1:11" x14ac:dyDescent="0.3">
      <c r="A140" t="s">
        <v>692</v>
      </c>
      <c r="C140">
        <v>12</v>
      </c>
      <c r="J140">
        <v>18</v>
      </c>
      <c r="K140">
        <f t="shared" si="1"/>
        <v>2.5549807110578349E-2</v>
      </c>
    </row>
    <row r="141" spans="1:11" x14ac:dyDescent="0.3">
      <c r="A141" t="s">
        <v>693</v>
      </c>
      <c r="C141" t="b">
        <v>1</v>
      </c>
      <c r="J141">
        <v>19</v>
      </c>
      <c r="K141">
        <f t="shared" si="1"/>
        <v>1.6136720280365273E-2</v>
      </c>
    </row>
    <row r="142" spans="1:11" x14ac:dyDescent="0.3">
      <c r="J142">
        <v>20</v>
      </c>
      <c r="K142">
        <f t="shared" si="1"/>
        <v>9.6820321682191679E-3</v>
      </c>
    </row>
    <row r="143" spans="1:11" x14ac:dyDescent="0.3">
      <c r="B143">
        <f>POISSON(9,12,TRUE)</f>
        <v>0.24239216167051239</v>
      </c>
      <c r="D143" t="s">
        <v>698</v>
      </c>
      <c r="J143">
        <v>21</v>
      </c>
      <c r="K143">
        <f t="shared" si="1"/>
        <v>5.5325898104109563E-3</v>
      </c>
    </row>
    <row r="144" spans="1:11" x14ac:dyDescent="0.3">
      <c r="J144">
        <v>22</v>
      </c>
      <c r="K144">
        <f t="shared" si="1"/>
        <v>3.0177762602241584E-3</v>
      </c>
    </row>
    <row r="145" spans="1:15" x14ac:dyDescent="0.3">
      <c r="A145" t="s">
        <v>699</v>
      </c>
      <c r="J145">
        <v>23</v>
      </c>
      <c r="K145">
        <f t="shared" si="1"/>
        <v>1.5744919618560791E-3</v>
      </c>
    </row>
    <row r="146" spans="1:15" x14ac:dyDescent="0.3">
      <c r="J146">
        <v>24</v>
      </c>
      <c r="K146">
        <f t="shared" si="1"/>
        <v>7.8724598092804214E-4</v>
      </c>
    </row>
    <row r="147" spans="1:15" x14ac:dyDescent="0.3">
      <c r="A147" t="s">
        <v>691</v>
      </c>
      <c r="C147">
        <v>11</v>
      </c>
      <c r="J147">
        <v>25</v>
      </c>
      <c r="K147">
        <f t="shared" si="1"/>
        <v>3.7787807084545873E-4</v>
      </c>
    </row>
    <row r="148" spans="1:15" x14ac:dyDescent="0.3">
      <c r="A148" t="s">
        <v>692</v>
      </c>
      <c r="C148">
        <v>12</v>
      </c>
      <c r="J148">
        <v>26</v>
      </c>
      <c r="K148">
        <f t="shared" si="1"/>
        <v>1.7440526346713551E-4</v>
      </c>
    </row>
    <row r="149" spans="1:15" x14ac:dyDescent="0.3">
      <c r="A149" t="s">
        <v>693</v>
      </c>
      <c r="C149" t="b">
        <v>1</v>
      </c>
      <c r="J149">
        <v>27</v>
      </c>
      <c r="K149">
        <f t="shared" si="1"/>
        <v>7.7513450429837866E-5</v>
      </c>
    </row>
    <row r="150" spans="1:15" x14ac:dyDescent="0.3">
      <c r="J150">
        <v>28</v>
      </c>
      <c r="K150">
        <f t="shared" si="1"/>
        <v>3.3220050184216148E-5</v>
      </c>
    </row>
    <row r="151" spans="1:15" x14ac:dyDescent="0.3">
      <c r="B151">
        <f>POISSON(11,12,TRUE)</f>
        <v>0.46159733306361805</v>
      </c>
      <c r="D151" t="s">
        <v>700</v>
      </c>
      <c r="J151">
        <v>29</v>
      </c>
      <c r="K151">
        <f t="shared" si="1"/>
        <v>1.374622766243433E-5</v>
      </c>
    </row>
    <row r="152" spans="1:15" x14ac:dyDescent="0.3">
      <c r="J152">
        <v>30</v>
      </c>
      <c r="K152">
        <f t="shared" si="1"/>
        <v>5.4984910649737217E-6</v>
      </c>
    </row>
    <row r="153" spans="1:15" x14ac:dyDescent="0.3">
      <c r="O153">
        <v>1</v>
      </c>
    </row>
  </sheetData>
  <mergeCells count="16">
    <mergeCell ref="A117:L117"/>
    <mergeCell ref="A78:L78"/>
    <mergeCell ref="A90:L90"/>
    <mergeCell ref="A98:L98"/>
    <mergeCell ref="C51:C61"/>
    <mergeCell ref="A48:L48"/>
    <mergeCell ref="B9:I9"/>
    <mergeCell ref="B19:I19"/>
    <mergeCell ref="F32:F40"/>
    <mergeCell ref="F41:F43"/>
    <mergeCell ref="B12:B17"/>
    <mergeCell ref="D10:I10"/>
    <mergeCell ref="B10:C11"/>
    <mergeCell ref="B20:C21"/>
    <mergeCell ref="D20:I20"/>
    <mergeCell ref="B22:B2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0"/>
  <sheetViews>
    <sheetView topLeftCell="A11" zoomScale="110" zoomScaleNormal="110" workbookViewId="0">
      <selection activeCell="B16" sqref="B16:B18"/>
    </sheetView>
  </sheetViews>
  <sheetFormatPr defaultRowHeight="14.4" x14ac:dyDescent="0.3"/>
  <cols>
    <col min="1" max="1" width="9.109375" style="88"/>
    <col min="2" max="2" width="154.109375" customWidth="1"/>
  </cols>
  <sheetData>
    <row r="1" spans="1:14" ht="24" customHeight="1" x14ac:dyDescent="0.3">
      <c r="A1" s="88">
        <v>1</v>
      </c>
      <c r="B1" s="118" t="s">
        <v>266</v>
      </c>
      <c r="C1" s="114"/>
      <c r="D1" s="114"/>
      <c r="E1" s="114"/>
      <c r="F1" s="114"/>
      <c r="G1" s="114"/>
      <c r="H1" s="114"/>
      <c r="I1" s="114"/>
      <c r="J1" s="114"/>
      <c r="K1" s="114"/>
      <c r="L1" s="114"/>
      <c r="M1" s="114"/>
      <c r="N1" s="114"/>
    </row>
    <row r="2" spans="1:14" ht="20.100000000000001" customHeight="1" x14ac:dyDescent="0.3">
      <c r="B2" s="118"/>
      <c r="C2" s="114"/>
      <c r="D2" s="114"/>
      <c r="E2" s="114"/>
      <c r="F2" s="114"/>
      <c r="G2" s="114"/>
      <c r="H2" s="114"/>
      <c r="I2" s="114"/>
      <c r="J2" s="114"/>
      <c r="K2" s="114"/>
      <c r="L2" s="114"/>
      <c r="M2" s="114"/>
      <c r="N2" s="114"/>
    </row>
    <row r="3" spans="1:14" ht="35.25" customHeight="1" x14ac:dyDescent="0.3">
      <c r="A3" s="88">
        <v>2</v>
      </c>
      <c r="B3" s="117" t="s">
        <v>267</v>
      </c>
      <c r="C3" s="114"/>
      <c r="D3" s="114"/>
      <c r="E3" s="114"/>
      <c r="F3" s="114"/>
      <c r="G3" s="114"/>
      <c r="H3" s="114"/>
      <c r="I3" s="114"/>
      <c r="J3" s="114"/>
      <c r="K3" s="114"/>
      <c r="L3" s="114"/>
      <c r="M3" s="114"/>
      <c r="N3" s="114"/>
    </row>
    <row r="4" spans="1:14" ht="20.100000000000001" customHeight="1" x14ac:dyDescent="0.3">
      <c r="B4" s="116"/>
      <c r="C4" s="114"/>
      <c r="D4" s="114"/>
      <c r="E4" s="114"/>
      <c r="F4" s="114"/>
      <c r="G4" s="114"/>
      <c r="H4" s="114"/>
      <c r="I4" s="114"/>
      <c r="J4" s="114"/>
      <c r="K4" s="114"/>
      <c r="L4" s="114"/>
      <c r="M4" s="114"/>
      <c r="N4" s="114"/>
    </row>
    <row r="5" spans="1:14" ht="33.75" customHeight="1" x14ac:dyDescent="0.3">
      <c r="A5" s="88">
        <v>3</v>
      </c>
      <c r="B5" s="115" t="s">
        <v>268</v>
      </c>
      <c r="D5" s="114"/>
      <c r="E5" s="114"/>
      <c r="F5" s="114"/>
      <c r="G5" s="114"/>
      <c r="H5" s="114"/>
      <c r="I5" s="114"/>
      <c r="J5" s="114"/>
      <c r="K5" s="114"/>
      <c r="L5" s="114"/>
      <c r="M5" s="114"/>
      <c r="N5" s="114"/>
    </row>
    <row r="6" spans="1:14" ht="20.100000000000001" customHeight="1" x14ac:dyDescent="0.3">
      <c r="B6" s="116"/>
      <c r="C6" s="114"/>
      <c r="D6" s="114"/>
      <c r="E6" s="114"/>
      <c r="F6" s="114"/>
      <c r="G6" s="114"/>
      <c r="H6" s="114"/>
      <c r="I6" s="114"/>
      <c r="J6" s="114"/>
      <c r="K6" s="114"/>
      <c r="L6" s="114"/>
      <c r="M6" s="114"/>
      <c r="N6" s="114"/>
    </row>
    <row r="7" spans="1:14" ht="20.100000000000001" customHeight="1" x14ac:dyDescent="0.3">
      <c r="A7" s="88">
        <v>4</v>
      </c>
      <c r="B7" s="114" t="s">
        <v>269</v>
      </c>
      <c r="D7" s="114"/>
      <c r="E7" s="114"/>
      <c r="F7" s="114"/>
      <c r="G7" s="114"/>
      <c r="H7" s="114"/>
      <c r="I7" s="114"/>
      <c r="J7" s="114"/>
      <c r="K7" s="114"/>
      <c r="L7" s="114"/>
      <c r="M7" s="114"/>
      <c r="N7" s="114"/>
    </row>
    <row r="8" spans="1:14" ht="20.100000000000001" customHeight="1" x14ac:dyDescent="0.3">
      <c r="A8" s="88" t="s">
        <v>277</v>
      </c>
      <c r="B8" s="114" t="s">
        <v>270</v>
      </c>
      <c r="D8" s="114"/>
      <c r="E8" s="114"/>
      <c r="F8" s="114"/>
      <c r="G8" s="114"/>
      <c r="H8" s="114"/>
      <c r="I8" s="114"/>
      <c r="J8" s="114"/>
      <c r="K8" s="114"/>
      <c r="L8" s="114"/>
      <c r="M8" s="114"/>
      <c r="N8" s="114"/>
    </row>
    <row r="9" spans="1:14" ht="20.100000000000001" customHeight="1" x14ac:dyDescent="0.3">
      <c r="A9" s="88" t="s">
        <v>278</v>
      </c>
      <c r="B9" s="114" t="s">
        <v>271</v>
      </c>
      <c r="D9" s="114"/>
      <c r="E9" s="114"/>
      <c r="F9" s="114"/>
      <c r="G9" s="114"/>
      <c r="H9" s="114"/>
      <c r="I9" s="114"/>
      <c r="J9" s="114"/>
      <c r="K9" s="114"/>
      <c r="L9" s="114"/>
      <c r="M9" s="114"/>
      <c r="N9" s="114"/>
    </row>
    <row r="10" spans="1:14" ht="20.100000000000001" customHeight="1" x14ac:dyDescent="0.3">
      <c r="A10" s="88" t="s">
        <v>279</v>
      </c>
      <c r="B10" s="114" t="s">
        <v>272</v>
      </c>
      <c r="D10" s="114"/>
      <c r="E10" s="114"/>
      <c r="F10" s="114"/>
      <c r="G10" s="114"/>
      <c r="H10" s="114"/>
      <c r="I10" s="114"/>
      <c r="J10" s="114"/>
      <c r="K10" s="114"/>
      <c r="L10" s="114"/>
      <c r="M10" s="114"/>
      <c r="N10" s="114"/>
    </row>
    <row r="11" spans="1:14" ht="20.100000000000001" customHeight="1" x14ac:dyDescent="0.3">
      <c r="B11" s="114"/>
      <c r="D11" s="114"/>
      <c r="E11" s="114"/>
      <c r="F11" s="114"/>
      <c r="G11" s="114"/>
      <c r="H11" s="114"/>
      <c r="I11" s="114"/>
      <c r="J11" s="114"/>
      <c r="K11" s="114"/>
      <c r="L11" s="114"/>
      <c r="M11" s="114"/>
      <c r="N11" s="114"/>
    </row>
    <row r="12" spans="1:14" ht="24.75" customHeight="1" x14ac:dyDescent="0.3">
      <c r="A12" s="88">
        <v>5</v>
      </c>
      <c r="B12" s="114" t="s">
        <v>273</v>
      </c>
      <c r="D12" s="114"/>
      <c r="E12" s="114"/>
      <c r="F12" s="114"/>
      <c r="G12" s="114"/>
      <c r="H12" s="114"/>
      <c r="I12" s="114"/>
      <c r="J12" s="114"/>
      <c r="K12" s="114"/>
      <c r="L12" s="114"/>
      <c r="M12" s="114"/>
      <c r="N12" s="114"/>
    </row>
    <row r="13" spans="1:14" ht="20.100000000000001" customHeight="1" x14ac:dyDescent="0.3">
      <c r="B13" s="114"/>
      <c r="C13" s="114"/>
      <c r="D13" s="114"/>
      <c r="E13" s="114"/>
      <c r="F13" s="114"/>
      <c r="G13" s="114"/>
      <c r="H13" s="114"/>
      <c r="I13" s="114"/>
      <c r="J13" s="114"/>
      <c r="K13" s="114"/>
      <c r="L13" s="114"/>
      <c r="M13" s="114"/>
      <c r="N13" s="114"/>
    </row>
    <row r="14" spans="1:14" ht="32.25" customHeight="1" x14ac:dyDescent="0.3">
      <c r="A14" s="88">
        <v>6</v>
      </c>
      <c r="B14" s="115" t="s">
        <v>280</v>
      </c>
      <c r="C14" s="114"/>
      <c r="D14" s="114"/>
      <c r="E14" s="114"/>
      <c r="F14" s="114"/>
      <c r="G14" s="114"/>
      <c r="H14" s="114"/>
      <c r="I14" s="114"/>
      <c r="J14" s="114"/>
      <c r="K14" s="114"/>
      <c r="L14" s="114"/>
      <c r="M14" s="114"/>
      <c r="N14" s="114"/>
    </row>
    <row r="15" spans="1:14" ht="20.100000000000001" customHeight="1" x14ac:dyDescent="0.3">
      <c r="B15" s="114"/>
      <c r="C15" s="114"/>
      <c r="D15" s="114"/>
      <c r="E15" s="114"/>
      <c r="F15" s="114"/>
      <c r="G15" s="114"/>
      <c r="H15" s="114"/>
      <c r="I15" s="114"/>
      <c r="J15" s="114"/>
      <c r="K15" s="114"/>
      <c r="L15" s="114"/>
      <c r="M15" s="114"/>
      <c r="N15" s="114"/>
    </row>
    <row r="16" spans="1:14" ht="20.100000000000001" customHeight="1" x14ac:dyDescent="0.3">
      <c r="A16" s="88">
        <v>7</v>
      </c>
      <c r="B16" s="114" t="s">
        <v>274</v>
      </c>
      <c r="C16" s="114"/>
      <c r="D16" s="114"/>
      <c r="E16" s="114"/>
      <c r="F16" s="114"/>
      <c r="G16" s="114"/>
      <c r="H16" s="114"/>
      <c r="I16" s="114"/>
      <c r="J16" s="114"/>
      <c r="K16" s="114"/>
      <c r="L16" s="114"/>
      <c r="M16" s="114"/>
      <c r="N16" s="114"/>
    </row>
    <row r="17" spans="1:14" ht="20.100000000000001" customHeight="1" x14ac:dyDescent="0.3">
      <c r="A17" s="88" t="s">
        <v>277</v>
      </c>
      <c r="B17" s="114" t="s">
        <v>275</v>
      </c>
      <c r="C17" s="114"/>
      <c r="D17" s="114"/>
      <c r="E17" s="114"/>
      <c r="F17" s="114"/>
      <c r="G17" s="114"/>
      <c r="H17" s="114"/>
      <c r="I17" s="114"/>
      <c r="J17" s="114"/>
      <c r="K17" s="114"/>
      <c r="L17" s="114"/>
      <c r="M17" s="114"/>
      <c r="N17" s="114"/>
    </row>
    <row r="18" spans="1:14" ht="20.100000000000001" customHeight="1" x14ac:dyDescent="0.3">
      <c r="A18" s="88" t="s">
        <v>278</v>
      </c>
      <c r="B18" s="114" t="s">
        <v>276</v>
      </c>
      <c r="C18" s="114"/>
      <c r="D18" s="114"/>
      <c r="E18" s="114"/>
      <c r="F18" s="114"/>
      <c r="G18" s="114"/>
      <c r="H18" s="114"/>
      <c r="I18" s="114"/>
      <c r="J18" s="114"/>
      <c r="K18" s="114"/>
      <c r="L18" s="114"/>
      <c r="M18" s="114"/>
      <c r="N18" s="114"/>
    </row>
    <row r="19" spans="1:14" ht="20.100000000000001" customHeight="1" x14ac:dyDescent="0.3">
      <c r="B19" s="114"/>
      <c r="C19" s="114"/>
      <c r="D19" s="114"/>
      <c r="E19" s="114"/>
      <c r="F19" s="114"/>
      <c r="G19" s="114"/>
      <c r="H19" s="114"/>
      <c r="I19" s="114"/>
      <c r="J19" s="114"/>
      <c r="K19" s="114"/>
      <c r="L19" s="114"/>
      <c r="M19" s="114"/>
      <c r="N19" s="114"/>
    </row>
    <row r="20" spans="1:14" ht="20.100000000000001" customHeight="1" x14ac:dyDescent="0.3">
      <c r="A20" s="88">
        <v>8</v>
      </c>
      <c r="B20" t="s">
        <v>701</v>
      </c>
    </row>
    <row r="21" spans="1:14" ht="20.100000000000001" customHeight="1" x14ac:dyDescent="0.3">
      <c r="A21" s="120" t="s">
        <v>277</v>
      </c>
      <c r="B21" t="s">
        <v>702</v>
      </c>
    </row>
    <row r="22" spans="1:14" ht="20.100000000000001" customHeight="1" x14ac:dyDescent="0.3">
      <c r="A22" s="120" t="s">
        <v>278</v>
      </c>
      <c r="B22" t="s">
        <v>703</v>
      </c>
    </row>
    <row r="23" spans="1:14" ht="20.100000000000001" customHeight="1" x14ac:dyDescent="0.3">
      <c r="A23" s="120" t="s">
        <v>279</v>
      </c>
      <c r="B23" t="s">
        <v>704</v>
      </c>
    </row>
    <row r="24" spans="1:14" ht="20.100000000000001" customHeight="1" x14ac:dyDescent="0.3"/>
    <row r="25" spans="1:14" ht="20.100000000000001" customHeight="1" x14ac:dyDescent="0.3">
      <c r="A25" s="88">
        <v>9</v>
      </c>
    </row>
    <row r="26" spans="1:14" ht="20.100000000000001" customHeight="1" x14ac:dyDescent="0.3"/>
    <row r="27" spans="1:14" ht="20.100000000000001" customHeight="1" x14ac:dyDescent="0.3"/>
    <row r="28" spans="1:14" ht="20.100000000000001" customHeight="1" x14ac:dyDescent="0.3"/>
    <row r="29" spans="1:14" ht="20.100000000000001" customHeight="1" x14ac:dyDescent="0.3"/>
    <row r="30" spans="1:14" ht="20.100000000000001" customHeight="1"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I1471"/>
  <sheetViews>
    <sheetView topLeftCell="K1" zoomScale="130" zoomScaleNormal="130" workbookViewId="0">
      <selection activeCell="T1" sqref="T1:T1048576"/>
    </sheetView>
  </sheetViews>
  <sheetFormatPr defaultRowHeight="14.4" x14ac:dyDescent="0.3"/>
  <cols>
    <col min="24" max="24" width="15.6640625" customWidth="1"/>
    <col min="30" max="30" width="9.5546875" bestFit="1" customWidth="1"/>
  </cols>
  <sheetData>
    <row r="1" spans="1:35" x14ac:dyDescent="0.3">
      <c r="A1" t="s">
        <v>706</v>
      </c>
      <c r="T1" t="s">
        <v>92</v>
      </c>
    </row>
    <row r="2" spans="1:35" ht="15" thickBot="1" x14ac:dyDescent="0.35">
      <c r="A2">
        <v>0.91668550571233709</v>
      </c>
      <c r="B2" s="54">
        <f t="shared" ref="B2:B65" si="0">A2*1000</f>
        <v>916.68550571233709</v>
      </c>
      <c r="G2">
        <v>0</v>
      </c>
      <c r="T2">
        <v>41</v>
      </c>
    </row>
    <row r="3" spans="1:35" x14ac:dyDescent="0.3">
      <c r="A3">
        <v>0.61484525589863592</v>
      </c>
      <c r="B3" s="54">
        <f t="shared" si="0"/>
        <v>614.84525589863597</v>
      </c>
      <c r="G3">
        <v>50</v>
      </c>
      <c r="J3" s="43" t="s">
        <v>707</v>
      </c>
      <c r="K3" s="43" t="s">
        <v>30</v>
      </c>
      <c r="T3">
        <v>49</v>
      </c>
    </row>
    <row r="4" spans="1:35" x14ac:dyDescent="0.3">
      <c r="A4">
        <v>0.15985984921492435</v>
      </c>
      <c r="B4" s="54">
        <f t="shared" si="0"/>
        <v>159.85984921492437</v>
      </c>
      <c r="G4">
        <v>100</v>
      </c>
      <c r="J4" s="38">
        <v>50</v>
      </c>
      <c r="K4" s="39">
        <v>30</v>
      </c>
      <c r="T4">
        <v>37</v>
      </c>
      <c r="V4">
        <v>10</v>
      </c>
    </row>
    <row r="5" spans="1:35" x14ac:dyDescent="0.3">
      <c r="A5">
        <v>0.73611713717450811</v>
      </c>
      <c r="B5" s="54">
        <f t="shared" si="0"/>
        <v>736.11713717450812</v>
      </c>
      <c r="G5">
        <v>150</v>
      </c>
      <c r="J5" s="38">
        <v>100</v>
      </c>
      <c r="K5" s="39">
        <v>28</v>
      </c>
      <c r="T5">
        <v>33</v>
      </c>
      <c r="V5">
        <v>15</v>
      </c>
    </row>
    <row r="6" spans="1:35" x14ac:dyDescent="0.3">
      <c r="A6">
        <v>0.87798905243367575</v>
      </c>
      <c r="B6" s="54">
        <f t="shared" si="0"/>
        <v>877.98905243367574</v>
      </c>
      <c r="G6">
        <v>200</v>
      </c>
      <c r="J6" s="38">
        <v>150</v>
      </c>
      <c r="K6" s="39">
        <v>22</v>
      </c>
      <c r="T6">
        <v>27</v>
      </c>
      <c r="V6">
        <v>20</v>
      </c>
      <c r="X6" t="s">
        <v>53</v>
      </c>
      <c r="Y6">
        <f>AVERAGE(T2:T1471)</f>
        <v>36.923809523809524</v>
      </c>
    </row>
    <row r="7" spans="1:35" x14ac:dyDescent="0.3">
      <c r="A7">
        <v>0.20264517899172363</v>
      </c>
      <c r="B7" s="54">
        <f t="shared" si="0"/>
        <v>202.64517899172364</v>
      </c>
      <c r="G7">
        <v>250</v>
      </c>
      <c r="J7" s="38">
        <v>200</v>
      </c>
      <c r="K7" s="39">
        <v>26</v>
      </c>
      <c r="T7">
        <v>32</v>
      </c>
      <c r="V7">
        <v>25</v>
      </c>
      <c r="X7" t="s">
        <v>33</v>
      </c>
      <c r="Y7">
        <f>MEDIAN(T2:T1471)</f>
        <v>36</v>
      </c>
      <c r="AA7" t="s">
        <v>709</v>
      </c>
    </row>
    <row r="8" spans="1:35" x14ac:dyDescent="0.3">
      <c r="A8">
        <v>3.1008267800954226E-2</v>
      </c>
      <c r="B8" s="54">
        <f t="shared" si="0"/>
        <v>31.008267800954226</v>
      </c>
      <c r="G8">
        <v>300</v>
      </c>
      <c r="J8" s="38">
        <v>250</v>
      </c>
      <c r="K8" s="39">
        <v>20</v>
      </c>
      <c r="T8">
        <v>59</v>
      </c>
      <c r="V8">
        <v>30</v>
      </c>
      <c r="X8" t="s">
        <v>54</v>
      </c>
      <c r="Y8">
        <f>MODE(T3:T1472)</f>
        <v>35</v>
      </c>
      <c r="AA8" t="s">
        <v>710</v>
      </c>
    </row>
    <row r="9" spans="1:35" x14ac:dyDescent="0.3">
      <c r="A9">
        <v>0.29080301369415373</v>
      </c>
      <c r="B9" s="54">
        <f t="shared" si="0"/>
        <v>290.80301369415372</v>
      </c>
      <c r="G9">
        <v>350</v>
      </c>
      <c r="J9" s="38">
        <v>300</v>
      </c>
      <c r="K9" s="39">
        <v>32</v>
      </c>
      <c r="T9">
        <v>30</v>
      </c>
      <c r="V9">
        <v>35</v>
      </c>
    </row>
    <row r="10" spans="1:35" x14ac:dyDescent="0.3">
      <c r="A10">
        <v>0.86767877687611605</v>
      </c>
      <c r="B10" s="54">
        <f t="shared" si="0"/>
        <v>867.6787768761161</v>
      </c>
      <c r="G10">
        <v>400</v>
      </c>
      <c r="J10" s="38">
        <v>350</v>
      </c>
      <c r="K10" s="39">
        <v>24</v>
      </c>
      <c r="T10">
        <v>38</v>
      </c>
      <c r="V10">
        <v>40</v>
      </c>
      <c r="X10" t="s">
        <v>225</v>
      </c>
      <c r="Y10">
        <f>STDEV(T2:T1471)</f>
        <v>9.1353734891367289</v>
      </c>
      <c r="AA10" t="s">
        <v>711</v>
      </c>
    </row>
    <row r="11" spans="1:35" x14ac:dyDescent="0.3">
      <c r="A11">
        <v>0.15687640634338562</v>
      </c>
      <c r="B11" s="54">
        <f t="shared" si="0"/>
        <v>156.87640634338561</v>
      </c>
      <c r="D11" t="s">
        <v>708</v>
      </c>
      <c r="E11" s="54">
        <f>AVERAGE(B2:B500)</f>
        <v>506.88184098125612</v>
      </c>
      <c r="G11">
        <v>450</v>
      </c>
      <c r="J11" s="38">
        <v>400</v>
      </c>
      <c r="K11" s="39">
        <v>21</v>
      </c>
      <c r="T11">
        <v>36</v>
      </c>
      <c r="V11">
        <v>45</v>
      </c>
    </row>
    <row r="12" spans="1:35" x14ac:dyDescent="0.3">
      <c r="A12">
        <v>0.91782014095862041</v>
      </c>
      <c r="B12" s="54">
        <f t="shared" si="0"/>
        <v>917.82014095862041</v>
      </c>
      <c r="D12" t="s">
        <v>33</v>
      </c>
      <c r="E12" s="54">
        <f>MEDIAN(B2:B500)</f>
        <v>509.26987936473631</v>
      </c>
      <c r="G12">
        <v>500</v>
      </c>
      <c r="J12" s="38">
        <v>450</v>
      </c>
      <c r="K12" s="39">
        <v>20</v>
      </c>
      <c r="T12">
        <v>35</v>
      </c>
      <c r="V12">
        <v>50</v>
      </c>
    </row>
    <row r="13" spans="1:35" x14ac:dyDescent="0.3">
      <c r="A13">
        <v>0.91294581127056507</v>
      </c>
      <c r="B13" s="54">
        <f t="shared" si="0"/>
        <v>912.94581127056506</v>
      </c>
      <c r="G13">
        <v>550</v>
      </c>
      <c r="J13" s="38">
        <v>500</v>
      </c>
      <c r="K13" s="39">
        <v>25</v>
      </c>
      <c r="T13">
        <v>29</v>
      </c>
      <c r="V13">
        <v>55</v>
      </c>
      <c r="X13">
        <v>27</v>
      </c>
      <c r="Y13">
        <v>46</v>
      </c>
      <c r="AD13" t="s">
        <v>712</v>
      </c>
      <c r="AE13" t="s">
        <v>853</v>
      </c>
    </row>
    <row r="14" spans="1:35" x14ac:dyDescent="0.3">
      <c r="A14">
        <v>0.57167623400618717</v>
      </c>
      <c r="B14" s="54">
        <f t="shared" si="0"/>
        <v>571.6762340061872</v>
      </c>
      <c r="G14">
        <v>600</v>
      </c>
      <c r="J14" s="38">
        <v>550</v>
      </c>
      <c r="K14" s="39">
        <v>18</v>
      </c>
      <c r="T14">
        <v>31</v>
      </c>
      <c r="V14">
        <v>60</v>
      </c>
      <c r="AD14" t="s">
        <v>53</v>
      </c>
      <c r="AE14">
        <v>37</v>
      </c>
      <c r="AH14">
        <v>1</v>
      </c>
      <c r="AI14">
        <f t="shared" ref="AI14:AI19" si="1">1/6</f>
        <v>0.16666666666666666</v>
      </c>
    </row>
    <row r="15" spans="1:35" x14ac:dyDescent="0.3">
      <c r="A15">
        <v>0.30407899813956352</v>
      </c>
      <c r="B15" s="54">
        <f t="shared" si="0"/>
        <v>304.07899813956351</v>
      </c>
      <c r="G15">
        <v>650</v>
      </c>
      <c r="J15" s="38">
        <v>600</v>
      </c>
      <c r="K15" s="39">
        <v>14</v>
      </c>
      <c r="T15">
        <v>34</v>
      </c>
      <c r="V15">
        <v>65</v>
      </c>
      <c r="AD15" t="s">
        <v>854</v>
      </c>
      <c r="AE15">
        <v>9</v>
      </c>
      <c r="AH15">
        <v>2</v>
      </c>
      <c r="AI15">
        <f t="shared" si="1"/>
        <v>0.16666666666666666</v>
      </c>
    </row>
    <row r="16" spans="1:35" x14ac:dyDescent="0.3">
      <c r="A16">
        <v>0.97696053323044918</v>
      </c>
      <c r="B16" s="54">
        <f t="shared" si="0"/>
        <v>976.96053323044919</v>
      </c>
      <c r="G16">
        <v>700</v>
      </c>
      <c r="J16" s="38">
        <v>650</v>
      </c>
      <c r="K16" s="39">
        <v>24</v>
      </c>
      <c r="T16">
        <v>28</v>
      </c>
      <c r="AH16">
        <v>3</v>
      </c>
      <c r="AI16">
        <f t="shared" si="1"/>
        <v>0.16666666666666666</v>
      </c>
    </row>
    <row r="17" spans="1:35" ht="15" thickBot="1" x14ac:dyDescent="0.35">
      <c r="A17">
        <v>0.48813351614703393</v>
      </c>
      <c r="B17" s="54">
        <f t="shared" si="0"/>
        <v>488.1335161470339</v>
      </c>
      <c r="G17">
        <v>750</v>
      </c>
      <c r="J17" s="38">
        <v>700</v>
      </c>
      <c r="K17" s="39">
        <v>27</v>
      </c>
      <c r="T17">
        <v>29</v>
      </c>
      <c r="AH17">
        <v>4</v>
      </c>
      <c r="AI17">
        <f t="shared" si="1"/>
        <v>0.16666666666666666</v>
      </c>
    </row>
    <row r="18" spans="1:35" x14ac:dyDescent="0.3">
      <c r="A18">
        <v>3.762078113509526E-2</v>
      </c>
      <c r="B18" s="54">
        <f t="shared" si="0"/>
        <v>37.620781135095257</v>
      </c>
      <c r="G18">
        <v>800</v>
      </c>
      <c r="J18" s="38">
        <v>750</v>
      </c>
      <c r="K18" s="39">
        <v>24</v>
      </c>
      <c r="T18">
        <v>32</v>
      </c>
      <c r="V18" s="43" t="s">
        <v>28</v>
      </c>
      <c r="W18" s="43" t="s">
        <v>30</v>
      </c>
      <c r="AH18">
        <v>5</v>
      </c>
      <c r="AI18">
        <f t="shared" si="1"/>
        <v>0.16666666666666666</v>
      </c>
    </row>
    <row r="19" spans="1:35" x14ac:dyDescent="0.3">
      <c r="A19">
        <v>0.76055674825337571</v>
      </c>
      <c r="B19" s="54">
        <f t="shared" si="0"/>
        <v>760.55674825337576</v>
      </c>
      <c r="G19">
        <v>850</v>
      </c>
      <c r="J19" s="38">
        <v>800</v>
      </c>
      <c r="K19" s="39">
        <v>30</v>
      </c>
      <c r="T19">
        <v>22</v>
      </c>
      <c r="V19" s="38">
        <v>10</v>
      </c>
      <c r="W19" s="39">
        <v>0</v>
      </c>
      <c r="AH19">
        <v>6</v>
      </c>
      <c r="AI19">
        <f t="shared" si="1"/>
        <v>0.16666666666666666</v>
      </c>
    </row>
    <row r="20" spans="1:35" x14ac:dyDescent="0.3">
      <c r="A20">
        <v>0.91920657947747664</v>
      </c>
      <c r="B20" s="54">
        <f t="shared" si="0"/>
        <v>919.20657947747668</v>
      </c>
      <c r="G20">
        <v>900</v>
      </c>
      <c r="J20" s="38">
        <v>850</v>
      </c>
      <c r="K20" s="39">
        <v>31</v>
      </c>
      <c r="T20">
        <v>53</v>
      </c>
      <c r="V20" s="38">
        <v>15</v>
      </c>
      <c r="W20" s="39">
        <v>0</v>
      </c>
    </row>
    <row r="21" spans="1:35" x14ac:dyDescent="0.3">
      <c r="A21">
        <v>0.15360154764298461</v>
      </c>
      <c r="B21" s="54">
        <f t="shared" si="0"/>
        <v>153.60154764298463</v>
      </c>
      <c r="G21">
        <v>950</v>
      </c>
      <c r="J21" s="38">
        <v>900</v>
      </c>
      <c r="K21" s="39">
        <v>24</v>
      </c>
      <c r="T21">
        <v>38</v>
      </c>
      <c r="V21" s="38">
        <v>20</v>
      </c>
      <c r="W21" s="39">
        <v>28</v>
      </c>
    </row>
    <row r="22" spans="1:35" x14ac:dyDescent="0.3">
      <c r="A22">
        <v>0.96883882906487861</v>
      </c>
      <c r="B22" s="54">
        <f t="shared" si="0"/>
        <v>968.83882906487861</v>
      </c>
      <c r="G22">
        <v>1000</v>
      </c>
      <c r="J22" s="38">
        <v>950</v>
      </c>
      <c r="K22" s="39">
        <v>29</v>
      </c>
      <c r="T22">
        <v>24</v>
      </c>
      <c r="V22" s="38">
        <v>25</v>
      </c>
      <c r="W22" s="39">
        <v>95</v>
      </c>
    </row>
    <row r="23" spans="1:35" x14ac:dyDescent="0.3">
      <c r="A23">
        <v>0.35258746853616563</v>
      </c>
      <c r="B23" s="54">
        <f t="shared" si="0"/>
        <v>352.5874685361656</v>
      </c>
      <c r="J23" s="38">
        <v>1000</v>
      </c>
      <c r="K23" s="39">
        <v>29</v>
      </c>
      <c r="T23">
        <v>36</v>
      </c>
      <c r="V23" s="38">
        <v>30</v>
      </c>
      <c r="W23" s="39">
        <v>263</v>
      </c>
    </row>
    <row r="24" spans="1:35" ht="15" thickBot="1" x14ac:dyDescent="0.35">
      <c r="A24">
        <v>0.24020888527696815</v>
      </c>
      <c r="B24" s="54">
        <f t="shared" si="0"/>
        <v>240.20888527696815</v>
      </c>
      <c r="J24" s="41" t="s">
        <v>29</v>
      </c>
      <c r="K24" s="41">
        <v>0</v>
      </c>
      <c r="T24">
        <v>34</v>
      </c>
      <c r="V24" s="38">
        <v>35</v>
      </c>
      <c r="W24" s="39">
        <v>343</v>
      </c>
    </row>
    <row r="25" spans="1:35" x14ac:dyDescent="0.3">
      <c r="A25">
        <v>7.3231030401261776E-3</v>
      </c>
      <c r="B25" s="54">
        <f t="shared" si="0"/>
        <v>7.3231030401261776</v>
      </c>
      <c r="T25">
        <v>21</v>
      </c>
      <c r="V25" s="38">
        <v>40</v>
      </c>
      <c r="W25" s="39">
        <v>276</v>
      </c>
    </row>
    <row r="26" spans="1:35" x14ac:dyDescent="0.3">
      <c r="A26">
        <v>0.93901472222557025</v>
      </c>
      <c r="B26" s="54">
        <f t="shared" si="0"/>
        <v>939.01472222557027</v>
      </c>
      <c r="T26">
        <v>34</v>
      </c>
      <c r="V26" s="38">
        <v>45</v>
      </c>
      <c r="W26" s="39">
        <v>192</v>
      </c>
    </row>
    <row r="27" spans="1:35" x14ac:dyDescent="0.3">
      <c r="A27">
        <v>0.60403775309378904</v>
      </c>
      <c r="B27" s="54">
        <f t="shared" si="0"/>
        <v>604.03775309378909</v>
      </c>
      <c r="T27">
        <v>53</v>
      </c>
      <c r="V27" s="38">
        <v>50</v>
      </c>
      <c r="W27" s="39">
        <v>130</v>
      </c>
    </row>
    <row r="28" spans="1:35" x14ac:dyDescent="0.3">
      <c r="A28">
        <v>0.99593571270845516</v>
      </c>
      <c r="B28" s="54">
        <f t="shared" si="0"/>
        <v>995.93571270845518</v>
      </c>
      <c r="T28">
        <v>32</v>
      </c>
      <c r="V28" s="38">
        <v>55</v>
      </c>
      <c r="W28" s="39">
        <v>96</v>
      </c>
    </row>
    <row r="29" spans="1:35" x14ac:dyDescent="0.3">
      <c r="A29">
        <v>0.76332502261759694</v>
      </c>
      <c r="B29" s="54">
        <f t="shared" si="0"/>
        <v>763.32502261759691</v>
      </c>
      <c r="T29">
        <v>42</v>
      </c>
      <c r="V29" s="38">
        <v>60</v>
      </c>
      <c r="W29" s="39">
        <v>47</v>
      </c>
    </row>
    <row r="30" spans="1:35" x14ac:dyDescent="0.3">
      <c r="A30">
        <v>0.40813658708492251</v>
      </c>
      <c r="B30" s="54">
        <f t="shared" si="0"/>
        <v>408.1365870849225</v>
      </c>
      <c r="T30">
        <v>44</v>
      </c>
      <c r="V30" s="38">
        <v>65</v>
      </c>
      <c r="W30" s="39">
        <v>0</v>
      </c>
    </row>
    <row r="31" spans="1:35" ht="15" thickBot="1" x14ac:dyDescent="0.35">
      <c r="A31">
        <v>0.99409676357873544</v>
      </c>
      <c r="B31" s="54">
        <f t="shared" si="0"/>
        <v>994.09676357873548</v>
      </c>
      <c r="T31">
        <v>46</v>
      </c>
      <c r="V31" s="41" t="s">
        <v>29</v>
      </c>
      <c r="W31" s="41">
        <v>0</v>
      </c>
    </row>
    <row r="32" spans="1:35" x14ac:dyDescent="0.3">
      <c r="A32">
        <v>0.7765508995391166</v>
      </c>
      <c r="B32" s="54">
        <f t="shared" si="0"/>
        <v>776.55089953911659</v>
      </c>
      <c r="T32">
        <v>33</v>
      </c>
    </row>
    <row r="33" spans="1:30" ht="15" thickBot="1" x14ac:dyDescent="0.35">
      <c r="A33">
        <v>0.88116453483872981</v>
      </c>
      <c r="B33" s="54">
        <f t="shared" si="0"/>
        <v>881.16453483872976</v>
      </c>
      <c r="T33">
        <v>44</v>
      </c>
      <c r="V33" s="227" t="s">
        <v>852</v>
      </c>
      <c r="W33" s="227"/>
      <c r="X33" s="227"/>
    </row>
    <row r="34" spans="1:30" x14ac:dyDescent="0.3">
      <c r="A34">
        <v>0.67216556939073246</v>
      </c>
      <c r="B34" s="54">
        <f t="shared" si="0"/>
        <v>672.16556939073246</v>
      </c>
      <c r="T34">
        <v>30</v>
      </c>
      <c r="V34" s="43" t="s">
        <v>28</v>
      </c>
      <c r="W34" s="43" t="s">
        <v>30</v>
      </c>
      <c r="X34" s="43" t="s">
        <v>678</v>
      </c>
    </row>
    <row r="35" spans="1:30" x14ac:dyDescent="0.3">
      <c r="A35">
        <v>0.90280828898227572</v>
      </c>
      <c r="B35" s="54">
        <f t="shared" si="0"/>
        <v>902.80828898227571</v>
      </c>
      <c r="T35">
        <v>39</v>
      </c>
      <c r="V35" s="38">
        <v>10</v>
      </c>
      <c r="W35" s="39">
        <v>0</v>
      </c>
      <c r="X35">
        <f>W35/W$47</f>
        <v>0</v>
      </c>
      <c r="AA35" t="s">
        <v>712</v>
      </c>
      <c r="AB35" t="s">
        <v>713</v>
      </c>
    </row>
    <row r="36" spans="1:30" x14ac:dyDescent="0.3">
      <c r="A36">
        <v>0.4991002524864685</v>
      </c>
      <c r="B36" s="54">
        <f t="shared" si="0"/>
        <v>499.10025248646849</v>
      </c>
      <c r="T36">
        <v>24</v>
      </c>
      <c r="V36" s="38">
        <v>15</v>
      </c>
      <c r="W36" s="39">
        <v>0</v>
      </c>
      <c r="X36">
        <f t="shared" ref="X36:X46" si="2">W36/W$47</f>
        <v>0</v>
      </c>
      <c r="AA36" s="124" t="s">
        <v>714</v>
      </c>
      <c r="AB36" t="s">
        <v>715</v>
      </c>
    </row>
    <row r="37" spans="1:30" x14ac:dyDescent="0.3">
      <c r="A37">
        <v>0.62861826371617124</v>
      </c>
      <c r="B37" s="54">
        <f t="shared" si="0"/>
        <v>628.61826371617121</v>
      </c>
      <c r="T37">
        <v>43</v>
      </c>
      <c r="V37" s="38">
        <v>20</v>
      </c>
      <c r="W37" s="39">
        <v>28</v>
      </c>
      <c r="X37">
        <f t="shared" si="2"/>
        <v>1.9047619047619049E-2</v>
      </c>
      <c r="AA37" s="125" t="s">
        <v>716</v>
      </c>
      <c r="AB37" t="s">
        <v>128</v>
      </c>
    </row>
    <row r="38" spans="1:30" x14ac:dyDescent="0.3">
      <c r="A38">
        <v>0.67202522197351677</v>
      </c>
      <c r="B38" s="54">
        <f t="shared" si="0"/>
        <v>672.02522197351675</v>
      </c>
      <c r="T38">
        <v>50</v>
      </c>
      <c r="V38" s="38">
        <v>25</v>
      </c>
      <c r="W38" s="39">
        <v>95</v>
      </c>
      <c r="X38">
        <f t="shared" si="2"/>
        <v>6.4625850340136057E-2</v>
      </c>
    </row>
    <row r="39" spans="1:30" x14ac:dyDescent="0.3">
      <c r="A39">
        <v>0.72250802840590334</v>
      </c>
      <c r="B39" s="54">
        <f t="shared" si="0"/>
        <v>722.50802840590336</v>
      </c>
      <c r="T39">
        <v>35</v>
      </c>
      <c r="V39" s="38">
        <v>30</v>
      </c>
      <c r="W39" s="39">
        <v>263</v>
      </c>
      <c r="X39">
        <f t="shared" si="2"/>
        <v>0.17891156462585034</v>
      </c>
      <c r="AA39" t="s">
        <v>717</v>
      </c>
      <c r="AB39" t="s">
        <v>718</v>
      </c>
      <c r="AD39">
        <f>(55-37)/9</f>
        <v>2</v>
      </c>
    </row>
    <row r="40" spans="1:30" x14ac:dyDescent="0.3">
      <c r="A40">
        <v>0.42161632632251766</v>
      </c>
      <c r="B40" s="54">
        <f t="shared" si="0"/>
        <v>421.61632632251769</v>
      </c>
      <c r="T40">
        <v>36</v>
      </c>
      <c r="V40" s="38">
        <v>35</v>
      </c>
      <c r="W40" s="39">
        <v>343</v>
      </c>
      <c r="X40">
        <f t="shared" si="2"/>
        <v>0.23333333333333334</v>
      </c>
    </row>
    <row r="41" spans="1:30" x14ac:dyDescent="0.3">
      <c r="A41">
        <v>0.48855223493036615</v>
      </c>
      <c r="B41" s="54">
        <f t="shared" si="0"/>
        <v>488.55223493036613</v>
      </c>
      <c r="T41">
        <v>33</v>
      </c>
      <c r="V41" s="38">
        <v>40</v>
      </c>
      <c r="W41" s="39">
        <v>276</v>
      </c>
      <c r="X41">
        <f t="shared" si="2"/>
        <v>0.18775510204081633</v>
      </c>
      <c r="AA41" t="s">
        <v>719</v>
      </c>
    </row>
    <row r="42" spans="1:30" x14ac:dyDescent="0.3">
      <c r="A42">
        <v>0.68137915962443496</v>
      </c>
      <c r="B42" s="54">
        <f t="shared" si="0"/>
        <v>681.37915962443492</v>
      </c>
      <c r="T42">
        <v>35</v>
      </c>
      <c r="V42" s="38">
        <v>45</v>
      </c>
      <c r="W42" s="39">
        <v>192</v>
      </c>
      <c r="X42">
        <f t="shared" si="2"/>
        <v>0.1306122448979592</v>
      </c>
    </row>
    <row r="43" spans="1:30" x14ac:dyDescent="0.3">
      <c r="A43">
        <v>0.48308611058120299</v>
      </c>
      <c r="B43" s="54">
        <f t="shared" si="0"/>
        <v>483.086110581203</v>
      </c>
      <c r="T43">
        <v>27</v>
      </c>
      <c r="V43" s="38">
        <v>50</v>
      </c>
      <c r="W43" s="39">
        <v>130</v>
      </c>
      <c r="X43">
        <f t="shared" si="2"/>
        <v>8.8435374149659865E-2</v>
      </c>
      <c r="AA43" t="s">
        <v>712</v>
      </c>
      <c r="AB43">
        <v>42</v>
      </c>
    </row>
    <row r="44" spans="1:30" x14ac:dyDescent="0.3">
      <c r="A44">
        <v>0.1806198146383533</v>
      </c>
      <c r="B44" s="54">
        <f t="shared" si="0"/>
        <v>180.61981463835332</v>
      </c>
      <c r="T44">
        <v>26</v>
      </c>
      <c r="V44" s="38">
        <v>55</v>
      </c>
      <c r="W44" s="39">
        <v>96</v>
      </c>
      <c r="X44">
        <f t="shared" si="2"/>
        <v>6.5306122448979598E-2</v>
      </c>
      <c r="AA44" s="124" t="s">
        <v>714</v>
      </c>
      <c r="AB44">
        <v>37</v>
      </c>
    </row>
    <row r="45" spans="1:30" x14ac:dyDescent="0.3">
      <c r="A45">
        <v>0.3613677572077505</v>
      </c>
      <c r="B45" s="54">
        <f t="shared" si="0"/>
        <v>361.36775720775051</v>
      </c>
      <c r="T45">
        <v>27</v>
      </c>
      <c r="V45" s="38">
        <v>60</v>
      </c>
      <c r="W45" s="39">
        <v>47</v>
      </c>
      <c r="X45">
        <f>W45/W$47</f>
        <v>3.1972789115646258E-2</v>
      </c>
      <c r="AA45" s="125" t="s">
        <v>716</v>
      </c>
      <c r="AB45">
        <v>9</v>
      </c>
    </row>
    <row r="46" spans="1:30" x14ac:dyDescent="0.3">
      <c r="A46">
        <v>0.14739654872532615</v>
      </c>
      <c r="B46" s="54">
        <f t="shared" si="0"/>
        <v>147.39654872532614</v>
      </c>
      <c r="T46">
        <v>30</v>
      </c>
      <c r="V46" s="38">
        <v>65</v>
      </c>
      <c r="W46" s="39">
        <v>0</v>
      </c>
      <c r="X46">
        <f t="shared" si="2"/>
        <v>0</v>
      </c>
    </row>
    <row r="47" spans="1:30" x14ac:dyDescent="0.3">
      <c r="A47">
        <v>0.82437096272084842</v>
      </c>
      <c r="B47" s="54">
        <f t="shared" si="0"/>
        <v>824.37096272084841</v>
      </c>
      <c r="T47">
        <v>41</v>
      </c>
      <c r="W47">
        <f>SUM(W35:W46)</f>
        <v>1470</v>
      </c>
      <c r="X47">
        <f>SUM(X35:X46)</f>
        <v>1</v>
      </c>
      <c r="AA47" t="s">
        <v>720</v>
      </c>
      <c r="AB47" s="54">
        <f>(42-37)/9</f>
        <v>0.55555555555555558</v>
      </c>
      <c r="AD47">
        <v>0.71230000000000004</v>
      </c>
    </row>
    <row r="48" spans="1:30" x14ac:dyDescent="0.3">
      <c r="A48">
        <v>0.74332005486415764</v>
      </c>
      <c r="B48" s="54">
        <f t="shared" si="0"/>
        <v>743.32005486415767</v>
      </c>
      <c r="T48">
        <v>34</v>
      </c>
    </row>
    <row r="49" spans="1:30" x14ac:dyDescent="0.3">
      <c r="A49">
        <v>4.6808852780133581E-2</v>
      </c>
      <c r="B49" s="54">
        <f t="shared" si="0"/>
        <v>46.808852780133577</v>
      </c>
      <c r="T49">
        <v>37</v>
      </c>
      <c r="AA49" t="s">
        <v>721</v>
      </c>
      <c r="AB49" s="126">
        <f>1-0.7123</f>
        <v>0.28769999999999996</v>
      </c>
      <c r="AD49" s="54">
        <f>1 - NORMDIST(42,37,9,TRUE)</f>
        <v>0.2892573607539719</v>
      </c>
    </row>
    <row r="50" spans="1:30" x14ac:dyDescent="0.3">
      <c r="A50">
        <v>0.71634982484508214</v>
      </c>
      <c r="B50" s="54">
        <f t="shared" si="0"/>
        <v>716.34982484508214</v>
      </c>
      <c r="T50">
        <v>46</v>
      </c>
    </row>
    <row r="51" spans="1:30" x14ac:dyDescent="0.3">
      <c r="A51">
        <v>0.76916427044787761</v>
      </c>
      <c r="B51" s="54">
        <f t="shared" si="0"/>
        <v>769.16427044787758</v>
      </c>
      <c r="T51">
        <v>35</v>
      </c>
    </row>
    <row r="52" spans="1:30" x14ac:dyDescent="0.3">
      <c r="A52">
        <v>0.48229970998254768</v>
      </c>
      <c r="B52" s="54">
        <f t="shared" si="0"/>
        <v>482.29970998254765</v>
      </c>
      <c r="T52">
        <v>48</v>
      </c>
      <c r="AA52" t="s">
        <v>722</v>
      </c>
    </row>
    <row r="53" spans="1:30" x14ac:dyDescent="0.3">
      <c r="A53">
        <v>0.57612069962275902</v>
      </c>
      <c r="B53" s="54">
        <f t="shared" si="0"/>
        <v>576.12069962275905</v>
      </c>
      <c r="T53">
        <v>28</v>
      </c>
    </row>
    <row r="54" spans="1:30" x14ac:dyDescent="0.3">
      <c r="A54">
        <v>6.9260782710091284E-2</v>
      </c>
      <c r="B54" s="54">
        <f t="shared" si="0"/>
        <v>69.260782710091291</v>
      </c>
      <c r="T54">
        <v>44</v>
      </c>
      <c r="AA54" t="s">
        <v>712</v>
      </c>
      <c r="AB54">
        <v>55</v>
      </c>
    </row>
    <row r="55" spans="1:30" x14ac:dyDescent="0.3">
      <c r="A55">
        <v>0.60095048958076913</v>
      </c>
      <c r="B55" s="54">
        <f t="shared" si="0"/>
        <v>600.95048958076916</v>
      </c>
      <c r="T55">
        <v>35</v>
      </c>
      <c r="AA55" s="124" t="s">
        <v>714</v>
      </c>
      <c r="AB55">
        <v>37</v>
      </c>
    </row>
    <row r="56" spans="1:30" x14ac:dyDescent="0.3">
      <c r="A56">
        <v>0.97618303078185242</v>
      </c>
      <c r="B56" s="54">
        <f t="shared" si="0"/>
        <v>976.18303078185238</v>
      </c>
      <c r="T56">
        <v>26</v>
      </c>
      <c r="AA56" s="125" t="s">
        <v>716</v>
      </c>
      <c r="AB56">
        <v>9</v>
      </c>
    </row>
    <row r="57" spans="1:30" x14ac:dyDescent="0.3">
      <c r="A57">
        <v>0.99728849739198466</v>
      </c>
      <c r="B57" s="54">
        <f t="shared" si="0"/>
        <v>997.28849739198472</v>
      </c>
      <c r="T57">
        <v>33</v>
      </c>
    </row>
    <row r="58" spans="1:30" x14ac:dyDescent="0.3">
      <c r="A58">
        <v>0.51344959533604229</v>
      </c>
      <c r="B58" s="54">
        <f t="shared" si="0"/>
        <v>513.44959533604231</v>
      </c>
      <c r="T58">
        <v>35</v>
      </c>
      <c r="AA58" t="s">
        <v>720</v>
      </c>
      <c r="AB58">
        <f>(55-37)/9</f>
        <v>2</v>
      </c>
    </row>
    <row r="59" spans="1:30" x14ac:dyDescent="0.3">
      <c r="A59">
        <v>0.76538591756417818</v>
      </c>
      <c r="B59" s="54">
        <f t="shared" si="0"/>
        <v>765.38591756417816</v>
      </c>
      <c r="T59">
        <v>35</v>
      </c>
      <c r="AA59" t="s">
        <v>722</v>
      </c>
      <c r="AB59">
        <f>1-0.9772</f>
        <v>2.2800000000000042E-2</v>
      </c>
      <c r="AD59" s="126">
        <f>1 - NORMDIST(55,37,9,TRUE)</f>
        <v>2.2750131948179209E-2</v>
      </c>
    </row>
    <row r="60" spans="1:30" x14ac:dyDescent="0.3">
      <c r="A60">
        <v>0.67673621018779162</v>
      </c>
      <c r="B60" s="54">
        <f t="shared" si="0"/>
        <v>676.73621018779158</v>
      </c>
      <c r="T60">
        <v>31</v>
      </c>
    </row>
    <row r="61" spans="1:30" x14ac:dyDescent="0.3">
      <c r="A61">
        <v>0.58905666547165492</v>
      </c>
      <c r="B61" s="54">
        <f t="shared" si="0"/>
        <v>589.05666547165492</v>
      </c>
      <c r="T61">
        <v>37</v>
      </c>
      <c r="AA61" t="s">
        <v>723</v>
      </c>
    </row>
    <row r="62" spans="1:30" x14ac:dyDescent="0.3">
      <c r="A62">
        <v>0.49317072377064641</v>
      </c>
      <c r="B62" s="54">
        <f t="shared" si="0"/>
        <v>493.17072377064642</v>
      </c>
      <c r="T62">
        <v>32</v>
      </c>
    </row>
    <row r="63" spans="1:30" x14ac:dyDescent="0.3">
      <c r="A63">
        <v>0.56199645003374421</v>
      </c>
      <c r="B63" s="54">
        <f t="shared" si="0"/>
        <v>561.99645003374417</v>
      </c>
      <c r="T63">
        <v>38</v>
      </c>
      <c r="AA63" t="s">
        <v>712</v>
      </c>
      <c r="AB63">
        <v>40</v>
      </c>
    </row>
    <row r="64" spans="1:30" x14ac:dyDescent="0.3">
      <c r="A64">
        <v>0.3328778455986523</v>
      </c>
      <c r="B64" s="54">
        <f t="shared" si="0"/>
        <v>332.8778455986523</v>
      </c>
      <c r="T64">
        <v>50</v>
      </c>
      <c r="AA64" s="124" t="s">
        <v>714</v>
      </c>
      <c r="AB64">
        <v>37</v>
      </c>
    </row>
    <row r="65" spans="1:30" x14ac:dyDescent="0.3">
      <c r="A65">
        <v>0.92230443066766732</v>
      </c>
      <c r="B65" s="54">
        <f t="shared" si="0"/>
        <v>922.30443066766736</v>
      </c>
      <c r="T65">
        <v>59</v>
      </c>
      <c r="AA65" s="125" t="s">
        <v>716</v>
      </c>
      <c r="AB65">
        <v>9</v>
      </c>
    </row>
    <row r="66" spans="1:30" x14ac:dyDescent="0.3">
      <c r="A66">
        <v>0.2263824486497672</v>
      </c>
      <c r="B66" s="54">
        <f t="shared" ref="B66:B129" si="3">A66*1000</f>
        <v>226.38244864976718</v>
      </c>
      <c r="T66">
        <v>36</v>
      </c>
    </row>
    <row r="67" spans="1:30" x14ac:dyDescent="0.3">
      <c r="A67">
        <v>0.18384982301244213</v>
      </c>
      <c r="B67" s="54">
        <f t="shared" si="3"/>
        <v>183.84982301244213</v>
      </c>
      <c r="T67">
        <v>55</v>
      </c>
      <c r="AA67" t="s">
        <v>720</v>
      </c>
      <c r="AB67">
        <f>(40-37)/9</f>
        <v>0.33333333333333331</v>
      </c>
    </row>
    <row r="68" spans="1:30" x14ac:dyDescent="0.3">
      <c r="A68">
        <v>0.185179613534312</v>
      </c>
      <c r="B68" s="54">
        <f t="shared" si="3"/>
        <v>185.17961353431201</v>
      </c>
      <c r="T68">
        <v>36</v>
      </c>
    </row>
    <row r="69" spans="1:30" x14ac:dyDescent="0.3">
      <c r="A69">
        <v>0.67148701253011933</v>
      </c>
      <c r="B69" s="54">
        <f t="shared" si="3"/>
        <v>671.48701253011939</v>
      </c>
      <c r="T69">
        <v>45</v>
      </c>
      <c r="AA69" t="s">
        <v>723</v>
      </c>
      <c r="AB69">
        <v>0.62929999999999997</v>
      </c>
      <c r="AD69" s="127">
        <f>NORMDIST(40,37,9,TRUE)</f>
        <v>0.63055865981823644</v>
      </c>
    </row>
    <row r="70" spans="1:30" x14ac:dyDescent="0.3">
      <c r="A70">
        <v>0.12525371777563965</v>
      </c>
      <c r="B70" s="54">
        <f t="shared" si="3"/>
        <v>125.25371777563964</v>
      </c>
      <c r="T70">
        <v>35</v>
      </c>
    </row>
    <row r="71" spans="1:30" x14ac:dyDescent="0.3">
      <c r="A71">
        <v>0.86685621722636252</v>
      </c>
      <c r="B71" s="54">
        <f t="shared" si="3"/>
        <v>866.85621722636256</v>
      </c>
      <c r="T71">
        <v>36</v>
      </c>
    </row>
    <row r="72" spans="1:30" x14ac:dyDescent="0.3">
      <c r="A72">
        <v>0.22541410960859509</v>
      </c>
      <c r="B72" s="54">
        <f t="shared" si="3"/>
        <v>225.41410960859508</v>
      </c>
      <c r="T72">
        <v>59</v>
      </c>
      <c r="AA72" t="s">
        <v>724</v>
      </c>
    </row>
    <row r="73" spans="1:30" x14ac:dyDescent="0.3">
      <c r="A73">
        <v>0.9778681949959096</v>
      </c>
      <c r="B73" s="54">
        <f t="shared" si="3"/>
        <v>977.86819499590956</v>
      </c>
      <c r="T73">
        <v>29</v>
      </c>
    </row>
    <row r="74" spans="1:30" x14ac:dyDescent="0.3">
      <c r="A74">
        <v>0.2929184512213574</v>
      </c>
      <c r="B74" s="54">
        <f t="shared" si="3"/>
        <v>292.91845122135737</v>
      </c>
      <c r="T74">
        <v>31</v>
      </c>
      <c r="AA74" t="s">
        <v>712</v>
      </c>
      <c r="AB74">
        <v>25</v>
      </c>
    </row>
    <row r="75" spans="1:30" x14ac:dyDescent="0.3">
      <c r="A75">
        <v>0.60508859368840118</v>
      </c>
      <c r="B75" s="54">
        <f t="shared" si="3"/>
        <v>605.08859368840115</v>
      </c>
      <c r="T75">
        <v>32</v>
      </c>
      <c r="AA75" s="124" t="s">
        <v>714</v>
      </c>
      <c r="AB75">
        <v>37</v>
      </c>
    </row>
    <row r="76" spans="1:30" x14ac:dyDescent="0.3">
      <c r="A76">
        <v>0.18371792432866041</v>
      </c>
      <c r="B76" s="54">
        <f t="shared" si="3"/>
        <v>183.71792432866042</v>
      </c>
      <c r="T76">
        <v>36</v>
      </c>
      <c r="AA76" s="125" t="s">
        <v>716</v>
      </c>
      <c r="AB76">
        <v>9</v>
      </c>
    </row>
    <row r="77" spans="1:30" x14ac:dyDescent="0.3">
      <c r="A77">
        <v>0.19907564293053159</v>
      </c>
      <c r="B77" s="54">
        <f t="shared" si="3"/>
        <v>199.07564293053159</v>
      </c>
      <c r="T77">
        <v>31</v>
      </c>
    </row>
    <row r="78" spans="1:30" x14ac:dyDescent="0.3">
      <c r="A78">
        <v>4.9868991328216872E-2</v>
      </c>
      <c r="B78" s="54">
        <f t="shared" si="3"/>
        <v>49.868991328216872</v>
      </c>
      <c r="T78">
        <v>35</v>
      </c>
      <c r="AA78" t="s">
        <v>720</v>
      </c>
      <c r="AB78">
        <f>(25-37)/9</f>
        <v>-1.3333333333333333</v>
      </c>
    </row>
    <row r="79" spans="1:30" x14ac:dyDescent="0.3">
      <c r="A79">
        <v>0.43091590580485439</v>
      </c>
      <c r="B79" s="54">
        <f t="shared" si="3"/>
        <v>430.91590580485439</v>
      </c>
      <c r="T79">
        <v>45</v>
      </c>
    </row>
    <row r="80" spans="1:30" x14ac:dyDescent="0.3">
      <c r="A80">
        <v>0.39118006497558522</v>
      </c>
      <c r="B80" s="54">
        <f t="shared" si="3"/>
        <v>391.1800649755852</v>
      </c>
      <c r="T80">
        <v>37</v>
      </c>
      <c r="AA80" t="s">
        <v>724</v>
      </c>
      <c r="AB80">
        <v>9.1800000000000007E-2</v>
      </c>
      <c r="AD80" s="127">
        <f>NORMDIST(25,37,9,TRUE)</f>
        <v>9.1211219725867876E-2</v>
      </c>
    </row>
    <row r="81" spans="1:31" x14ac:dyDescent="0.3">
      <c r="A81">
        <v>3.45637804412533E-2</v>
      </c>
      <c r="B81" s="54">
        <f t="shared" si="3"/>
        <v>34.5637804412533</v>
      </c>
      <c r="T81">
        <v>46</v>
      </c>
    </row>
    <row r="82" spans="1:31" x14ac:dyDescent="0.3">
      <c r="A82">
        <v>0.92782450712654274</v>
      </c>
      <c r="B82" s="54">
        <f t="shared" si="3"/>
        <v>927.8245071265427</v>
      </c>
      <c r="T82">
        <v>30</v>
      </c>
    </row>
    <row r="83" spans="1:31" x14ac:dyDescent="0.3">
      <c r="A83">
        <v>0.17458758959781973</v>
      </c>
      <c r="B83" s="54">
        <f t="shared" si="3"/>
        <v>174.58758959781971</v>
      </c>
      <c r="T83">
        <v>35</v>
      </c>
      <c r="AB83">
        <f>1-0.9082</f>
        <v>9.1799999999999993E-2</v>
      </c>
    </row>
    <row r="84" spans="1:31" x14ac:dyDescent="0.3">
      <c r="A84">
        <v>0.29900216858408712</v>
      </c>
      <c r="B84" s="54">
        <f t="shared" si="3"/>
        <v>299.00216858408714</v>
      </c>
      <c r="T84">
        <v>55</v>
      </c>
    </row>
    <row r="85" spans="1:31" x14ac:dyDescent="0.3">
      <c r="A85">
        <v>0.39817665741348218</v>
      </c>
      <c r="B85" s="54">
        <f t="shared" si="3"/>
        <v>398.17665741348219</v>
      </c>
      <c r="T85">
        <v>38</v>
      </c>
    </row>
    <row r="86" spans="1:31" x14ac:dyDescent="0.3">
      <c r="A86">
        <v>0.48558413354914709</v>
      </c>
      <c r="B86" s="54">
        <f t="shared" si="3"/>
        <v>485.58413354914711</v>
      </c>
      <c r="T86">
        <v>34</v>
      </c>
      <c r="AB86">
        <f>0.9987-0.8554</f>
        <v>0.14329999999999998</v>
      </c>
    </row>
    <row r="87" spans="1:31" x14ac:dyDescent="0.3">
      <c r="A87">
        <v>0.78259278512611119</v>
      </c>
      <c r="B87" s="54">
        <f t="shared" si="3"/>
        <v>782.59278512611115</v>
      </c>
      <c r="T87">
        <v>56</v>
      </c>
    </row>
    <row r="88" spans="1:31" x14ac:dyDescent="0.3">
      <c r="A88">
        <v>0.31990943576206377</v>
      </c>
      <c r="B88" s="54">
        <f t="shared" si="3"/>
        <v>319.90943576206377</v>
      </c>
      <c r="T88">
        <v>23</v>
      </c>
    </row>
    <row r="89" spans="1:31" x14ac:dyDescent="0.3">
      <c r="A89">
        <v>0.2341489248307278</v>
      </c>
      <c r="B89" s="54">
        <f t="shared" si="3"/>
        <v>234.14892483072779</v>
      </c>
      <c r="T89">
        <v>51</v>
      </c>
      <c r="AB89" s="54">
        <f>(45-37)/9</f>
        <v>0.88888888888888884</v>
      </c>
    </row>
    <row r="90" spans="1:31" x14ac:dyDescent="0.3">
      <c r="A90">
        <v>0.49708930371061655</v>
      </c>
      <c r="B90" s="54">
        <f t="shared" si="3"/>
        <v>497.08930371061655</v>
      </c>
      <c r="T90">
        <v>30</v>
      </c>
    </row>
    <row r="91" spans="1:31" x14ac:dyDescent="0.3">
      <c r="A91">
        <v>7.1998082271246266E-2</v>
      </c>
      <c r="B91" s="54">
        <f t="shared" si="3"/>
        <v>71.998082271246261</v>
      </c>
      <c r="T91">
        <v>46</v>
      </c>
      <c r="Z91" s="124" t="s">
        <v>714</v>
      </c>
      <c r="AA91">
        <v>37</v>
      </c>
    </row>
    <row r="92" spans="1:31" x14ac:dyDescent="0.3">
      <c r="A92">
        <v>0.57674627621447438</v>
      </c>
      <c r="B92" s="54">
        <f t="shared" si="3"/>
        <v>576.74627621447439</v>
      </c>
      <c r="T92">
        <v>40</v>
      </c>
      <c r="Z92" s="125" t="s">
        <v>716</v>
      </c>
      <c r="AA92">
        <v>9</v>
      </c>
    </row>
    <row r="93" spans="1:31" x14ac:dyDescent="0.3">
      <c r="A93">
        <v>0.88563156086225825</v>
      </c>
      <c r="B93" s="54">
        <f t="shared" si="3"/>
        <v>885.6315608622582</v>
      </c>
      <c r="T93">
        <v>51</v>
      </c>
      <c r="V93" t="s">
        <v>985</v>
      </c>
      <c r="W93" t="s">
        <v>981</v>
      </c>
    </row>
    <row r="94" spans="1:31" x14ac:dyDescent="0.3">
      <c r="A94">
        <v>0.73285458897096167</v>
      </c>
      <c r="B94" s="54">
        <f t="shared" si="3"/>
        <v>732.85458897096169</v>
      </c>
      <c r="T94">
        <v>30</v>
      </c>
      <c r="V94" t="s">
        <v>984</v>
      </c>
      <c r="W94" t="s">
        <v>982</v>
      </c>
      <c r="Z94" t="s">
        <v>975</v>
      </c>
      <c r="AB94">
        <f>37-9</f>
        <v>28</v>
      </c>
      <c r="AC94">
        <f>37+9</f>
        <v>46</v>
      </c>
      <c r="AE94" t="s">
        <v>978</v>
      </c>
    </row>
    <row r="95" spans="1:31" x14ac:dyDescent="0.3">
      <c r="A95">
        <v>0.25493320278079468</v>
      </c>
      <c r="B95" s="54">
        <f t="shared" si="3"/>
        <v>254.93320278079469</v>
      </c>
      <c r="T95">
        <v>46</v>
      </c>
      <c r="V95" t="s">
        <v>983</v>
      </c>
      <c r="W95">
        <v>0.5</v>
      </c>
      <c r="Z95" t="s">
        <v>976</v>
      </c>
      <c r="AB95">
        <f>37-2*9</f>
        <v>19</v>
      </c>
      <c r="AC95">
        <f>37+2*9</f>
        <v>55</v>
      </c>
      <c r="AE95" t="s">
        <v>977</v>
      </c>
    </row>
    <row r="96" spans="1:31" x14ac:dyDescent="0.3">
      <c r="A96">
        <v>0.47255190930407487</v>
      </c>
      <c r="B96" s="54">
        <f t="shared" si="3"/>
        <v>472.55190930407485</v>
      </c>
      <c r="T96">
        <v>32</v>
      </c>
      <c r="V96" t="s">
        <v>986</v>
      </c>
      <c r="W96">
        <v>6</v>
      </c>
      <c r="Z96" t="s">
        <v>979</v>
      </c>
      <c r="AB96">
        <f>37-3*9</f>
        <v>10</v>
      </c>
      <c r="AC96">
        <f>37+3*9</f>
        <v>64</v>
      </c>
      <c r="AE96" t="s">
        <v>980</v>
      </c>
    </row>
    <row r="97" spans="1:24" x14ac:dyDescent="0.3">
      <c r="A97">
        <v>0.23972585860363615</v>
      </c>
      <c r="B97" s="54">
        <f t="shared" si="3"/>
        <v>239.72585860363614</v>
      </c>
      <c r="T97">
        <v>54</v>
      </c>
    </row>
    <row r="98" spans="1:24" x14ac:dyDescent="0.3">
      <c r="A98">
        <v>0.28409123990170659</v>
      </c>
      <c r="B98" s="54">
        <f t="shared" si="3"/>
        <v>284.09123990170662</v>
      </c>
      <c r="T98">
        <v>24</v>
      </c>
      <c r="W98">
        <f>BINOMDIST(6,10,0.5,FALSE)</f>
        <v>0.20507812500000006</v>
      </c>
    </row>
    <row r="99" spans="1:24" x14ac:dyDescent="0.3">
      <c r="A99">
        <v>0.8111202208314694</v>
      </c>
      <c r="B99" s="54">
        <f t="shared" si="3"/>
        <v>811.1202208314694</v>
      </c>
      <c r="T99">
        <v>28</v>
      </c>
    </row>
    <row r="100" spans="1:24" x14ac:dyDescent="0.3">
      <c r="A100">
        <v>0.2810374259197177</v>
      </c>
      <c r="B100" s="54">
        <f t="shared" si="3"/>
        <v>281.03742591971769</v>
      </c>
      <c r="T100">
        <v>58</v>
      </c>
      <c r="W100">
        <v>0</v>
      </c>
      <c r="X100">
        <f>BINOMDIST(W100,10,0.5,FALSE)</f>
        <v>9.765625E-4</v>
      </c>
    </row>
    <row r="101" spans="1:24" x14ac:dyDescent="0.3">
      <c r="A101">
        <v>0.31688413731295118</v>
      </c>
      <c r="B101" s="54">
        <f t="shared" si="3"/>
        <v>316.88413731295117</v>
      </c>
      <c r="T101">
        <v>44</v>
      </c>
      <c r="W101">
        <v>1</v>
      </c>
      <c r="X101">
        <f t="shared" ref="X101:X110" si="4">BINOMDIST(W101,10,0.5,FALSE)</f>
        <v>9.7656250000000017E-3</v>
      </c>
    </row>
    <row r="102" spans="1:24" x14ac:dyDescent="0.3">
      <c r="A102">
        <v>0.59311935375324509</v>
      </c>
      <c r="B102" s="54">
        <f t="shared" si="3"/>
        <v>593.11935375324515</v>
      </c>
      <c r="T102">
        <v>37</v>
      </c>
      <c r="W102">
        <v>2</v>
      </c>
      <c r="X102">
        <f t="shared" si="4"/>
        <v>4.3945312499999972E-2</v>
      </c>
    </row>
    <row r="103" spans="1:24" x14ac:dyDescent="0.3">
      <c r="A103">
        <v>5.1255243211763002E-2</v>
      </c>
      <c r="B103" s="54">
        <f t="shared" si="3"/>
        <v>51.255243211763002</v>
      </c>
      <c r="T103">
        <v>32</v>
      </c>
      <c r="W103">
        <v>3</v>
      </c>
      <c r="X103">
        <f t="shared" si="4"/>
        <v>0.11718750000000003</v>
      </c>
    </row>
    <row r="104" spans="1:24" x14ac:dyDescent="0.3">
      <c r="A104">
        <v>0.31666224851354863</v>
      </c>
      <c r="B104" s="54">
        <f t="shared" si="3"/>
        <v>316.6622485135486</v>
      </c>
      <c r="T104">
        <v>20</v>
      </c>
      <c r="W104">
        <v>4</v>
      </c>
      <c r="X104">
        <f t="shared" si="4"/>
        <v>0.20507812500000006</v>
      </c>
    </row>
    <row r="105" spans="1:24" x14ac:dyDescent="0.3">
      <c r="A105">
        <v>0.92651070437265659</v>
      </c>
      <c r="B105" s="54">
        <f t="shared" si="3"/>
        <v>926.51070437265662</v>
      </c>
      <c r="T105">
        <v>34</v>
      </c>
      <c r="W105">
        <v>5</v>
      </c>
      <c r="X105">
        <f t="shared" si="4"/>
        <v>0.24609375000000008</v>
      </c>
    </row>
    <row r="106" spans="1:24" x14ac:dyDescent="0.3">
      <c r="A106">
        <v>0.26694057092775414</v>
      </c>
      <c r="B106" s="54">
        <f t="shared" si="3"/>
        <v>266.94057092775415</v>
      </c>
      <c r="T106">
        <v>37</v>
      </c>
      <c r="W106">
        <v>6</v>
      </c>
      <c r="X106">
        <f t="shared" si="4"/>
        <v>0.20507812500000006</v>
      </c>
    </row>
    <row r="107" spans="1:24" x14ac:dyDescent="0.3">
      <c r="A107">
        <v>0.60449273079048771</v>
      </c>
      <c r="B107" s="54">
        <f t="shared" si="3"/>
        <v>604.49273079048771</v>
      </c>
      <c r="T107">
        <v>59</v>
      </c>
      <c r="W107">
        <v>7</v>
      </c>
      <c r="X107">
        <f t="shared" si="4"/>
        <v>0.11718750000000003</v>
      </c>
    </row>
    <row r="108" spans="1:24" x14ac:dyDescent="0.3">
      <c r="A108">
        <v>0.82823578229456141</v>
      </c>
      <c r="B108" s="54">
        <f t="shared" si="3"/>
        <v>828.23578229456143</v>
      </c>
      <c r="T108">
        <v>50</v>
      </c>
      <c r="W108">
        <v>8</v>
      </c>
      <c r="X108">
        <f t="shared" si="4"/>
        <v>4.3945312499999986E-2</v>
      </c>
    </row>
    <row r="109" spans="1:24" x14ac:dyDescent="0.3">
      <c r="A109">
        <v>0.48910967816404072</v>
      </c>
      <c r="B109" s="54">
        <f t="shared" si="3"/>
        <v>489.1096781640407</v>
      </c>
      <c r="T109">
        <v>25</v>
      </c>
      <c r="W109">
        <v>9</v>
      </c>
      <c r="X109">
        <f t="shared" si="4"/>
        <v>9.7656250000000017E-3</v>
      </c>
    </row>
    <row r="110" spans="1:24" x14ac:dyDescent="0.3">
      <c r="A110">
        <v>0.74288581957740396</v>
      </c>
      <c r="B110" s="54">
        <f t="shared" si="3"/>
        <v>742.88581957740394</v>
      </c>
      <c r="T110">
        <v>25</v>
      </c>
      <c r="W110">
        <v>10</v>
      </c>
      <c r="X110">
        <f t="shared" si="4"/>
        <v>9.765625E-4</v>
      </c>
    </row>
    <row r="111" spans="1:24" x14ac:dyDescent="0.3">
      <c r="A111">
        <v>0.78201034729473218</v>
      </c>
      <c r="B111" s="54">
        <f t="shared" si="3"/>
        <v>782.01034729473213</v>
      </c>
      <c r="T111">
        <v>22</v>
      </c>
    </row>
    <row r="112" spans="1:24" x14ac:dyDescent="0.3">
      <c r="A112">
        <v>0.10076700837381614</v>
      </c>
      <c r="B112" s="54">
        <f t="shared" si="3"/>
        <v>100.76700837381614</v>
      </c>
      <c r="T112">
        <v>51</v>
      </c>
    </row>
    <row r="113" spans="1:20" x14ac:dyDescent="0.3">
      <c r="A113">
        <v>1.9362100665515136E-2</v>
      </c>
      <c r="B113" s="54">
        <f t="shared" si="3"/>
        <v>19.362100665515136</v>
      </c>
      <c r="T113">
        <v>34</v>
      </c>
    </row>
    <row r="114" spans="1:20" x14ac:dyDescent="0.3">
      <c r="A114">
        <v>0.27440537770633577</v>
      </c>
      <c r="B114" s="54">
        <f t="shared" si="3"/>
        <v>274.4053777063358</v>
      </c>
      <c r="T114">
        <v>54</v>
      </c>
    </row>
    <row r="115" spans="1:20" x14ac:dyDescent="0.3">
      <c r="A115">
        <v>0.28088880639248481</v>
      </c>
      <c r="B115" s="54">
        <f t="shared" si="3"/>
        <v>280.88880639248481</v>
      </c>
      <c r="T115">
        <v>24</v>
      </c>
    </row>
    <row r="116" spans="1:20" x14ac:dyDescent="0.3">
      <c r="A116">
        <v>0.3284120994140014</v>
      </c>
      <c r="B116" s="54">
        <f t="shared" si="3"/>
        <v>328.41209941400137</v>
      </c>
      <c r="T116">
        <v>34</v>
      </c>
    </row>
    <row r="117" spans="1:20" x14ac:dyDescent="0.3">
      <c r="A117">
        <v>0.77965230032125632</v>
      </c>
      <c r="B117" s="54">
        <f t="shared" si="3"/>
        <v>779.65230032125635</v>
      </c>
      <c r="T117">
        <v>37</v>
      </c>
    </row>
    <row r="118" spans="1:20" x14ac:dyDescent="0.3">
      <c r="A118">
        <v>0.60853407953639715</v>
      </c>
      <c r="B118" s="54">
        <f t="shared" si="3"/>
        <v>608.53407953639714</v>
      </c>
      <c r="T118">
        <v>34</v>
      </c>
    </row>
    <row r="119" spans="1:20" x14ac:dyDescent="0.3">
      <c r="A119">
        <v>8.4094947864566727E-2</v>
      </c>
      <c r="B119" s="54">
        <f t="shared" si="3"/>
        <v>84.094947864566734</v>
      </c>
      <c r="T119">
        <v>36</v>
      </c>
    </row>
    <row r="120" spans="1:20" x14ac:dyDescent="0.3">
      <c r="A120">
        <v>0.85087711150591527</v>
      </c>
      <c r="B120" s="54">
        <f t="shared" si="3"/>
        <v>850.87711150591531</v>
      </c>
      <c r="T120">
        <v>36</v>
      </c>
    </row>
    <row r="121" spans="1:20" x14ac:dyDescent="0.3">
      <c r="A121">
        <v>0.7060031061947134</v>
      </c>
      <c r="B121" s="54">
        <f t="shared" si="3"/>
        <v>706.00310619471338</v>
      </c>
      <c r="T121">
        <v>43</v>
      </c>
    </row>
    <row r="122" spans="1:20" x14ac:dyDescent="0.3">
      <c r="A122">
        <v>0.65572402600812008</v>
      </c>
      <c r="B122" s="54">
        <f t="shared" si="3"/>
        <v>655.72402600812006</v>
      </c>
      <c r="T122">
        <v>30</v>
      </c>
    </row>
    <row r="123" spans="1:20" x14ac:dyDescent="0.3">
      <c r="A123">
        <v>0.42406074881744793</v>
      </c>
      <c r="B123" s="54">
        <f t="shared" si="3"/>
        <v>424.06074881744792</v>
      </c>
      <c r="T123">
        <v>33</v>
      </c>
    </row>
    <row r="124" spans="1:20" x14ac:dyDescent="0.3">
      <c r="A124">
        <v>0.45487317331030241</v>
      </c>
      <c r="B124" s="54">
        <f t="shared" si="3"/>
        <v>454.87317331030243</v>
      </c>
      <c r="T124">
        <v>56</v>
      </c>
    </row>
    <row r="125" spans="1:20" x14ac:dyDescent="0.3">
      <c r="A125">
        <v>0.97982216819786139</v>
      </c>
      <c r="B125" s="54">
        <f t="shared" si="3"/>
        <v>979.8221681978614</v>
      </c>
      <c r="T125">
        <v>51</v>
      </c>
    </row>
    <row r="126" spans="1:20" x14ac:dyDescent="0.3">
      <c r="A126">
        <v>1.1048668255196681E-2</v>
      </c>
      <c r="B126" s="54">
        <f t="shared" si="3"/>
        <v>11.048668255196681</v>
      </c>
      <c r="T126">
        <v>31</v>
      </c>
    </row>
    <row r="127" spans="1:20" x14ac:dyDescent="0.3">
      <c r="A127">
        <v>0.65047045744361354</v>
      </c>
      <c r="B127" s="54">
        <f t="shared" si="3"/>
        <v>650.47045744361355</v>
      </c>
      <c r="T127">
        <v>26</v>
      </c>
    </row>
    <row r="128" spans="1:20" x14ac:dyDescent="0.3">
      <c r="A128">
        <v>0.31790737264290669</v>
      </c>
      <c r="B128" s="54">
        <f t="shared" si="3"/>
        <v>317.90737264290669</v>
      </c>
      <c r="T128">
        <v>58</v>
      </c>
    </row>
    <row r="129" spans="1:20" x14ac:dyDescent="0.3">
      <c r="A129">
        <v>0.26388612280457924</v>
      </c>
      <c r="B129" s="54">
        <f t="shared" si="3"/>
        <v>263.88612280457926</v>
      </c>
      <c r="T129">
        <v>19</v>
      </c>
    </row>
    <row r="130" spans="1:20" x14ac:dyDescent="0.3">
      <c r="A130">
        <v>0.80380451845408274</v>
      </c>
      <c r="B130" s="54">
        <f t="shared" ref="B130:B193" si="5">A130*1000</f>
        <v>803.80451845408277</v>
      </c>
      <c r="T130">
        <v>22</v>
      </c>
    </row>
    <row r="131" spans="1:20" x14ac:dyDescent="0.3">
      <c r="A131">
        <v>0.68750153698613503</v>
      </c>
      <c r="B131" s="54">
        <f t="shared" si="5"/>
        <v>687.50153698613508</v>
      </c>
      <c r="T131">
        <v>49</v>
      </c>
    </row>
    <row r="132" spans="1:20" x14ac:dyDescent="0.3">
      <c r="A132">
        <v>4.9045876965680968E-2</v>
      </c>
      <c r="B132" s="54">
        <f t="shared" si="5"/>
        <v>49.045876965680968</v>
      </c>
      <c r="T132">
        <v>43</v>
      </c>
    </row>
    <row r="133" spans="1:20" x14ac:dyDescent="0.3">
      <c r="A133">
        <v>0.7215000958316784</v>
      </c>
      <c r="B133" s="54">
        <f t="shared" si="5"/>
        <v>721.50009583167844</v>
      </c>
      <c r="T133">
        <v>50</v>
      </c>
    </row>
    <row r="134" spans="1:20" x14ac:dyDescent="0.3">
      <c r="A134">
        <v>0.30646226027073364</v>
      </c>
      <c r="B134" s="54">
        <f t="shared" si="5"/>
        <v>306.46226027073362</v>
      </c>
      <c r="T134">
        <v>31</v>
      </c>
    </row>
    <row r="135" spans="1:20" x14ac:dyDescent="0.3">
      <c r="A135">
        <v>0.72887330773929637</v>
      </c>
      <c r="B135" s="54">
        <f t="shared" si="5"/>
        <v>728.87330773929637</v>
      </c>
      <c r="T135">
        <v>41</v>
      </c>
    </row>
    <row r="136" spans="1:20" x14ac:dyDescent="0.3">
      <c r="A136">
        <v>0.81367499868245918</v>
      </c>
      <c r="B136" s="54">
        <f t="shared" si="5"/>
        <v>813.6749986824592</v>
      </c>
      <c r="T136">
        <v>26</v>
      </c>
    </row>
    <row r="137" spans="1:20" x14ac:dyDescent="0.3">
      <c r="A137">
        <v>0.75481484789396647</v>
      </c>
      <c r="B137" s="54">
        <f t="shared" si="5"/>
        <v>754.81484789396643</v>
      </c>
      <c r="T137">
        <v>36</v>
      </c>
    </row>
    <row r="138" spans="1:20" x14ac:dyDescent="0.3">
      <c r="A138">
        <v>0.82035570212325659</v>
      </c>
      <c r="B138" s="54">
        <f t="shared" si="5"/>
        <v>820.35570212325661</v>
      </c>
      <c r="T138">
        <v>51</v>
      </c>
    </row>
    <row r="139" spans="1:20" x14ac:dyDescent="0.3">
      <c r="A139">
        <v>0.55861625333524545</v>
      </c>
      <c r="B139" s="54">
        <f t="shared" si="5"/>
        <v>558.61625333524546</v>
      </c>
      <c r="T139">
        <v>39</v>
      </c>
    </row>
    <row r="140" spans="1:20" x14ac:dyDescent="0.3">
      <c r="A140">
        <v>0.14030034425846361</v>
      </c>
      <c r="B140" s="54">
        <f t="shared" si="5"/>
        <v>140.30034425846361</v>
      </c>
      <c r="T140">
        <v>25</v>
      </c>
    </row>
    <row r="141" spans="1:20" x14ac:dyDescent="0.3">
      <c r="A141">
        <v>0.77258905462036864</v>
      </c>
      <c r="B141" s="54">
        <f t="shared" si="5"/>
        <v>772.58905462036864</v>
      </c>
      <c r="T141">
        <v>30</v>
      </c>
    </row>
    <row r="142" spans="1:20" x14ac:dyDescent="0.3">
      <c r="A142">
        <v>0.83027929238640863</v>
      </c>
      <c r="B142" s="54">
        <f t="shared" si="5"/>
        <v>830.27929238640866</v>
      </c>
      <c r="T142">
        <v>32</v>
      </c>
    </row>
    <row r="143" spans="1:20" x14ac:dyDescent="0.3">
      <c r="A143">
        <v>0.56926178675550831</v>
      </c>
      <c r="B143" s="54">
        <f t="shared" si="5"/>
        <v>569.2617867555083</v>
      </c>
      <c r="T143">
        <v>45</v>
      </c>
    </row>
    <row r="144" spans="1:20" x14ac:dyDescent="0.3">
      <c r="A144">
        <v>1.4368528271868186E-2</v>
      </c>
      <c r="B144" s="54">
        <f t="shared" si="5"/>
        <v>14.368528271868186</v>
      </c>
      <c r="T144">
        <v>38</v>
      </c>
    </row>
    <row r="145" spans="1:20" x14ac:dyDescent="0.3">
      <c r="A145">
        <v>5.2826892921376434E-2</v>
      </c>
      <c r="B145" s="54">
        <f t="shared" si="5"/>
        <v>52.826892921376434</v>
      </c>
      <c r="T145">
        <v>30</v>
      </c>
    </row>
    <row r="146" spans="1:20" x14ac:dyDescent="0.3">
      <c r="A146">
        <v>0.33429655604054842</v>
      </c>
      <c r="B146" s="54">
        <f t="shared" si="5"/>
        <v>334.29655604054841</v>
      </c>
      <c r="T146">
        <v>32</v>
      </c>
    </row>
    <row r="147" spans="1:20" x14ac:dyDescent="0.3">
      <c r="A147">
        <v>0.91061915212162958</v>
      </c>
      <c r="B147" s="54">
        <f t="shared" si="5"/>
        <v>910.61915212162955</v>
      </c>
      <c r="T147">
        <v>30</v>
      </c>
    </row>
    <row r="148" spans="1:20" x14ac:dyDescent="0.3">
      <c r="A148">
        <v>0.7188032200921175</v>
      </c>
      <c r="B148" s="54">
        <f t="shared" si="5"/>
        <v>718.8032200921175</v>
      </c>
      <c r="T148">
        <v>30</v>
      </c>
    </row>
    <row r="149" spans="1:20" x14ac:dyDescent="0.3">
      <c r="A149">
        <v>0.34445493875200928</v>
      </c>
      <c r="B149" s="54">
        <f t="shared" si="5"/>
        <v>344.4549387520093</v>
      </c>
      <c r="T149">
        <v>41</v>
      </c>
    </row>
    <row r="150" spans="1:20" x14ac:dyDescent="0.3">
      <c r="A150">
        <v>0.18043688318294637</v>
      </c>
      <c r="B150" s="54">
        <f t="shared" si="5"/>
        <v>180.43688318294636</v>
      </c>
      <c r="T150">
        <v>41</v>
      </c>
    </row>
    <row r="151" spans="1:20" x14ac:dyDescent="0.3">
      <c r="A151">
        <v>8.8682366568283211E-2</v>
      </c>
      <c r="B151" s="54">
        <f t="shared" si="5"/>
        <v>88.682366568283214</v>
      </c>
      <c r="T151">
        <v>19</v>
      </c>
    </row>
    <row r="152" spans="1:20" x14ac:dyDescent="0.3">
      <c r="A152">
        <v>0.17193082713942487</v>
      </c>
      <c r="B152" s="54">
        <f t="shared" si="5"/>
        <v>171.93082713942488</v>
      </c>
      <c r="T152">
        <v>40</v>
      </c>
    </row>
    <row r="153" spans="1:20" x14ac:dyDescent="0.3">
      <c r="A153">
        <v>0.44242177411797456</v>
      </c>
      <c r="B153" s="54">
        <f t="shared" si="5"/>
        <v>442.42177411797456</v>
      </c>
      <c r="T153">
        <v>35</v>
      </c>
    </row>
    <row r="154" spans="1:20" x14ac:dyDescent="0.3">
      <c r="A154">
        <v>0.13812226801374994</v>
      </c>
      <c r="B154" s="54">
        <f t="shared" si="5"/>
        <v>138.12226801374993</v>
      </c>
      <c r="T154">
        <v>53</v>
      </c>
    </row>
    <row r="155" spans="1:20" x14ac:dyDescent="0.3">
      <c r="A155">
        <v>0.7540008356200063</v>
      </c>
      <c r="B155" s="54">
        <f t="shared" si="5"/>
        <v>754.00083562000634</v>
      </c>
      <c r="T155">
        <v>45</v>
      </c>
    </row>
    <row r="156" spans="1:20" x14ac:dyDescent="0.3">
      <c r="A156">
        <v>0.32299132953390064</v>
      </c>
      <c r="B156" s="54">
        <f t="shared" si="5"/>
        <v>322.99132953390063</v>
      </c>
      <c r="T156">
        <v>32</v>
      </c>
    </row>
    <row r="157" spans="1:20" x14ac:dyDescent="0.3">
      <c r="A157">
        <v>0.76816344939563241</v>
      </c>
      <c r="B157" s="54">
        <f t="shared" si="5"/>
        <v>768.16344939563237</v>
      </c>
      <c r="T157">
        <v>29</v>
      </c>
    </row>
    <row r="158" spans="1:20" x14ac:dyDescent="0.3">
      <c r="A158">
        <v>0.21521491637600221</v>
      </c>
      <c r="B158" s="54">
        <f t="shared" si="5"/>
        <v>215.21491637600221</v>
      </c>
      <c r="T158">
        <v>51</v>
      </c>
    </row>
    <row r="159" spans="1:20" x14ac:dyDescent="0.3">
      <c r="A159">
        <v>3.9431172149962945E-2</v>
      </c>
      <c r="B159" s="54">
        <f t="shared" si="5"/>
        <v>39.431172149962947</v>
      </c>
      <c r="T159">
        <v>58</v>
      </c>
    </row>
    <row r="160" spans="1:20" x14ac:dyDescent="0.3">
      <c r="A160">
        <v>0.13412316992971296</v>
      </c>
      <c r="B160" s="54">
        <f t="shared" si="5"/>
        <v>134.12316992971296</v>
      </c>
      <c r="T160">
        <v>40</v>
      </c>
    </row>
    <row r="161" spans="1:20" x14ac:dyDescent="0.3">
      <c r="A161">
        <v>0.64960062554986697</v>
      </c>
      <c r="B161" s="54">
        <f t="shared" si="5"/>
        <v>649.600625549867</v>
      </c>
      <c r="T161">
        <v>34</v>
      </c>
    </row>
    <row r="162" spans="1:20" x14ac:dyDescent="0.3">
      <c r="A162">
        <v>0.19018164647662328</v>
      </c>
      <c r="B162" s="54">
        <f t="shared" si="5"/>
        <v>190.18164647662329</v>
      </c>
      <c r="T162">
        <v>22</v>
      </c>
    </row>
    <row r="163" spans="1:20" x14ac:dyDescent="0.3">
      <c r="A163">
        <v>0.45625428107237553</v>
      </c>
      <c r="B163" s="54">
        <f t="shared" si="5"/>
        <v>456.25428107237553</v>
      </c>
      <c r="T163">
        <v>27</v>
      </c>
    </row>
    <row r="164" spans="1:20" x14ac:dyDescent="0.3">
      <c r="A164">
        <v>0.49226725842036045</v>
      </c>
      <c r="B164" s="54">
        <f t="shared" si="5"/>
        <v>492.26725842036046</v>
      </c>
      <c r="T164">
        <v>28</v>
      </c>
    </row>
    <row r="165" spans="1:20" x14ac:dyDescent="0.3">
      <c r="A165">
        <v>0.64328514308634377</v>
      </c>
      <c r="B165" s="54">
        <f t="shared" si="5"/>
        <v>643.28514308634374</v>
      </c>
      <c r="T165">
        <v>57</v>
      </c>
    </row>
    <row r="166" spans="1:20" x14ac:dyDescent="0.3">
      <c r="A166">
        <v>0.67669456219507929</v>
      </c>
      <c r="B166" s="54">
        <f t="shared" si="5"/>
        <v>676.69456219507924</v>
      </c>
      <c r="T166">
        <v>27</v>
      </c>
    </row>
    <row r="167" spans="1:20" x14ac:dyDescent="0.3">
      <c r="A167">
        <v>0.4839623361964478</v>
      </c>
      <c r="B167" s="54">
        <f t="shared" si="5"/>
        <v>483.96233619644778</v>
      </c>
      <c r="T167">
        <v>50</v>
      </c>
    </row>
    <row r="168" spans="1:20" x14ac:dyDescent="0.3">
      <c r="A168">
        <v>6.7832845633697403E-2</v>
      </c>
      <c r="B168" s="54">
        <f t="shared" si="5"/>
        <v>67.832845633697403</v>
      </c>
      <c r="T168">
        <v>41</v>
      </c>
    </row>
    <row r="169" spans="1:20" x14ac:dyDescent="0.3">
      <c r="A169">
        <v>0.37624370890096515</v>
      </c>
      <c r="B169" s="54">
        <f t="shared" si="5"/>
        <v>376.24370890096515</v>
      </c>
      <c r="T169">
        <v>30</v>
      </c>
    </row>
    <row r="170" spans="1:20" x14ac:dyDescent="0.3">
      <c r="A170">
        <v>0.38740085419339554</v>
      </c>
      <c r="B170" s="54">
        <f t="shared" si="5"/>
        <v>387.40085419339556</v>
      </c>
      <c r="T170">
        <v>38</v>
      </c>
    </row>
    <row r="171" spans="1:20" x14ac:dyDescent="0.3">
      <c r="A171">
        <v>0.94933444173716341</v>
      </c>
      <c r="B171" s="54">
        <f t="shared" si="5"/>
        <v>949.33444173716339</v>
      </c>
      <c r="T171">
        <v>32</v>
      </c>
    </row>
    <row r="172" spans="1:20" x14ac:dyDescent="0.3">
      <c r="A172">
        <v>0.29371918048200496</v>
      </c>
      <c r="B172" s="54">
        <f t="shared" si="5"/>
        <v>293.71918048200496</v>
      </c>
      <c r="T172">
        <v>27</v>
      </c>
    </row>
    <row r="173" spans="1:20" x14ac:dyDescent="0.3">
      <c r="A173">
        <v>0.7515951578346467</v>
      </c>
      <c r="B173" s="54">
        <f t="shared" si="5"/>
        <v>751.59515783464667</v>
      </c>
      <c r="T173">
        <v>19</v>
      </c>
    </row>
    <row r="174" spans="1:20" x14ac:dyDescent="0.3">
      <c r="A174">
        <v>2.6101989529600189E-2</v>
      </c>
      <c r="B174" s="54">
        <f t="shared" si="5"/>
        <v>26.101989529600189</v>
      </c>
      <c r="T174">
        <v>36</v>
      </c>
    </row>
    <row r="175" spans="1:20" x14ac:dyDescent="0.3">
      <c r="A175">
        <v>2.4933164494757243E-2</v>
      </c>
      <c r="B175" s="54">
        <f t="shared" si="5"/>
        <v>24.933164494757243</v>
      </c>
      <c r="T175">
        <v>30</v>
      </c>
    </row>
    <row r="176" spans="1:20" x14ac:dyDescent="0.3">
      <c r="A176">
        <v>0.33398552737296994</v>
      </c>
      <c r="B176" s="54">
        <f t="shared" si="5"/>
        <v>333.98552737296995</v>
      </c>
      <c r="T176">
        <v>45</v>
      </c>
    </row>
    <row r="177" spans="1:20" x14ac:dyDescent="0.3">
      <c r="A177">
        <v>0.48279435244230418</v>
      </c>
      <c r="B177" s="54">
        <f t="shared" si="5"/>
        <v>482.79435244230416</v>
      </c>
      <c r="T177">
        <v>56</v>
      </c>
    </row>
    <row r="178" spans="1:20" x14ac:dyDescent="0.3">
      <c r="A178">
        <v>0.39145899857259803</v>
      </c>
      <c r="B178" s="54">
        <f t="shared" si="5"/>
        <v>391.45899857259803</v>
      </c>
      <c r="T178">
        <v>33</v>
      </c>
    </row>
    <row r="179" spans="1:20" x14ac:dyDescent="0.3">
      <c r="A179">
        <v>0.65181976259244756</v>
      </c>
      <c r="B179" s="54">
        <f t="shared" si="5"/>
        <v>651.81976259244755</v>
      </c>
      <c r="T179">
        <v>19</v>
      </c>
    </row>
    <row r="180" spans="1:20" x14ac:dyDescent="0.3">
      <c r="A180">
        <v>0.81480239997463899</v>
      </c>
      <c r="B180" s="54">
        <f t="shared" si="5"/>
        <v>814.802399974639</v>
      </c>
      <c r="T180">
        <v>46</v>
      </c>
    </row>
    <row r="181" spans="1:20" x14ac:dyDescent="0.3">
      <c r="A181">
        <v>0.96095911836289805</v>
      </c>
      <c r="B181" s="54">
        <f t="shared" si="5"/>
        <v>960.95911836289804</v>
      </c>
      <c r="T181">
        <v>38</v>
      </c>
    </row>
    <row r="182" spans="1:20" x14ac:dyDescent="0.3">
      <c r="A182">
        <v>0.15085461772713593</v>
      </c>
      <c r="B182" s="54">
        <f t="shared" si="5"/>
        <v>150.85461772713592</v>
      </c>
      <c r="T182">
        <v>31</v>
      </c>
    </row>
    <row r="183" spans="1:20" x14ac:dyDescent="0.3">
      <c r="A183">
        <v>0.53612923654171052</v>
      </c>
      <c r="B183" s="54">
        <f t="shared" si="5"/>
        <v>536.1292365417105</v>
      </c>
      <c r="T183">
        <v>34</v>
      </c>
    </row>
    <row r="184" spans="1:20" x14ac:dyDescent="0.3">
      <c r="A184">
        <v>8.4917018516621479E-2</v>
      </c>
      <c r="B184" s="54">
        <f t="shared" si="5"/>
        <v>84.917018516621482</v>
      </c>
      <c r="T184">
        <v>41</v>
      </c>
    </row>
    <row r="185" spans="1:20" x14ac:dyDescent="0.3">
      <c r="A185">
        <v>0.46505079214225375</v>
      </c>
      <c r="B185" s="54">
        <f t="shared" si="5"/>
        <v>465.05079214225373</v>
      </c>
      <c r="T185">
        <v>50</v>
      </c>
    </row>
    <row r="186" spans="1:20" x14ac:dyDescent="0.3">
      <c r="A186">
        <v>0.75944061104759197</v>
      </c>
      <c r="B186" s="54">
        <f t="shared" si="5"/>
        <v>759.44061104759203</v>
      </c>
      <c r="T186">
        <v>53</v>
      </c>
    </row>
    <row r="187" spans="1:20" x14ac:dyDescent="0.3">
      <c r="A187">
        <v>0.76169205655158101</v>
      </c>
      <c r="B187" s="54">
        <f t="shared" si="5"/>
        <v>761.692056551581</v>
      </c>
      <c r="T187">
        <v>33</v>
      </c>
    </row>
    <row r="188" spans="1:20" x14ac:dyDescent="0.3">
      <c r="A188">
        <v>0.38418583987106447</v>
      </c>
      <c r="B188" s="54">
        <f t="shared" si="5"/>
        <v>384.18583987106445</v>
      </c>
      <c r="T188">
        <v>40</v>
      </c>
    </row>
    <row r="189" spans="1:20" x14ac:dyDescent="0.3">
      <c r="A189">
        <v>0.1873008847122497</v>
      </c>
      <c r="B189" s="54">
        <f t="shared" si="5"/>
        <v>187.30088471224971</v>
      </c>
      <c r="T189">
        <v>55</v>
      </c>
    </row>
    <row r="190" spans="1:20" x14ac:dyDescent="0.3">
      <c r="A190">
        <v>0.88458909640132588</v>
      </c>
      <c r="B190" s="54">
        <f t="shared" si="5"/>
        <v>884.58909640132583</v>
      </c>
      <c r="T190">
        <v>34</v>
      </c>
    </row>
    <row r="191" spans="1:20" x14ac:dyDescent="0.3">
      <c r="A191">
        <v>0.52743424374120185</v>
      </c>
      <c r="B191" s="54">
        <f t="shared" si="5"/>
        <v>527.43424374120184</v>
      </c>
      <c r="T191">
        <v>51</v>
      </c>
    </row>
    <row r="192" spans="1:20" x14ac:dyDescent="0.3">
      <c r="A192">
        <v>0.14825596448195544</v>
      </c>
      <c r="B192" s="54">
        <f t="shared" si="5"/>
        <v>148.25596448195543</v>
      </c>
      <c r="T192">
        <v>52</v>
      </c>
    </row>
    <row r="193" spans="1:20" x14ac:dyDescent="0.3">
      <c r="A193">
        <v>0.9980389025819234</v>
      </c>
      <c r="B193" s="54">
        <f t="shared" si="5"/>
        <v>998.03890258192337</v>
      </c>
      <c r="T193">
        <v>27</v>
      </c>
    </row>
    <row r="194" spans="1:20" x14ac:dyDescent="0.3">
      <c r="A194">
        <v>0.15193791885946162</v>
      </c>
      <c r="B194" s="54">
        <f t="shared" ref="B194:B257" si="6">A194*1000</f>
        <v>151.9379188594616</v>
      </c>
      <c r="T194">
        <v>35</v>
      </c>
    </row>
    <row r="195" spans="1:20" x14ac:dyDescent="0.3">
      <c r="A195">
        <v>0.41955091790040044</v>
      </c>
      <c r="B195" s="54">
        <f t="shared" si="6"/>
        <v>419.55091790040046</v>
      </c>
      <c r="T195">
        <v>43</v>
      </c>
    </row>
    <row r="196" spans="1:20" x14ac:dyDescent="0.3">
      <c r="A196">
        <v>0.51471774242153767</v>
      </c>
      <c r="B196" s="54">
        <f t="shared" si="6"/>
        <v>514.71774242153765</v>
      </c>
      <c r="T196">
        <v>45</v>
      </c>
    </row>
    <row r="197" spans="1:20" x14ac:dyDescent="0.3">
      <c r="A197">
        <v>0.30209090208641998</v>
      </c>
      <c r="B197" s="54">
        <f t="shared" si="6"/>
        <v>302.09090208641999</v>
      </c>
      <c r="T197">
        <v>37</v>
      </c>
    </row>
    <row r="198" spans="1:20" x14ac:dyDescent="0.3">
      <c r="A198">
        <v>2.7065931100890062E-2</v>
      </c>
      <c r="B198" s="54">
        <f t="shared" si="6"/>
        <v>27.065931100890062</v>
      </c>
      <c r="T198">
        <v>35</v>
      </c>
    </row>
    <row r="199" spans="1:20" x14ac:dyDescent="0.3">
      <c r="A199">
        <v>0.64939124517960423</v>
      </c>
      <c r="B199" s="54">
        <f t="shared" si="6"/>
        <v>649.3912451796042</v>
      </c>
      <c r="T199">
        <v>42</v>
      </c>
    </row>
    <row r="200" spans="1:20" x14ac:dyDescent="0.3">
      <c r="A200">
        <v>5.5876003539330199E-2</v>
      </c>
      <c r="B200" s="54">
        <f t="shared" si="6"/>
        <v>55.876003539330199</v>
      </c>
      <c r="T200">
        <v>38</v>
      </c>
    </row>
    <row r="201" spans="1:20" x14ac:dyDescent="0.3">
      <c r="A201">
        <v>0.7636767216738336</v>
      </c>
      <c r="B201" s="54">
        <f t="shared" si="6"/>
        <v>763.67672167383364</v>
      </c>
      <c r="T201">
        <v>38</v>
      </c>
    </row>
    <row r="202" spans="1:20" x14ac:dyDescent="0.3">
      <c r="A202">
        <v>0.80363839195715325</v>
      </c>
      <c r="B202" s="54">
        <f t="shared" si="6"/>
        <v>803.6383919571532</v>
      </c>
      <c r="T202">
        <v>27</v>
      </c>
    </row>
    <row r="203" spans="1:20" x14ac:dyDescent="0.3">
      <c r="A203">
        <v>0.5095210315984211</v>
      </c>
      <c r="B203" s="54">
        <f t="shared" si="6"/>
        <v>509.52103159842113</v>
      </c>
      <c r="T203">
        <v>49</v>
      </c>
    </row>
    <row r="204" spans="1:20" x14ac:dyDescent="0.3">
      <c r="A204">
        <v>0.84321531414993101</v>
      </c>
      <c r="B204" s="54">
        <f t="shared" si="6"/>
        <v>843.21531414993103</v>
      </c>
      <c r="T204">
        <v>34</v>
      </c>
    </row>
    <row r="205" spans="1:20" x14ac:dyDescent="0.3">
      <c r="A205">
        <v>0.47579910563181294</v>
      </c>
      <c r="B205" s="54">
        <f t="shared" si="6"/>
        <v>475.79910563181295</v>
      </c>
      <c r="T205">
        <v>40</v>
      </c>
    </row>
    <row r="206" spans="1:20" x14ac:dyDescent="0.3">
      <c r="A206">
        <v>0.902767145348216</v>
      </c>
      <c r="B206" s="54">
        <f t="shared" si="6"/>
        <v>902.76714534821599</v>
      </c>
      <c r="T206">
        <v>38</v>
      </c>
    </row>
    <row r="207" spans="1:20" x14ac:dyDescent="0.3">
      <c r="A207">
        <v>0.85241296355136642</v>
      </c>
      <c r="B207" s="54">
        <f t="shared" si="6"/>
        <v>852.41296355136637</v>
      </c>
      <c r="T207">
        <v>29</v>
      </c>
    </row>
    <row r="208" spans="1:20" x14ac:dyDescent="0.3">
      <c r="A208">
        <v>0.72244846212250646</v>
      </c>
      <c r="B208" s="54">
        <f t="shared" si="6"/>
        <v>722.4484621225065</v>
      </c>
      <c r="T208">
        <v>22</v>
      </c>
    </row>
    <row r="209" spans="1:20" x14ac:dyDescent="0.3">
      <c r="A209">
        <v>0.42094743599480577</v>
      </c>
      <c r="B209" s="54">
        <f t="shared" si="6"/>
        <v>420.9474359948058</v>
      </c>
      <c r="T209">
        <v>36</v>
      </c>
    </row>
    <row r="210" spans="1:20" x14ac:dyDescent="0.3">
      <c r="A210">
        <v>0.14675063414090506</v>
      </c>
      <c r="B210" s="54">
        <f t="shared" si="6"/>
        <v>146.75063414090505</v>
      </c>
      <c r="T210">
        <v>40</v>
      </c>
    </row>
    <row r="211" spans="1:20" x14ac:dyDescent="0.3">
      <c r="A211">
        <v>0.13886788604348421</v>
      </c>
      <c r="B211" s="54">
        <f t="shared" si="6"/>
        <v>138.86788604348422</v>
      </c>
      <c r="T211">
        <v>46</v>
      </c>
    </row>
    <row r="212" spans="1:20" x14ac:dyDescent="0.3">
      <c r="A212">
        <v>0.95600130993982013</v>
      </c>
      <c r="B212" s="54">
        <f t="shared" si="6"/>
        <v>956.00130993982009</v>
      </c>
      <c r="T212">
        <v>32</v>
      </c>
    </row>
    <row r="213" spans="1:20" x14ac:dyDescent="0.3">
      <c r="A213">
        <v>0.36647736100445782</v>
      </c>
      <c r="B213" s="54">
        <f t="shared" si="6"/>
        <v>366.4773610044578</v>
      </c>
      <c r="T213">
        <v>30</v>
      </c>
    </row>
    <row r="214" spans="1:20" x14ac:dyDescent="0.3">
      <c r="A214">
        <v>0.29094614510104932</v>
      </c>
      <c r="B214" s="54">
        <f t="shared" si="6"/>
        <v>290.9461451010493</v>
      </c>
      <c r="T214">
        <v>27</v>
      </c>
    </row>
    <row r="215" spans="1:20" x14ac:dyDescent="0.3">
      <c r="A215">
        <v>0.38062724875604825</v>
      </c>
      <c r="B215" s="54">
        <f t="shared" si="6"/>
        <v>380.62724875604823</v>
      </c>
      <c r="T215">
        <v>51</v>
      </c>
    </row>
    <row r="216" spans="1:20" x14ac:dyDescent="0.3">
      <c r="A216">
        <v>0.70902289247948969</v>
      </c>
      <c r="B216" s="54">
        <f t="shared" si="6"/>
        <v>709.02289247948966</v>
      </c>
      <c r="T216">
        <v>30</v>
      </c>
    </row>
    <row r="217" spans="1:20" x14ac:dyDescent="0.3">
      <c r="A217">
        <v>0.20123586626379186</v>
      </c>
      <c r="B217" s="54">
        <f t="shared" si="6"/>
        <v>201.23586626379188</v>
      </c>
      <c r="T217">
        <v>41</v>
      </c>
    </row>
    <row r="218" spans="1:20" x14ac:dyDescent="0.3">
      <c r="A218">
        <v>0.20267436455767207</v>
      </c>
      <c r="B218" s="54">
        <f t="shared" si="6"/>
        <v>202.67436455767208</v>
      </c>
      <c r="T218">
        <v>30</v>
      </c>
    </row>
    <row r="219" spans="1:20" x14ac:dyDescent="0.3">
      <c r="A219">
        <v>0.43426439034954867</v>
      </c>
      <c r="B219" s="54">
        <f t="shared" si="6"/>
        <v>434.26439034954865</v>
      </c>
      <c r="T219">
        <v>29</v>
      </c>
    </row>
    <row r="220" spans="1:20" x14ac:dyDescent="0.3">
      <c r="A220">
        <v>0.61098680080617296</v>
      </c>
      <c r="B220" s="54">
        <f t="shared" si="6"/>
        <v>610.98680080617294</v>
      </c>
      <c r="T220">
        <v>45</v>
      </c>
    </row>
    <row r="221" spans="1:20" x14ac:dyDescent="0.3">
      <c r="A221">
        <v>0.2137954814745493</v>
      </c>
      <c r="B221" s="54">
        <f t="shared" si="6"/>
        <v>213.79548147454929</v>
      </c>
      <c r="T221">
        <v>54</v>
      </c>
    </row>
    <row r="222" spans="1:20" x14ac:dyDescent="0.3">
      <c r="A222">
        <v>0.76332147438175291</v>
      </c>
      <c r="B222" s="54">
        <f t="shared" si="6"/>
        <v>763.32147438175286</v>
      </c>
      <c r="T222">
        <v>36</v>
      </c>
    </row>
    <row r="223" spans="1:20" x14ac:dyDescent="0.3">
      <c r="A223">
        <v>0.65204588280128029</v>
      </c>
      <c r="B223" s="54">
        <f t="shared" si="6"/>
        <v>652.0458828012803</v>
      </c>
      <c r="T223">
        <v>33</v>
      </c>
    </row>
    <row r="224" spans="1:20" x14ac:dyDescent="0.3">
      <c r="A224">
        <v>0.9586133985483567</v>
      </c>
      <c r="B224" s="54">
        <f t="shared" si="6"/>
        <v>958.61339854835671</v>
      </c>
      <c r="T224">
        <v>37</v>
      </c>
    </row>
    <row r="225" spans="1:20" x14ac:dyDescent="0.3">
      <c r="A225">
        <v>0.96164192783672342</v>
      </c>
      <c r="B225" s="54">
        <f t="shared" si="6"/>
        <v>961.64192783672343</v>
      </c>
      <c r="T225">
        <v>38</v>
      </c>
    </row>
    <row r="226" spans="1:20" x14ac:dyDescent="0.3">
      <c r="A226">
        <v>0.99617009310237226</v>
      </c>
      <c r="B226" s="54">
        <f t="shared" si="6"/>
        <v>996.17009310237222</v>
      </c>
      <c r="T226">
        <v>31</v>
      </c>
    </row>
    <row r="227" spans="1:20" x14ac:dyDescent="0.3">
      <c r="A227">
        <v>0.91191346867033918</v>
      </c>
      <c r="B227" s="54">
        <f t="shared" si="6"/>
        <v>911.91346867033917</v>
      </c>
      <c r="T227">
        <v>59</v>
      </c>
    </row>
    <row r="228" spans="1:20" x14ac:dyDescent="0.3">
      <c r="A228">
        <v>0.61899510282657499</v>
      </c>
      <c r="B228" s="54">
        <f t="shared" si="6"/>
        <v>618.99510282657502</v>
      </c>
      <c r="T228">
        <v>37</v>
      </c>
    </row>
    <row r="229" spans="1:20" x14ac:dyDescent="0.3">
      <c r="A229">
        <v>0.16404119289308916</v>
      </c>
      <c r="B229" s="54">
        <f t="shared" si="6"/>
        <v>164.04119289308915</v>
      </c>
      <c r="T229">
        <v>29</v>
      </c>
    </row>
    <row r="230" spans="1:20" x14ac:dyDescent="0.3">
      <c r="A230">
        <v>7.2838263934578151E-2</v>
      </c>
      <c r="B230" s="54">
        <f t="shared" si="6"/>
        <v>72.838263934578151</v>
      </c>
      <c r="T230">
        <v>35</v>
      </c>
    </row>
    <row r="231" spans="1:20" x14ac:dyDescent="0.3">
      <c r="A231">
        <v>9.7863453361609842E-2</v>
      </c>
      <c r="B231" s="54">
        <f t="shared" si="6"/>
        <v>97.863453361609842</v>
      </c>
      <c r="T231">
        <v>29</v>
      </c>
    </row>
    <row r="232" spans="1:20" x14ac:dyDescent="0.3">
      <c r="A232">
        <v>0.41178672932560501</v>
      </c>
      <c r="B232" s="54">
        <f t="shared" si="6"/>
        <v>411.78672932560499</v>
      </c>
      <c r="T232">
        <v>52</v>
      </c>
    </row>
    <row r="233" spans="1:20" x14ac:dyDescent="0.3">
      <c r="A233">
        <v>0.92164683547195136</v>
      </c>
      <c r="B233" s="54">
        <f t="shared" si="6"/>
        <v>921.64683547195136</v>
      </c>
      <c r="T233">
        <v>42</v>
      </c>
    </row>
    <row r="234" spans="1:20" x14ac:dyDescent="0.3">
      <c r="A234">
        <v>0.43569363891038937</v>
      </c>
      <c r="B234" s="54">
        <f t="shared" si="6"/>
        <v>435.69363891038938</v>
      </c>
      <c r="T234">
        <v>59</v>
      </c>
    </row>
    <row r="235" spans="1:20" x14ac:dyDescent="0.3">
      <c r="A235">
        <v>6.1700146405872403E-2</v>
      </c>
      <c r="B235" s="54">
        <f t="shared" si="6"/>
        <v>61.700146405872403</v>
      </c>
      <c r="T235">
        <v>50</v>
      </c>
    </row>
    <row r="236" spans="1:20" x14ac:dyDescent="0.3">
      <c r="A236">
        <v>0.66161247982374238</v>
      </c>
      <c r="B236" s="54">
        <f t="shared" si="6"/>
        <v>661.61247982374243</v>
      </c>
      <c r="T236">
        <v>33</v>
      </c>
    </row>
    <row r="237" spans="1:20" x14ac:dyDescent="0.3">
      <c r="A237">
        <v>0.84161224106919064</v>
      </c>
      <c r="B237" s="54">
        <f t="shared" si="6"/>
        <v>841.61224106919065</v>
      </c>
      <c r="T237">
        <v>43</v>
      </c>
    </row>
    <row r="238" spans="1:20" x14ac:dyDescent="0.3">
      <c r="A238">
        <v>0.1181287829175881</v>
      </c>
      <c r="B238" s="54">
        <f t="shared" si="6"/>
        <v>118.1287829175881</v>
      </c>
      <c r="T238">
        <v>33</v>
      </c>
    </row>
    <row r="239" spans="1:20" x14ac:dyDescent="0.3">
      <c r="A239">
        <v>0.23773374832958982</v>
      </c>
      <c r="B239" s="54">
        <f t="shared" si="6"/>
        <v>237.73374832958982</v>
      </c>
      <c r="T239">
        <v>52</v>
      </c>
    </row>
    <row r="240" spans="1:20" x14ac:dyDescent="0.3">
      <c r="A240">
        <v>0.30160432337705334</v>
      </c>
      <c r="B240" s="54">
        <f t="shared" si="6"/>
        <v>301.60432337705333</v>
      </c>
      <c r="T240">
        <v>32</v>
      </c>
    </row>
    <row r="241" spans="1:20" x14ac:dyDescent="0.3">
      <c r="A241">
        <v>0.30850666773185687</v>
      </c>
      <c r="B241" s="54">
        <f t="shared" si="6"/>
        <v>308.50666773185685</v>
      </c>
      <c r="T241">
        <v>32</v>
      </c>
    </row>
    <row r="242" spans="1:20" x14ac:dyDescent="0.3">
      <c r="A242">
        <v>0.6745247800914671</v>
      </c>
      <c r="B242" s="54">
        <f t="shared" si="6"/>
        <v>674.52478009146705</v>
      </c>
      <c r="T242">
        <v>39</v>
      </c>
    </row>
    <row r="243" spans="1:20" x14ac:dyDescent="0.3">
      <c r="A243">
        <v>0.76661192524863342</v>
      </c>
      <c r="B243" s="54">
        <f t="shared" si="6"/>
        <v>766.61192524863338</v>
      </c>
      <c r="T243">
        <v>32</v>
      </c>
    </row>
    <row r="244" spans="1:20" x14ac:dyDescent="0.3">
      <c r="A244">
        <v>0.14104092375486155</v>
      </c>
      <c r="B244" s="54">
        <f t="shared" si="6"/>
        <v>141.04092375486155</v>
      </c>
      <c r="T244">
        <v>41</v>
      </c>
    </row>
    <row r="245" spans="1:20" x14ac:dyDescent="0.3">
      <c r="A245">
        <v>0.95054136723697003</v>
      </c>
      <c r="B245" s="54">
        <f t="shared" si="6"/>
        <v>950.54136723697002</v>
      </c>
      <c r="T245">
        <v>40</v>
      </c>
    </row>
    <row r="246" spans="1:20" x14ac:dyDescent="0.3">
      <c r="A246">
        <v>0.6079982190456712</v>
      </c>
      <c r="B246" s="54">
        <f t="shared" si="6"/>
        <v>607.99821904567125</v>
      </c>
      <c r="T246">
        <v>45</v>
      </c>
    </row>
    <row r="247" spans="1:20" x14ac:dyDescent="0.3">
      <c r="A247">
        <v>0.94209520290103588</v>
      </c>
      <c r="B247" s="54">
        <f t="shared" si="6"/>
        <v>942.09520290103592</v>
      </c>
      <c r="T247">
        <v>31</v>
      </c>
    </row>
    <row r="248" spans="1:20" x14ac:dyDescent="0.3">
      <c r="A248">
        <v>0.90398397083124715</v>
      </c>
      <c r="B248" s="54">
        <f t="shared" si="6"/>
        <v>903.98397083124712</v>
      </c>
      <c r="T248">
        <v>33</v>
      </c>
    </row>
    <row r="249" spans="1:20" x14ac:dyDescent="0.3">
      <c r="A249">
        <v>0.352025867122439</v>
      </c>
      <c r="B249" s="54">
        <f t="shared" si="6"/>
        <v>352.02586712243897</v>
      </c>
      <c r="T249">
        <v>34</v>
      </c>
    </row>
    <row r="250" spans="1:20" x14ac:dyDescent="0.3">
      <c r="A250">
        <v>0.64333774933543975</v>
      </c>
      <c r="B250" s="54">
        <f t="shared" si="6"/>
        <v>643.33774933543975</v>
      </c>
      <c r="T250">
        <v>37</v>
      </c>
    </row>
    <row r="251" spans="1:20" x14ac:dyDescent="0.3">
      <c r="A251">
        <v>0.48919590428341309</v>
      </c>
      <c r="B251" s="54">
        <f t="shared" si="6"/>
        <v>489.19590428341309</v>
      </c>
      <c r="T251">
        <v>45</v>
      </c>
    </row>
    <row r="252" spans="1:20" x14ac:dyDescent="0.3">
      <c r="A252">
        <v>7.9923099539790154E-2</v>
      </c>
      <c r="B252" s="54">
        <f t="shared" si="6"/>
        <v>79.923099539790158</v>
      </c>
      <c r="T252">
        <v>37</v>
      </c>
    </row>
    <row r="253" spans="1:20" x14ac:dyDescent="0.3">
      <c r="A253">
        <v>0.97147806801944303</v>
      </c>
      <c r="B253" s="54">
        <f t="shared" si="6"/>
        <v>971.47806801944307</v>
      </c>
      <c r="T253">
        <v>39</v>
      </c>
    </row>
    <row r="254" spans="1:20" x14ac:dyDescent="0.3">
      <c r="A254">
        <v>0.41807815292884443</v>
      </c>
      <c r="B254" s="54">
        <f t="shared" si="6"/>
        <v>418.07815292884442</v>
      </c>
      <c r="T254">
        <v>29</v>
      </c>
    </row>
    <row r="255" spans="1:20" x14ac:dyDescent="0.3">
      <c r="A255">
        <v>0.82963037519415672</v>
      </c>
      <c r="B255" s="54">
        <f t="shared" si="6"/>
        <v>829.63037519415673</v>
      </c>
      <c r="T255">
        <v>42</v>
      </c>
    </row>
    <row r="256" spans="1:20" x14ac:dyDescent="0.3">
      <c r="A256">
        <v>9.3577830747360924E-2</v>
      </c>
      <c r="B256" s="54">
        <f t="shared" si="6"/>
        <v>93.57783074736092</v>
      </c>
      <c r="T256">
        <v>29</v>
      </c>
    </row>
    <row r="257" spans="1:20" x14ac:dyDescent="0.3">
      <c r="A257">
        <v>0.11502720740122596</v>
      </c>
      <c r="B257" s="54">
        <f t="shared" si="6"/>
        <v>115.02720740122597</v>
      </c>
      <c r="T257">
        <v>25</v>
      </c>
    </row>
    <row r="258" spans="1:20" x14ac:dyDescent="0.3">
      <c r="A258">
        <v>0.3583815482520305</v>
      </c>
      <c r="B258" s="54">
        <f t="shared" ref="B258:B321" si="7">A258*1000</f>
        <v>358.38154825203048</v>
      </c>
      <c r="T258">
        <v>42</v>
      </c>
    </row>
    <row r="259" spans="1:20" x14ac:dyDescent="0.3">
      <c r="A259">
        <v>0.60385299850171226</v>
      </c>
      <c r="B259" s="54">
        <f t="shared" si="7"/>
        <v>603.85299850171225</v>
      </c>
      <c r="T259">
        <v>40</v>
      </c>
    </row>
    <row r="260" spans="1:20" x14ac:dyDescent="0.3">
      <c r="A260">
        <v>6.9991561244121092E-2</v>
      </c>
      <c r="B260" s="54">
        <f t="shared" si="7"/>
        <v>69.991561244121087</v>
      </c>
      <c r="T260">
        <v>51</v>
      </c>
    </row>
    <row r="261" spans="1:20" x14ac:dyDescent="0.3">
      <c r="A261">
        <v>0.40251613886236748</v>
      </c>
      <c r="B261" s="54">
        <f t="shared" si="7"/>
        <v>402.51613886236748</v>
      </c>
      <c r="T261">
        <v>31</v>
      </c>
    </row>
    <row r="262" spans="1:20" x14ac:dyDescent="0.3">
      <c r="A262">
        <v>0.61199747872230592</v>
      </c>
      <c r="B262" s="54">
        <f t="shared" si="7"/>
        <v>611.99747872230591</v>
      </c>
      <c r="T262">
        <v>32</v>
      </c>
    </row>
    <row r="263" spans="1:20" x14ac:dyDescent="0.3">
      <c r="A263">
        <v>0.13282978019173708</v>
      </c>
      <c r="B263" s="54">
        <f t="shared" si="7"/>
        <v>132.82978019173709</v>
      </c>
      <c r="T263">
        <v>38</v>
      </c>
    </row>
    <row r="264" spans="1:20" x14ac:dyDescent="0.3">
      <c r="A264">
        <v>0.74474900425503776</v>
      </c>
      <c r="B264" s="54">
        <f t="shared" si="7"/>
        <v>744.74900425503779</v>
      </c>
      <c r="T264">
        <v>32</v>
      </c>
    </row>
    <row r="265" spans="1:20" x14ac:dyDescent="0.3">
      <c r="A265">
        <v>0.90641290862722634</v>
      </c>
      <c r="B265" s="54">
        <f t="shared" si="7"/>
        <v>906.41290862722633</v>
      </c>
      <c r="T265">
        <v>46</v>
      </c>
    </row>
    <row r="266" spans="1:20" x14ac:dyDescent="0.3">
      <c r="A266">
        <v>0.17671260873082772</v>
      </c>
      <c r="B266" s="54">
        <f t="shared" si="7"/>
        <v>176.71260873082772</v>
      </c>
      <c r="T266">
        <v>28</v>
      </c>
    </row>
    <row r="267" spans="1:20" x14ac:dyDescent="0.3">
      <c r="A267">
        <v>0.71736412058498367</v>
      </c>
      <c r="B267" s="54">
        <f t="shared" si="7"/>
        <v>717.36412058498365</v>
      </c>
      <c r="T267">
        <v>29</v>
      </c>
    </row>
    <row r="268" spans="1:20" x14ac:dyDescent="0.3">
      <c r="A268">
        <v>0.31759473811353667</v>
      </c>
      <c r="B268" s="54">
        <f t="shared" si="7"/>
        <v>317.59473811353666</v>
      </c>
      <c r="T268">
        <v>31</v>
      </c>
    </row>
    <row r="269" spans="1:20" x14ac:dyDescent="0.3">
      <c r="A269">
        <v>0.69588901708153106</v>
      </c>
      <c r="B269" s="54">
        <f t="shared" si="7"/>
        <v>695.88901708153105</v>
      </c>
      <c r="T269">
        <v>25</v>
      </c>
    </row>
    <row r="270" spans="1:20" x14ac:dyDescent="0.3">
      <c r="A270">
        <v>0.35357653498591723</v>
      </c>
      <c r="B270" s="54">
        <f t="shared" si="7"/>
        <v>353.57653498591725</v>
      </c>
      <c r="T270">
        <v>45</v>
      </c>
    </row>
    <row r="271" spans="1:20" x14ac:dyDescent="0.3">
      <c r="A271">
        <v>0.86278287569973955</v>
      </c>
      <c r="B271" s="54">
        <f t="shared" si="7"/>
        <v>862.78287569973952</v>
      </c>
      <c r="T271">
        <v>36</v>
      </c>
    </row>
    <row r="272" spans="1:20" x14ac:dyDescent="0.3">
      <c r="A272">
        <v>0.7242533127567472</v>
      </c>
      <c r="B272" s="54">
        <f t="shared" si="7"/>
        <v>724.25331275674716</v>
      </c>
      <c r="T272">
        <v>55</v>
      </c>
    </row>
    <row r="273" spans="1:20" x14ac:dyDescent="0.3">
      <c r="A273">
        <v>0.95034702621589773</v>
      </c>
      <c r="B273" s="54">
        <f t="shared" si="7"/>
        <v>950.3470262158977</v>
      </c>
      <c r="T273">
        <v>47</v>
      </c>
    </row>
    <row r="274" spans="1:20" x14ac:dyDescent="0.3">
      <c r="A274">
        <v>3.5378174798133877E-2</v>
      </c>
      <c r="B274" s="54">
        <f t="shared" si="7"/>
        <v>35.378174798133877</v>
      </c>
      <c r="T274">
        <v>28</v>
      </c>
    </row>
    <row r="275" spans="1:20" x14ac:dyDescent="0.3">
      <c r="A275">
        <v>0.86752151253296206</v>
      </c>
      <c r="B275" s="54">
        <f t="shared" si="7"/>
        <v>867.52151253296211</v>
      </c>
      <c r="T275">
        <v>37</v>
      </c>
    </row>
    <row r="276" spans="1:20" x14ac:dyDescent="0.3">
      <c r="A276">
        <v>0.48726226789413185</v>
      </c>
      <c r="B276" s="54">
        <f t="shared" si="7"/>
        <v>487.26226789413187</v>
      </c>
      <c r="T276">
        <v>21</v>
      </c>
    </row>
    <row r="277" spans="1:20" x14ac:dyDescent="0.3">
      <c r="A277">
        <v>0.32304676154146872</v>
      </c>
      <c r="B277" s="54">
        <f t="shared" si="7"/>
        <v>323.0467615414687</v>
      </c>
      <c r="T277">
        <v>37</v>
      </c>
    </row>
    <row r="278" spans="1:20" x14ac:dyDescent="0.3">
      <c r="A278">
        <v>0.73468780798088318</v>
      </c>
      <c r="B278" s="54">
        <f t="shared" si="7"/>
        <v>734.68780798088324</v>
      </c>
      <c r="T278">
        <v>35</v>
      </c>
    </row>
    <row r="279" spans="1:20" x14ac:dyDescent="0.3">
      <c r="A279">
        <v>0.17111016891792463</v>
      </c>
      <c r="B279" s="54">
        <f t="shared" si="7"/>
        <v>171.11016891792463</v>
      </c>
      <c r="T279">
        <v>38</v>
      </c>
    </row>
    <row r="280" spans="1:20" x14ac:dyDescent="0.3">
      <c r="A280">
        <v>0.72011053920655943</v>
      </c>
      <c r="B280" s="54">
        <f t="shared" si="7"/>
        <v>720.11053920655945</v>
      </c>
      <c r="T280">
        <v>26</v>
      </c>
    </row>
    <row r="281" spans="1:20" x14ac:dyDescent="0.3">
      <c r="A281">
        <v>0.17981844977011452</v>
      </c>
      <c r="B281" s="54">
        <f t="shared" si="7"/>
        <v>179.81844977011451</v>
      </c>
      <c r="T281">
        <v>50</v>
      </c>
    </row>
    <row r="282" spans="1:20" x14ac:dyDescent="0.3">
      <c r="A282">
        <v>0.46626929459447819</v>
      </c>
      <c r="B282" s="54">
        <f t="shared" si="7"/>
        <v>466.2692945944782</v>
      </c>
      <c r="T282">
        <v>53</v>
      </c>
    </row>
    <row r="283" spans="1:20" x14ac:dyDescent="0.3">
      <c r="A283">
        <v>0.92207383488471972</v>
      </c>
      <c r="B283" s="54">
        <f t="shared" si="7"/>
        <v>922.07383488471976</v>
      </c>
      <c r="T283">
        <v>42</v>
      </c>
    </row>
    <row r="284" spans="1:20" x14ac:dyDescent="0.3">
      <c r="A284">
        <v>0.81536414676033075</v>
      </c>
      <c r="B284" s="54">
        <f t="shared" si="7"/>
        <v>815.36414676033075</v>
      </c>
      <c r="T284">
        <v>29</v>
      </c>
    </row>
    <row r="285" spans="1:20" x14ac:dyDescent="0.3">
      <c r="A285">
        <v>0.39708268152007875</v>
      </c>
      <c r="B285" s="54">
        <f t="shared" si="7"/>
        <v>397.08268152007872</v>
      </c>
      <c r="T285">
        <v>55</v>
      </c>
    </row>
    <row r="286" spans="1:20" x14ac:dyDescent="0.3">
      <c r="A286">
        <v>0.51252969766476242</v>
      </c>
      <c r="B286" s="54">
        <f t="shared" si="7"/>
        <v>512.52969766476247</v>
      </c>
      <c r="T286">
        <v>26</v>
      </c>
    </row>
    <row r="287" spans="1:20" x14ac:dyDescent="0.3">
      <c r="A287">
        <v>0.83531147682439055</v>
      </c>
      <c r="B287" s="54">
        <f t="shared" si="7"/>
        <v>835.31147682439052</v>
      </c>
      <c r="T287">
        <v>37</v>
      </c>
    </row>
    <row r="288" spans="1:20" x14ac:dyDescent="0.3">
      <c r="A288">
        <v>0.82691771260123836</v>
      </c>
      <c r="B288" s="54">
        <f t="shared" si="7"/>
        <v>826.91771260123835</v>
      </c>
      <c r="T288">
        <v>44</v>
      </c>
    </row>
    <row r="289" spans="1:20" x14ac:dyDescent="0.3">
      <c r="A289">
        <v>0.48978580052652543</v>
      </c>
      <c r="B289" s="54">
        <f t="shared" si="7"/>
        <v>489.78580052652541</v>
      </c>
      <c r="T289">
        <v>38</v>
      </c>
    </row>
    <row r="290" spans="1:20" x14ac:dyDescent="0.3">
      <c r="A290">
        <v>0.78290606100957305</v>
      </c>
      <c r="B290" s="54">
        <f t="shared" si="7"/>
        <v>782.90606100957302</v>
      </c>
      <c r="T290">
        <v>26</v>
      </c>
    </row>
    <row r="291" spans="1:20" x14ac:dyDescent="0.3">
      <c r="A291">
        <v>0.26828580179796213</v>
      </c>
      <c r="B291" s="54">
        <f t="shared" si="7"/>
        <v>268.28580179796211</v>
      </c>
      <c r="T291">
        <v>28</v>
      </c>
    </row>
    <row r="292" spans="1:20" x14ac:dyDescent="0.3">
      <c r="A292">
        <v>0.98187327602542962</v>
      </c>
      <c r="B292" s="54">
        <f t="shared" si="7"/>
        <v>981.87327602542962</v>
      </c>
      <c r="T292">
        <v>49</v>
      </c>
    </row>
    <row r="293" spans="1:20" x14ac:dyDescent="0.3">
      <c r="A293">
        <v>0.90338889414961288</v>
      </c>
      <c r="B293" s="54">
        <f t="shared" si="7"/>
        <v>903.38889414961284</v>
      </c>
      <c r="T293">
        <v>36</v>
      </c>
    </row>
    <row r="294" spans="1:20" x14ac:dyDescent="0.3">
      <c r="A294">
        <v>0.43784457581923353</v>
      </c>
      <c r="B294" s="54">
        <f t="shared" si="7"/>
        <v>437.84457581923351</v>
      </c>
      <c r="T294">
        <v>31</v>
      </c>
    </row>
    <row r="295" spans="1:20" x14ac:dyDescent="0.3">
      <c r="A295">
        <v>3.4686184192572078E-2</v>
      </c>
      <c r="B295" s="54">
        <f t="shared" si="7"/>
        <v>34.686184192572078</v>
      </c>
      <c r="T295">
        <v>26</v>
      </c>
    </row>
    <row r="296" spans="1:20" x14ac:dyDescent="0.3">
      <c r="A296">
        <v>8.4867134902164132E-2</v>
      </c>
      <c r="B296" s="54">
        <f t="shared" si="7"/>
        <v>84.867134902164139</v>
      </c>
      <c r="T296">
        <v>37</v>
      </c>
    </row>
    <row r="297" spans="1:20" x14ac:dyDescent="0.3">
      <c r="A297">
        <v>0.53300033091557042</v>
      </c>
      <c r="B297" s="54">
        <f t="shared" si="7"/>
        <v>533.00033091557043</v>
      </c>
      <c r="T297">
        <v>42</v>
      </c>
    </row>
    <row r="298" spans="1:20" x14ac:dyDescent="0.3">
      <c r="A298">
        <v>0.52226484385608263</v>
      </c>
      <c r="B298" s="54">
        <f t="shared" si="7"/>
        <v>522.26484385608262</v>
      </c>
      <c r="T298">
        <v>18</v>
      </c>
    </row>
    <row r="299" spans="1:20" x14ac:dyDescent="0.3">
      <c r="A299">
        <v>0.92894650994540329</v>
      </c>
      <c r="B299" s="54">
        <f t="shared" si="7"/>
        <v>928.94650994540325</v>
      </c>
      <c r="T299">
        <v>35</v>
      </c>
    </row>
    <row r="300" spans="1:20" x14ac:dyDescent="0.3">
      <c r="A300">
        <v>0.83232491557024169</v>
      </c>
      <c r="B300" s="54">
        <f t="shared" si="7"/>
        <v>832.32491557024173</v>
      </c>
      <c r="T300">
        <v>36</v>
      </c>
    </row>
    <row r="301" spans="1:20" x14ac:dyDescent="0.3">
      <c r="A301">
        <v>0.94949811422469699</v>
      </c>
      <c r="B301" s="54">
        <f t="shared" si="7"/>
        <v>949.49811422469702</v>
      </c>
      <c r="T301">
        <v>51</v>
      </c>
    </row>
    <row r="302" spans="1:20" x14ac:dyDescent="0.3">
      <c r="A302">
        <v>0.71713618001726709</v>
      </c>
      <c r="B302" s="54">
        <f t="shared" si="7"/>
        <v>717.13618001726707</v>
      </c>
      <c r="T302">
        <v>41</v>
      </c>
    </row>
    <row r="303" spans="1:20" x14ac:dyDescent="0.3">
      <c r="A303">
        <v>0.9931358114605171</v>
      </c>
      <c r="B303" s="54">
        <f t="shared" si="7"/>
        <v>993.13581146051706</v>
      </c>
      <c r="T303">
        <v>18</v>
      </c>
    </row>
    <row r="304" spans="1:20" x14ac:dyDescent="0.3">
      <c r="A304">
        <v>0.23254443114795476</v>
      </c>
      <c r="B304" s="54">
        <f t="shared" si="7"/>
        <v>232.54443114795475</v>
      </c>
      <c r="T304">
        <v>28</v>
      </c>
    </row>
    <row r="305" spans="1:20" x14ac:dyDescent="0.3">
      <c r="A305">
        <v>0.9515949412844682</v>
      </c>
      <c r="B305" s="54">
        <f t="shared" si="7"/>
        <v>951.59494128446818</v>
      </c>
      <c r="T305">
        <v>31</v>
      </c>
    </row>
    <row r="306" spans="1:20" x14ac:dyDescent="0.3">
      <c r="A306">
        <v>0.40598840256393354</v>
      </c>
      <c r="B306" s="54">
        <f t="shared" si="7"/>
        <v>405.98840256393356</v>
      </c>
      <c r="T306">
        <v>39</v>
      </c>
    </row>
    <row r="307" spans="1:20" x14ac:dyDescent="0.3">
      <c r="A307">
        <v>0.75234410245367656</v>
      </c>
      <c r="B307" s="54">
        <f t="shared" si="7"/>
        <v>752.34410245367656</v>
      </c>
      <c r="T307">
        <v>36</v>
      </c>
    </row>
    <row r="308" spans="1:20" x14ac:dyDescent="0.3">
      <c r="A308">
        <v>0.33845841087708362</v>
      </c>
      <c r="B308" s="54">
        <f t="shared" si="7"/>
        <v>338.45841087708362</v>
      </c>
      <c r="T308">
        <v>32</v>
      </c>
    </row>
    <row r="309" spans="1:20" x14ac:dyDescent="0.3">
      <c r="A309">
        <v>0.3441699784899781</v>
      </c>
      <c r="B309" s="54">
        <f t="shared" si="7"/>
        <v>344.16997848997812</v>
      </c>
      <c r="T309">
        <v>38</v>
      </c>
    </row>
    <row r="310" spans="1:20" x14ac:dyDescent="0.3">
      <c r="A310">
        <v>2.475355611466723E-2</v>
      </c>
      <c r="B310" s="54">
        <f t="shared" si="7"/>
        <v>24.75355611466723</v>
      </c>
      <c r="T310">
        <v>58</v>
      </c>
    </row>
    <row r="311" spans="1:20" x14ac:dyDescent="0.3">
      <c r="A311">
        <v>0.76913018114176612</v>
      </c>
      <c r="B311" s="54">
        <f t="shared" si="7"/>
        <v>769.13018114176612</v>
      </c>
      <c r="T311">
        <v>31</v>
      </c>
    </row>
    <row r="312" spans="1:20" x14ac:dyDescent="0.3">
      <c r="A312">
        <v>0.66544664940009057</v>
      </c>
      <c r="B312" s="54">
        <f t="shared" si="7"/>
        <v>665.44664940009056</v>
      </c>
      <c r="T312">
        <v>31</v>
      </c>
    </row>
    <row r="313" spans="1:20" x14ac:dyDescent="0.3">
      <c r="A313">
        <v>0.86849803573662898</v>
      </c>
      <c r="B313" s="54">
        <f t="shared" si="7"/>
        <v>868.49803573662894</v>
      </c>
      <c r="T313">
        <v>45</v>
      </c>
    </row>
    <row r="314" spans="1:20" x14ac:dyDescent="0.3">
      <c r="A314">
        <v>0.8506878609080788</v>
      </c>
      <c r="B314" s="54">
        <f t="shared" si="7"/>
        <v>850.68786090807885</v>
      </c>
      <c r="T314">
        <v>31</v>
      </c>
    </row>
    <row r="315" spans="1:20" x14ac:dyDescent="0.3">
      <c r="A315">
        <v>0.52735207607479961</v>
      </c>
      <c r="B315" s="54">
        <f t="shared" si="7"/>
        <v>527.35207607479958</v>
      </c>
      <c r="T315">
        <v>33</v>
      </c>
    </row>
    <row r="316" spans="1:20" x14ac:dyDescent="0.3">
      <c r="A316">
        <v>0.82347379874628857</v>
      </c>
      <c r="B316" s="54">
        <f t="shared" si="7"/>
        <v>823.47379874628859</v>
      </c>
      <c r="T316">
        <v>39</v>
      </c>
    </row>
    <row r="317" spans="1:20" x14ac:dyDescent="0.3">
      <c r="A317">
        <v>0.8371822985977333</v>
      </c>
      <c r="B317" s="54">
        <f t="shared" si="7"/>
        <v>837.18229859773328</v>
      </c>
      <c r="T317">
        <v>43</v>
      </c>
    </row>
    <row r="318" spans="1:20" x14ac:dyDescent="0.3">
      <c r="A318">
        <v>0.60483186892885143</v>
      </c>
      <c r="B318" s="54">
        <f t="shared" si="7"/>
        <v>604.83186892885146</v>
      </c>
      <c r="T318">
        <v>49</v>
      </c>
    </row>
    <row r="319" spans="1:20" x14ac:dyDescent="0.3">
      <c r="A319">
        <v>4.4075684486389655E-2</v>
      </c>
      <c r="B319" s="54">
        <f t="shared" si="7"/>
        <v>44.075684486389655</v>
      </c>
      <c r="T319">
        <v>52</v>
      </c>
    </row>
    <row r="320" spans="1:20" x14ac:dyDescent="0.3">
      <c r="A320">
        <v>0.654048475289428</v>
      </c>
      <c r="B320" s="54">
        <f t="shared" si="7"/>
        <v>654.04847528942798</v>
      </c>
      <c r="T320">
        <v>27</v>
      </c>
    </row>
    <row r="321" spans="1:20" x14ac:dyDescent="0.3">
      <c r="A321">
        <v>0.36877543307238447</v>
      </c>
      <c r="B321" s="54">
        <f t="shared" si="7"/>
        <v>368.77543307238449</v>
      </c>
      <c r="T321">
        <v>32</v>
      </c>
    </row>
    <row r="322" spans="1:20" x14ac:dyDescent="0.3">
      <c r="A322">
        <v>7.9665323977550218E-2</v>
      </c>
      <c r="B322" s="54">
        <f t="shared" ref="B322:B385" si="8">A322*1000</f>
        <v>79.665323977550216</v>
      </c>
      <c r="T322">
        <v>27</v>
      </c>
    </row>
    <row r="323" spans="1:20" x14ac:dyDescent="0.3">
      <c r="A323">
        <v>0.82957846807947888</v>
      </c>
      <c r="B323" s="54">
        <f t="shared" si="8"/>
        <v>829.57846807947885</v>
      </c>
      <c r="T323">
        <v>31</v>
      </c>
    </row>
    <row r="324" spans="1:20" x14ac:dyDescent="0.3">
      <c r="A324">
        <v>0.10342066238777381</v>
      </c>
      <c r="B324" s="54">
        <f t="shared" si="8"/>
        <v>103.4206623877738</v>
      </c>
      <c r="T324">
        <v>32</v>
      </c>
    </row>
    <row r="325" spans="1:20" x14ac:dyDescent="0.3">
      <c r="A325">
        <v>0.24828878071019123</v>
      </c>
      <c r="B325" s="54">
        <f t="shared" si="8"/>
        <v>248.28878071019122</v>
      </c>
      <c r="T325">
        <v>28</v>
      </c>
    </row>
    <row r="326" spans="1:20" x14ac:dyDescent="0.3">
      <c r="A326">
        <v>0.42333945527456995</v>
      </c>
      <c r="B326" s="54">
        <f t="shared" si="8"/>
        <v>423.33945527456996</v>
      </c>
      <c r="T326">
        <v>30</v>
      </c>
    </row>
    <row r="327" spans="1:20" x14ac:dyDescent="0.3">
      <c r="A327">
        <v>0.20127302700337601</v>
      </c>
      <c r="B327" s="54">
        <f t="shared" si="8"/>
        <v>201.273027003376</v>
      </c>
      <c r="T327">
        <v>31</v>
      </c>
    </row>
    <row r="328" spans="1:20" x14ac:dyDescent="0.3">
      <c r="A328">
        <v>0.97188186235714724</v>
      </c>
      <c r="B328" s="54">
        <f t="shared" si="8"/>
        <v>971.88186235714727</v>
      </c>
      <c r="T328">
        <v>39</v>
      </c>
    </row>
    <row r="329" spans="1:20" x14ac:dyDescent="0.3">
      <c r="A329">
        <v>0.64997353922292</v>
      </c>
      <c r="B329" s="54">
        <f t="shared" si="8"/>
        <v>649.97353922291995</v>
      </c>
      <c r="T329">
        <v>39</v>
      </c>
    </row>
    <row r="330" spans="1:20" x14ac:dyDescent="0.3">
      <c r="A330">
        <v>0.41298438624179812</v>
      </c>
      <c r="B330" s="54">
        <f t="shared" si="8"/>
        <v>412.98438624179812</v>
      </c>
      <c r="T330">
        <v>33</v>
      </c>
    </row>
    <row r="331" spans="1:20" x14ac:dyDescent="0.3">
      <c r="A331">
        <v>0.10858815534987021</v>
      </c>
      <c r="B331" s="54">
        <f t="shared" si="8"/>
        <v>108.58815534987021</v>
      </c>
      <c r="T331">
        <v>47</v>
      </c>
    </row>
    <row r="332" spans="1:20" x14ac:dyDescent="0.3">
      <c r="A332">
        <v>0.36471813997633173</v>
      </c>
      <c r="B332" s="54">
        <f t="shared" si="8"/>
        <v>364.71813997633171</v>
      </c>
      <c r="T332">
        <v>43</v>
      </c>
    </row>
    <row r="333" spans="1:20" x14ac:dyDescent="0.3">
      <c r="A333">
        <v>0.785013367684956</v>
      </c>
      <c r="B333" s="54">
        <f t="shared" si="8"/>
        <v>785.01336768495605</v>
      </c>
      <c r="T333">
        <v>27</v>
      </c>
    </row>
    <row r="334" spans="1:20" x14ac:dyDescent="0.3">
      <c r="A334">
        <v>0.95354144691753118</v>
      </c>
      <c r="B334" s="54">
        <f t="shared" si="8"/>
        <v>953.54144691753118</v>
      </c>
      <c r="T334">
        <v>54</v>
      </c>
    </row>
    <row r="335" spans="1:20" x14ac:dyDescent="0.3">
      <c r="A335">
        <v>0.86888853093850527</v>
      </c>
      <c r="B335" s="54">
        <f t="shared" si="8"/>
        <v>868.88853093850526</v>
      </c>
      <c r="T335">
        <v>43</v>
      </c>
    </row>
    <row r="336" spans="1:20" x14ac:dyDescent="0.3">
      <c r="A336">
        <v>0.20900391462145351</v>
      </c>
      <c r="B336" s="54">
        <f t="shared" si="8"/>
        <v>209.0039146214535</v>
      </c>
      <c r="T336">
        <v>45</v>
      </c>
    </row>
    <row r="337" spans="1:20" x14ac:dyDescent="0.3">
      <c r="A337">
        <v>0.77880904558959285</v>
      </c>
      <c r="B337" s="54">
        <f t="shared" si="8"/>
        <v>778.80904558959287</v>
      </c>
      <c r="T337">
        <v>40</v>
      </c>
    </row>
    <row r="338" spans="1:20" x14ac:dyDescent="0.3">
      <c r="A338">
        <v>0.28338516326162333</v>
      </c>
      <c r="B338" s="54">
        <f t="shared" si="8"/>
        <v>283.38516326162335</v>
      </c>
      <c r="T338">
        <v>29</v>
      </c>
    </row>
    <row r="339" spans="1:20" x14ac:dyDescent="0.3">
      <c r="A339">
        <v>0.93953863070355692</v>
      </c>
      <c r="B339" s="54">
        <f t="shared" si="8"/>
        <v>939.53863070355692</v>
      </c>
      <c r="T339">
        <v>29</v>
      </c>
    </row>
    <row r="340" spans="1:20" x14ac:dyDescent="0.3">
      <c r="A340">
        <v>0.90024524104456605</v>
      </c>
      <c r="B340" s="54">
        <f t="shared" si="8"/>
        <v>900.245241044566</v>
      </c>
      <c r="T340">
        <v>30</v>
      </c>
    </row>
    <row r="341" spans="1:20" x14ac:dyDescent="0.3">
      <c r="A341">
        <v>1.5730404903195438E-2</v>
      </c>
      <c r="B341" s="54">
        <f t="shared" si="8"/>
        <v>15.730404903195438</v>
      </c>
      <c r="T341">
        <v>27</v>
      </c>
    </row>
    <row r="342" spans="1:20" x14ac:dyDescent="0.3">
      <c r="A342">
        <v>0.27603890202434012</v>
      </c>
      <c r="B342" s="54">
        <f t="shared" si="8"/>
        <v>276.03890202434013</v>
      </c>
      <c r="T342">
        <v>37</v>
      </c>
    </row>
    <row r="343" spans="1:20" x14ac:dyDescent="0.3">
      <c r="A343">
        <v>9.7918674443723042E-2</v>
      </c>
      <c r="B343" s="54">
        <f t="shared" si="8"/>
        <v>97.918674443723035</v>
      </c>
      <c r="T343">
        <v>38</v>
      </c>
    </row>
    <row r="344" spans="1:20" x14ac:dyDescent="0.3">
      <c r="A344">
        <v>0.19576857681844562</v>
      </c>
      <c r="B344" s="54">
        <f t="shared" si="8"/>
        <v>195.76857681844561</v>
      </c>
      <c r="T344">
        <v>31</v>
      </c>
    </row>
    <row r="345" spans="1:20" x14ac:dyDescent="0.3">
      <c r="A345">
        <v>0.86266903645059911</v>
      </c>
      <c r="B345" s="54">
        <f t="shared" si="8"/>
        <v>862.66903645059915</v>
      </c>
      <c r="T345">
        <v>29</v>
      </c>
    </row>
    <row r="346" spans="1:20" x14ac:dyDescent="0.3">
      <c r="A346">
        <v>0.83579700486222297</v>
      </c>
      <c r="B346" s="54">
        <f t="shared" si="8"/>
        <v>835.79700486222293</v>
      </c>
      <c r="T346">
        <v>35</v>
      </c>
    </row>
    <row r="347" spans="1:20" x14ac:dyDescent="0.3">
      <c r="A347">
        <v>9.1112341241954553E-3</v>
      </c>
      <c r="B347" s="54">
        <f t="shared" si="8"/>
        <v>9.1112341241954553</v>
      </c>
      <c r="T347">
        <v>23</v>
      </c>
    </row>
    <row r="348" spans="1:20" x14ac:dyDescent="0.3">
      <c r="A348">
        <v>0.5903741722261131</v>
      </c>
      <c r="B348" s="54">
        <f t="shared" si="8"/>
        <v>590.37417222611316</v>
      </c>
      <c r="T348">
        <v>41</v>
      </c>
    </row>
    <row r="349" spans="1:20" x14ac:dyDescent="0.3">
      <c r="A349">
        <v>0.40179851261250654</v>
      </c>
      <c r="B349" s="54">
        <f t="shared" si="8"/>
        <v>401.79851261250656</v>
      </c>
      <c r="T349">
        <v>47</v>
      </c>
    </row>
    <row r="350" spans="1:20" x14ac:dyDescent="0.3">
      <c r="A350">
        <v>0.21273493666809173</v>
      </c>
      <c r="B350" s="54">
        <f t="shared" si="8"/>
        <v>212.73493666809173</v>
      </c>
      <c r="T350">
        <v>42</v>
      </c>
    </row>
    <row r="351" spans="1:20" x14ac:dyDescent="0.3">
      <c r="A351">
        <v>0.50933586197787006</v>
      </c>
      <c r="B351" s="54">
        <f t="shared" si="8"/>
        <v>509.33586197787008</v>
      </c>
      <c r="T351">
        <v>29</v>
      </c>
    </row>
    <row r="352" spans="1:20" x14ac:dyDescent="0.3">
      <c r="A352">
        <v>4.7828038592835576E-2</v>
      </c>
      <c r="B352" s="54">
        <f t="shared" si="8"/>
        <v>47.828038592835576</v>
      </c>
      <c r="T352">
        <v>42</v>
      </c>
    </row>
    <row r="353" spans="1:20" x14ac:dyDescent="0.3">
      <c r="A353">
        <v>0.28703053137671564</v>
      </c>
      <c r="B353" s="54">
        <f t="shared" si="8"/>
        <v>287.03053137671566</v>
      </c>
      <c r="T353">
        <v>32</v>
      </c>
    </row>
    <row r="354" spans="1:20" x14ac:dyDescent="0.3">
      <c r="A354">
        <v>0.1468988061474148</v>
      </c>
      <c r="B354" s="54">
        <f t="shared" si="8"/>
        <v>146.8988061474148</v>
      </c>
      <c r="T354">
        <v>48</v>
      </c>
    </row>
    <row r="355" spans="1:20" x14ac:dyDescent="0.3">
      <c r="A355">
        <v>0.26971574271022192</v>
      </c>
      <c r="B355" s="54">
        <f t="shared" si="8"/>
        <v>269.71574271022189</v>
      </c>
      <c r="T355">
        <v>37</v>
      </c>
    </row>
    <row r="356" spans="1:20" x14ac:dyDescent="0.3">
      <c r="A356">
        <v>0.67996786023643296</v>
      </c>
      <c r="B356" s="54">
        <f t="shared" si="8"/>
        <v>679.96786023643301</v>
      </c>
      <c r="T356">
        <v>30</v>
      </c>
    </row>
    <row r="357" spans="1:20" x14ac:dyDescent="0.3">
      <c r="A357">
        <v>0.66849715937027576</v>
      </c>
      <c r="B357" s="54">
        <f t="shared" si="8"/>
        <v>668.49715937027577</v>
      </c>
      <c r="T357">
        <v>26</v>
      </c>
    </row>
    <row r="358" spans="1:20" x14ac:dyDescent="0.3">
      <c r="A358">
        <v>0.66722543222655251</v>
      </c>
      <c r="B358" s="54">
        <f t="shared" si="8"/>
        <v>667.22543222655247</v>
      </c>
      <c r="T358">
        <v>42</v>
      </c>
    </row>
    <row r="359" spans="1:20" x14ac:dyDescent="0.3">
      <c r="A359">
        <v>0.37963434224166814</v>
      </c>
      <c r="B359" s="54">
        <f t="shared" si="8"/>
        <v>379.63434224166815</v>
      </c>
      <c r="T359">
        <v>21</v>
      </c>
    </row>
    <row r="360" spans="1:20" x14ac:dyDescent="0.3">
      <c r="A360">
        <v>0.26707272352844669</v>
      </c>
      <c r="B360" s="54">
        <f t="shared" si="8"/>
        <v>267.07272352844666</v>
      </c>
      <c r="T360">
        <v>36</v>
      </c>
    </row>
    <row r="361" spans="1:20" x14ac:dyDescent="0.3">
      <c r="A361">
        <v>4.5611322742738825E-2</v>
      </c>
      <c r="B361" s="54">
        <f t="shared" si="8"/>
        <v>45.611322742738821</v>
      </c>
      <c r="T361">
        <v>36</v>
      </c>
    </row>
    <row r="362" spans="1:20" x14ac:dyDescent="0.3">
      <c r="A362">
        <v>0.20394928852508798</v>
      </c>
      <c r="B362" s="54">
        <f t="shared" si="8"/>
        <v>203.94928852508798</v>
      </c>
      <c r="T362">
        <v>57</v>
      </c>
    </row>
    <row r="363" spans="1:20" x14ac:dyDescent="0.3">
      <c r="A363">
        <v>0.32617313703682171</v>
      </c>
      <c r="B363" s="54">
        <f t="shared" si="8"/>
        <v>326.17313703682169</v>
      </c>
      <c r="T363">
        <v>40</v>
      </c>
    </row>
    <row r="364" spans="1:20" x14ac:dyDescent="0.3">
      <c r="A364">
        <v>0.89422880316933284</v>
      </c>
      <c r="B364" s="54">
        <f t="shared" si="8"/>
        <v>894.22880316933288</v>
      </c>
      <c r="T364">
        <v>21</v>
      </c>
    </row>
    <row r="365" spans="1:20" x14ac:dyDescent="0.3">
      <c r="A365">
        <v>7.2371708132866086E-2</v>
      </c>
      <c r="B365" s="54">
        <f t="shared" si="8"/>
        <v>72.37170813286609</v>
      </c>
      <c r="T365">
        <v>33</v>
      </c>
    </row>
    <row r="366" spans="1:20" x14ac:dyDescent="0.3">
      <c r="A366">
        <v>0.38524297271836883</v>
      </c>
      <c r="B366" s="54">
        <f t="shared" si="8"/>
        <v>385.24297271836883</v>
      </c>
      <c r="T366">
        <v>37</v>
      </c>
    </row>
    <row r="367" spans="1:20" x14ac:dyDescent="0.3">
      <c r="A367">
        <v>0.8238743197262075</v>
      </c>
      <c r="B367" s="54">
        <f t="shared" si="8"/>
        <v>823.87431972620755</v>
      </c>
      <c r="T367">
        <v>46</v>
      </c>
    </row>
    <row r="368" spans="1:20" x14ac:dyDescent="0.3">
      <c r="A368">
        <v>0.99658410482605397</v>
      </c>
      <c r="B368" s="54">
        <f t="shared" si="8"/>
        <v>996.58410482605393</v>
      </c>
      <c r="T368">
        <v>41</v>
      </c>
    </row>
    <row r="369" spans="1:20" x14ac:dyDescent="0.3">
      <c r="A369">
        <v>0.92062258789820173</v>
      </c>
      <c r="B369" s="54">
        <f t="shared" si="8"/>
        <v>920.62258789820169</v>
      </c>
      <c r="T369">
        <v>50</v>
      </c>
    </row>
    <row r="370" spans="1:20" x14ac:dyDescent="0.3">
      <c r="A370">
        <v>0.76631995935125197</v>
      </c>
      <c r="B370" s="54">
        <f t="shared" si="8"/>
        <v>766.31995935125201</v>
      </c>
      <c r="T370">
        <v>40</v>
      </c>
    </row>
    <row r="371" spans="1:20" x14ac:dyDescent="0.3">
      <c r="A371">
        <v>0.10870835546632129</v>
      </c>
      <c r="B371" s="54">
        <f t="shared" si="8"/>
        <v>108.70835546632129</v>
      </c>
      <c r="T371">
        <v>31</v>
      </c>
    </row>
    <row r="372" spans="1:20" x14ac:dyDescent="0.3">
      <c r="A372">
        <v>0.90155991065274432</v>
      </c>
      <c r="B372" s="54">
        <f t="shared" si="8"/>
        <v>901.55991065274429</v>
      </c>
      <c r="T372">
        <v>21</v>
      </c>
    </row>
    <row r="373" spans="1:20" x14ac:dyDescent="0.3">
      <c r="A373">
        <v>8.5109043089276248E-2</v>
      </c>
      <c r="B373" s="54">
        <f t="shared" si="8"/>
        <v>85.109043089276241</v>
      </c>
      <c r="T373">
        <v>29</v>
      </c>
    </row>
    <row r="374" spans="1:20" x14ac:dyDescent="0.3">
      <c r="A374">
        <v>0.82348882937604384</v>
      </c>
      <c r="B374" s="54">
        <f t="shared" si="8"/>
        <v>823.4888293760439</v>
      </c>
      <c r="T374">
        <v>35</v>
      </c>
    </row>
    <row r="375" spans="1:20" x14ac:dyDescent="0.3">
      <c r="A375">
        <v>7.473812931998669E-2</v>
      </c>
      <c r="B375" s="54">
        <f t="shared" si="8"/>
        <v>74.738129319986683</v>
      </c>
      <c r="T375">
        <v>27</v>
      </c>
    </row>
    <row r="376" spans="1:20" x14ac:dyDescent="0.3">
      <c r="A376">
        <v>0.50926987936473633</v>
      </c>
      <c r="B376" s="54">
        <f t="shared" si="8"/>
        <v>509.26987936473631</v>
      </c>
      <c r="T376">
        <v>28</v>
      </c>
    </row>
    <row r="377" spans="1:20" x14ac:dyDescent="0.3">
      <c r="A377">
        <v>0.28153147133331879</v>
      </c>
      <c r="B377" s="54">
        <f t="shared" si="8"/>
        <v>281.53147133331879</v>
      </c>
      <c r="T377">
        <v>49</v>
      </c>
    </row>
    <row r="378" spans="1:20" x14ac:dyDescent="0.3">
      <c r="A378">
        <v>0.1663073125340051</v>
      </c>
      <c r="B378" s="54">
        <f t="shared" si="8"/>
        <v>166.30731253400509</v>
      </c>
      <c r="T378">
        <v>51</v>
      </c>
    </row>
    <row r="379" spans="1:20" x14ac:dyDescent="0.3">
      <c r="A379">
        <v>0.24138006979929871</v>
      </c>
      <c r="B379" s="54">
        <f t="shared" si="8"/>
        <v>241.38006979929872</v>
      </c>
      <c r="T379">
        <v>36</v>
      </c>
    </row>
    <row r="380" spans="1:20" x14ac:dyDescent="0.3">
      <c r="A380">
        <v>1.5128770111095591E-2</v>
      </c>
      <c r="B380" s="54">
        <f t="shared" si="8"/>
        <v>15.128770111095591</v>
      </c>
      <c r="T380">
        <v>34</v>
      </c>
    </row>
    <row r="381" spans="1:20" x14ac:dyDescent="0.3">
      <c r="A381">
        <v>0.93701482628006971</v>
      </c>
      <c r="B381" s="54">
        <f t="shared" si="8"/>
        <v>937.01482628006966</v>
      </c>
      <c r="T381">
        <v>55</v>
      </c>
    </row>
    <row r="382" spans="1:20" x14ac:dyDescent="0.3">
      <c r="A382">
        <v>0.46351793099952276</v>
      </c>
      <c r="B382" s="54">
        <f t="shared" si="8"/>
        <v>463.51793099952278</v>
      </c>
      <c r="T382">
        <v>24</v>
      </c>
    </row>
    <row r="383" spans="1:20" x14ac:dyDescent="0.3">
      <c r="A383">
        <v>0.28317164067568723</v>
      </c>
      <c r="B383" s="54">
        <f t="shared" si="8"/>
        <v>283.17164067568723</v>
      </c>
      <c r="T383">
        <v>30</v>
      </c>
    </row>
    <row r="384" spans="1:20" x14ac:dyDescent="0.3">
      <c r="A384">
        <v>0.87496588452511759</v>
      </c>
      <c r="B384" s="54">
        <f t="shared" si="8"/>
        <v>874.96588452511764</v>
      </c>
      <c r="T384">
        <v>26</v>
      </c>
    </row>
    <row r="385" spans="1:20" x14ac:dyDescent="0.3">
      <c r="A385">
        <v>0.69741040270440213</v>
      </c>
      <c r="B385" s="54">
        <f t="shared" si="8"/>
        <v>697.41040270440214</v>
      </c>
      <c r="T385">
        <v>22</v>
      </c>
    </row>
    <row r="386" spans="1:20" x14ac:dyDescent="0.3">
      <c r="A386">
        <v>0.9878973538071647</v>
      </c>
      <c r="B386" s="54">
        <f t="shared" ref="B386:B449" si="9">A386*1000</f>
        <v>987.89735380716468</v>
      </c>
      <c r="T386">
        <v>36</v>
      </c>
    </row>
    <row r="387" spans="1:20" x14ac:dyDescent="0.3">
      <c r="A387">
        <v>0.47702847787407543</v>
      </c>
      <c r="B387" s="54">
        <f t="shared" si="9"/>
        <v>477.02847787407541</v>
      </c>
      <c r="T387">
        <v>30</v>
      </c>
    </row>
    <row r="388" spans="1:20" x14ac:dyDescent="0.3">
      <c r="A388">
        <v>0.30364259650034864</v>
      </c>
      <c r="B388" s="54">
        <f t="shared" si="9"/>
        <v>303.64259650034865</v>
      </c>
      <c r="T388">
        <v>37</v>
      </c>
    </row>
    <row r="389" spans="1:20" x14ac:dyDescent="0.3">
      <c r="A389">
        <v>0.16767795994669488</v>
      </c>
      <c r="B389" s="54">
        <f t="shared" si="9"/>
        <v>167.67795994669487</v>
      </c>
      <c r="T389">
        <v>40</v>
      </c>
    </row>
    <row r="390" spans="1:20" x14ac:dyDescent="0.3">
      <c r="A390">
        <v>0.65914536781956823</v>
      </c>
      <c r="B390" s="54">
        <f t="shared" si="9"/>
        <v>659.14536781956826</v>
      </c>
      <c r="T390">
        <v>42</v>
      </c>
    </row>
    <row r="391" spans="1:20" x14ac:dyDescent="0.3">
      <c r="A391">
        <v>0.807108016767353</v>
      </c>
      <c r="B391" s="54">
        <f t="shared" si="9"/>
        <v>807.10801676735298</v>
      </c>
      <c r="T391">
        <v>37</v>
      </c>
    </row>
    <row r="392" spans="1:20" x14ac:dyDescent="0.3">
      <c r="A392">
        <v>0.85405372505634802</v>
      </c>
      <c r="B392" s="54">
        <f t="shared" si="9"/>
        <v>854.05372505634807</v>
      </c>
      <c r="T392">
        <v>43</v>
      </c>
    </row>
    <row r="393" spans="1:20" x14ac:dyDescent="0.3">
      <c r="A393">
        <v>0.86145507007078237</v>
      </c>
      <c r="B393" s="54">
        <f t="shared" si="9"/>
        <v>861.45507007078231</v>
      </c>
      <c r="T393">
        <v>40</v>
      </c>
    </row>
    <row r="394" spans="1:20" x14ac:dyDescent="0.3">
      <c r="A394">
        <v>0.89286047130168633</v>
      </c>
      <c r="B394" s="54">
        <f t="shared" si="9"/>
        <v>892.86047130168629</v>
      </c>
      <c r="T394">
        <v>54</v>
      </c>
    </row>
    <row r="395" spans="1:20" x14ac:dyDescent="0.3">
      <c r="A395">
        <v>0.79773404734696252</v>
      </c>
      <c r="B395" s="54">
        <f t="shared" si="9"/>
        <v>797.73404734696248</v>
      </c>
      <c r="T395">
        <v>34</v>
      </c>
    </row>
    <row r="396" spans="1:20" x14ac:dyDescent="0.3">
      <c r="A396">
        <v>5.9628220715712388E-2</v>
      </c>
      <c r="B396" s="54">
        <f t="shared" si="9"/>
        <v>59.628220715712388</v>
      </c>
      <c r="T396">
        <v>31</v>
      </c>
    </row>
    <row r="397" spans="1:20" x14ac:dyDescent="0.3">
      <c r="A397">
        <v>0.95824166893592189</v>
      </c>
      <c r="B397" s="54">
        <f t="shared" si="9"/>
        <v>958.24166893592189</v>
      </c>
      <c r="T397">
        <v>43</v>
      </c>
    </row>
    <row r="398" spans="1:20" x14ac:dyDescent="0.3">
      <c r="A398">
        <v>0.384287257922588</v>
      </c>
      <c r="B398" s="54">
        <f t="shared" si="9"/>
        <v>384.28725792258803</v>
      </c>
      <c r="T398">
        <v>43</v>
      </c>
    </row>
    <row r="399" spans="1:20" x14ac:dyDescent="0.3">
      <c r="A399">
        <v>0.73371406709898945</v>
      </c>
      <c r="B399" s="54">
        <f t="shared" si="9"/>
        <v>733.7140670989894</v>
      </c>
      <c r="T399">
        <v>25</v>
      </c>
    </row>
    <row r="400" spans="1:20" x14ac:dyDescent="0.3">
      <c r="A400">
        <v>0.30412577034925103</v>
      </c>
      <c r="B400" s="54">
        <f t="shared" si="9"/>
        <v>304.12577034925101</v>
      </c>
      <c r="T400">
        <v>37</v>
      </c>
    </row>
    <row r="401" spans="1:20" x14ac:dyDescent="0.3">
      <c r="A401">
        <v>0.11301757581029137</v>
      </c>
      <c r="B401" s="54">
        <f t="shared" si="9"/>
        <v>113.01757581029138</v>
      </c>
      <c r="T401">
        <v>31</v>
      </c>
    </row>
    <row r="402" spans="1:20" x14ac:dyDescent="0.3">
      <c r="A402">
        <v>0.91090413384757962</v>
      </c>
      <c r="B402" s="54">
        <f t="shared" si="9"/>
        <v>910.9041338475796</v>
      </c>
      <c r="T402">
        <v>39</v>
      </c>
    </row>
    <row r="403" spans="1:20" x14ac:dyDescent="0.3">
      <c r="A403">
        <v>3.0541494997727625E-2</v>
      </c>
      <c r="B403" s="54">
        <f t="shared" si="9"/>
        <v>30.541494997727625</v>
      </c>
      <c r="T403">
        <v>56</v>
      </c>
    </row>
    <row r="404" spans="1:20" x14ac:dyDescent="0.3">
      <c r="A404">
        <v>0.51353933613942915</v>
      </c>
      <c r="B404" s="54">
        <f t="shared" si="9"/>
        <v>513.53933613942911</v>
      </c>
      <c r="T404">
        <v>30</v>
      </c>
    </row>
    <row r="405" spans="1:20" x14ac:dyDescent="0.3">
      <c r="A405">
        <v>0.82797381599647624</v>
      </c>
      <c r="B405" s="54">
        <f t="shared" si="9"/>
        <v>827.97381599647622</v>
      </c>
      <c r="T405">
        <v>41</v>
      </c>
    </row>
    <row r="406" spans="1:20" x14ac:dyDescent="0.3">
      <c r="A406">
        <v>0.55940658321106285</v>
      </c>
      <c r="B406" s="54">
        <f t="shared" si="9"/>
        <v>559.40658321106287</v>
      </c>
      <c r="T406">
        <v>28</v>
      </c>
    </row>
    <row r="407" spans="1:20" x14ac:dyDescent="0.3">
      <c r="A407">
        <v>0.61036109743940115</v>
      </c>
      <c r="B407" s="54">
        <f t="shared" si="9"/>
        <v>610.36109743940119</v>
      </c>
      <c r="T407">
        <v>25</v>
      </c>
    </row>
    <row r="408" spans="1:20" x14ac:dyDescent="0.3">
      <c r="A408">
        <v>0.67659450335642646</v>
      </c>
      <c r="B408" s="54">
        <f t="shared" si="9"/>
        <v>676.59450335642646</v>
      </c>
      <c r="T408">
        <v>52</v>
      </c>
    </row>
    <row r="409" spans="1:20" x14ac:dyDescent="0.3">
      <c r="A409">
        <v>0.75091727693290067</v>
      </c>
      <c r="B409" s="54">
        <f t="shared" si="9"/>
        <v>750.91727693290068</v>
      </c>
      <c r="T409">
        <v>45</v>
      </c>
    </row>
    <row r="410" spans="1:20" x14ac:dyDescent="0.3">
      <c r="A410">
        <v>0.37638433218122502</v>
      </c>
      <c r="B410" s="54">
        <f t="shared" si="9"/>
        <v>376.38433218122503</v>
      </c>
      <c r="T410">
        <v>52</v>
      </c>
    </row>
    <row r="411" spans="1:20" x14ac:dyDescent="0.3">
      <c r="A411">
        <v>0.75607417353996653</v>
      </c>
      <c r="B411" s="54">
        <f t="shared" si="9"/>
        <v>756.07417353996652</v>
      </c>
      <c r="T411">
        <v>42</v>
      </c>
    </row>
    <row r="412" spans="1:20" x14ac:dyDescent="0.3">
      <c r="A412">
        <v>0.88837179169319125</v>
      </c>
      <c r="B412" s="54">
        <f t="shared" si="9"/>
        <v>888.3717916931912</v>
      </c>
      <c r="T412">
        <v>30</v>
      </c>
    </row>
    <row r="413" spans="1:20" x14ac:dyDescent="0.3">
      <c r="A413">
        <v>0.27651735231105512</v>
      </c>
      <c r="B413" s="54">
        <f t="shared" si="9"/>
        <v>276.51735231105511</v>
      </c>
      <c r="T413">
        <v>60</v>
      </c>
    </row>
    <row r="414" spans="1:20" x14ac:dyDescent="0.3">
      <c r="A414">
        <v>0.86797100088877599</v>
      </c>
      <c r="B414" s="54">
        <f t="shared" si="9"/>
        <v>867.97100088877596</v>
      </c>
      <c r="T414">
        <v>46</v>
      </c>
    </row>
    <row r="415" spans="1:20" x14ac:dyDescent="0.3">
      <c r="A415">
        <v>0.72231288820310202</v>
      </c>
      <c r="B415" s="54">
        <f t="shared" si="9"/>
        <v>722.31288820310203</v>
      </c>
      <c r="T415">
        <v>42</v>
      </c>
    </row>
    <row r="416" spans="1:20" x14ac:dyDescent="0.3">
      <c r="A416">
        <v>0.44230309677524282</v>
      </c>
      <c r="B416" s="54">
        <f t="shared" si="9"/>
        <v>442.30309677524281</v>
      </c>
      <c r="T416">
        <v>24</v>
      </c>
    </row>
    <row r="417" spans="1:20" x14ac:dyDescent="0.3">
      <c r="A417">
        <v>0.25978307337112927</v>
      </c>
      <c r="B417" s="54">
        <f t="shared" si="9"/>
        <v>259.78307337112926</v>
      </c>
      <c r="T417">
        <v>34</v>
      </c>
    </row>
    <row r="418" spans="1:20" x14ac:dyDescent="0.3">
      <c r="A418">
        <v>0.59432635931093269</v>
      </c>
      <c r="B418" s="54">
        <f t="shared" si="9"/>
        <v>594.32635931093273</v>
      </c>
      <c r="T418">
        <v>38</v>
      </c>
    </row>
    <row r="419" spans="1:20" x14ac:dyDescent="0.3">
      <c r="A419">
        <v>0.65633446525843064</v>
      </c>
      <c r="B419" s="54">
        <f t="shared" si="9"/>
        <v>656.33446525843067</v>
      </c>
      <c r="T419">
        <v>40</v>
      </c>
    </row>
    <row r="420" spans="1:20" x14ac:dyDescent="0.3">
      <c r="A420">
        <v>0.58560165268983599</v>
      </c>
      <c r="B420" s="54">
        <f t="shared" si="9"/>
        <v>585.60165268983599</v>
      </c>
      <c r="T420">
        <v>26</v>
      </c>
    </row>
    <row r="421" spans="1:20" x14ac:dyDescent="0.3">
      <c r="A421">
        <v>0.36471882803248956</v>
      </c>
      <c r="B421" s="54">
        <f t="shared" si="9"/>
        <v>364.71882803248957</v>
      </c>
      <c r="T421">
        <v>30</v>
      </c>
    </row>
    <row r="422" spans="1:20" x14ac:dyDescent="0.3">
      <c r="A422">
        <v>0.27339036011765749</v>
      </c>
      <c r="B422" s="54">
        <f t="shared" si="9"/>
        <v>273.39036011765751</v>
      </c>
      <c r="T422">
        <v>29</v>
      </c>
    </row>
    <row r="423" spans="1:20" x14ac:dyDescent="0.3">
      <c r="A423">
        <v>6.2102986187226872E-3</v>
      </c>
      <c r="B423" s="54">
        <f t="shared" si="9"/>
        <v>6.2102986187226872</v>
      </c>
      <c r="T423">
        <v>29</v>
      </c>
    </row>
    <row r="424" spans="1:20" x14ac:dyDescent="0.3">
      <c r="A424">
        <v>0.12307272291676341</v>
      </c>
      <c r="B424" s="54">
        <f t="shared" si="9"/>
        <v>123.07272291676341</v>
      </c>
      <c r="T424">
        <v>19</v>
      </c>
    </row>
    <row r="425" spans="1:20" x14ac:dyDescent="0.3">
      <c r="A425">
        <v>0.15492136310911242</v>
      </c>
      <c r="B425" s="54">
        <f t="shared" si="9"/>
        <v>154.92136310911241</v>
      </c>
      <c r="T425">
        <v>30</v>
      </c>
    </row>
    <row r="426" spans="1:20" x14ac:dyDescent="0.3">
      <c r="A426">
        <v>0.25184891491065287</v>
      </c>
      <c r="B426" s="54">
        <f t="shared" si="9"/>
        <v>251.84891491065287</v>
      </c>
      <c r="T426">
        <v>57</v>
      </c>
    </row>
    <row r="427" spans="1:20" x14ac:dyDescent="0.3">
      <c r="A427">
        <v>0.66271082342083343</v>
      </c>
      <c r="B427" s="54">
        <f t="shared" si="9"/>
        <v>662.71082342083344</v>
      </c>
      <c r="T427">
        <v>50</v>
      </c>
    </row>
    <row r="428" spans="1:20" x14ac:dyDescent="0.3">
      <c r="A428">
        <v>0.14252356815021638</v>
      </c>
      <c r="B428" s="54">
        <f t="shared" si="9"/>
        <v>142.52356815021639</v>
      </c>
      <c r="T428">
        <v>30</v>
      </c>
    </row>
    <row r="429" spans="1:20" x14ac:dyDescent="0.3">
      <c r="A429">
        <v>0.48152031996184874</v>
      </c>
      <c r="B429" s="54">
        <f t="shared" si="9"/>
        <v>481.52031996184871</v>
      </c>
      <c r="T429">
        <v>60</v>
      </c>
    </row>
    <row r="430" spans="1:20" x14ac:dyDescent="0.3">
      <c r="A430">
        <v>0.85012498634471267</v>
      </c>
      <c r="B430" s="54">
        <f t="shared" si="9"/>
        <v>850.12498634471262</v>
      </c>
      <c r="T430">
        <v>47</v>
      </c>
    </row>
    <row r="431" spans="1:20" x14ac:dyDescent="0.3">
      <c r="A431">
        <v>4.5577177371450173E-2</v>
      </c>
      <c r="B431" s="54">
        <f t="shared" si="9"/>
        <v>45.577177371450176</v>
      </c>
      <c r="T431">
        <v>46</v>
      </c>
    </row>
    <row r="432" spans="1:20" x14ac:dyDescent="0.3">
      <c r="A432">
        <v>0.65830520106220392</v>
      </c>
      <c r="B432" s="54">
        <f t="shared" si="9"/>
        <v>658.30520106220388</v>
      </c>
      <c r="T432">
        <v>35</v>
      </c>
    </row>
    <row r="433" spans="1:20" x14ac:dyDescent="0.3">
      <c r="A433">
        <v>9.9495326660849592E-2</v>
      </c>
      <c r="B433" s="54">
        <f t="shared" si="9"/>
        <v>99.495326660849599</v>
      </c>
      <c r="T433">
        <v>54</v>
      </c>
    </row>
    <row r="434" spans="1:20" x14ac:dyDescent="0.3">
      <c r="A434">
        <v>0.29514980343221886</v>
      </c>
      <c r="B434" s="54">
        <f t="shared" si="9"/>
        <v>295.14980343221885</v>
      </c>
      <c r="T434">
        <v>34</v>
      </c>
    </row>
    <row r="435" spans="1:20" x14ac:dyDescent="0.3">
      <c r="A435">
        <v>0.6393541045164044</v>
      </c>
      <c r="B435" s="54">
        <f t="shared" si="9"/>
        <v>639.35410451640439</v>
      </c>
      <c r="T435">
        <v>46</v>
      </c>
    </row>
    <row r="436" spans="1:20" x14ac:dyDescent="0.3">
      <c r="A436">
        <v>0.42951255035977454</v>
      </c>
      <c r="B436" s="54">
        <f t="shared" si="9"/>
        <v>429.51255035977454</v>
      </c>
      <c r="T436">
        <v>31</v>
      </c>
    </row>
    <row r="437" spans="1:20" x14ac:dyDescent="0.3">
      <c r="A437">
        <v>0.34455644533977492</v>
      </c>
      <c r="B437" s="54">
        <f t="shared" si="9"/>
        <v>344.55644533977494</v>
      </c>
      <c r="T437">
        <v>33</v>
      </c>
    </row>
    <row r="438" spans="1:20" x14ac:dyDescent="0.3">
      <c r="A438">
        <v>0.18310931693111354</v>
      </c>
      <c r="B438" s="54">
        <f t="shared" si="9"/>
        <v>183.10931693111354</v>
      </c>
      <c r="T438">
        <v>33</v>
      </c>
    </row>
    <row r="439" spans="1:20" x14ac:dyDescent="0.3">
      <c r="A439">
        <v>0.57883538738261309</v>
      </c>
      <c r="B439" s="54">
        <f t="shared" si="9"/>
        <v>578.83538738261313</v>
      </c>
      <c r="T439">
        <v>30</v>
      </c>
    </row>
    <row r="440" spans="1:20" x14ac:dyDescent="0.3">
      <c r="A440">
        <v>0.26414300492126874</v>
      </c>
      <c r="B440" s="54">
        <f t="shared" si="9"/>
        <v>264.14300492126875</v>
      </c>
      <c r="T440">
        <v>35</v>
      </c>
    </row>
    <row r="441" spans="1:20" x14ac:dyDescent="0.3">
      <c r="A441">
        <v>0.84478985651138361</v>
      </c>
      <c r="B441" s="54">
        <f t="shared" si="9"/>
        <v>844.78985651138362</v>
      </c>
      <c r="T441">
        <v>31</v>
      </c>
    </row>
    <row r="442" spans="1:20" x14ac:dyDescent="0.3">
      <c r="A442">
        <v>0.68402398091870564</v>
      </c>
      <c r="B442" s="54">
        <f t="shared" si="9"/>
        <v>684.02398091870566</v>
      </c>
      <c r="T442">
        <v>34</v>
      </c>
    </row>
    <row r="443" spans="1:20" x14ac:dyDescent="0.3">
      <c r="A443">
        <v>0.53776051509493428</v>
      </c>
      <c r="B443" s="54">
        <f t="shared" si="9"/>
        <v>537.76051509493425</v>
      </c>
      <c r="T443">
        <v>42</v>
      </c>
    </row>
    <row r="444" spans="1:20" x14ac:dyDescent="0.3">
      <c r="A444">
        <v>8.9614765905675409E-2</v>
      </c>
      <c r="B444" s="54">
        <f t="shared" si="9"/>
        <v>89.614765905675412</v>
      </c>
      <c r="T444">
        <v>36</v>
      </c>
    </row>
    <row r="445" spans="1:20" x14ac:dyDescent="0.3">
      <c r="A445">
        <v>0.70574708518494034</v>
      </c>
      <c r="B445" s="54">
        <f t="shared" si="9"/>
        <v>705.74708518494037</v>
      </c>
      <c r="T445">
        <v>22</v>
      </c>
    </row>
    <row r="446" spans="1:20" x14ac:dyDescent="0.3">
      <c r="A446">
        <v>4.6558065007602956E-2</v>
      </c>
      <c r="B446" s="54">
        <f t="shared" si="9"/>
        <v>46.558065007602956</v>
      </c>
      <c r="T446">
        <v>48</v>
      </c>
    </row>
    <row r="447" spans="1:20" x14ac:dyDescent="0.3">
      <c r="A447">
        <v>0.47388518087728082</v>
      </c>
      <c r="B447" s="54">
        <f t="shared" si="9"/>
        <v>473.88518087728085</v>
      </c>
      <c r="T447">
        <v>55</v>
      </c>
    </row>
    <row r="448" spans="1:20" x14ac:dyDescent="0.3">
      <c r="A448">
        <v>0.66490687188680009</v>
      </c>
      <c r="B448" s="54">
        <f t="shared" si="9"/>
        <v>664.9068718868001</v>
      </c>
      <c r="T448">
        <v>41</v>
      </c>
    </row>
    <row r="449" spans="1:20" x14ac:dyDescent="0.3">
      <c r="A449">
        <v>0.50803551574492722</v>
      </c>
      <c r="B449" s="54">
        <f t="shared" si="9"/>
        <v>508.03551574492724</v>
      </c>
      <c r="T449">
        <v>35</v>
      </c>
    </row>
    <row r="450" spans="1:20" x14ac:dyDescent="0.3">
      <c r="A450">
        <v>0.28918666211110011</v>
      </c>
      <c r="B450" s="54">
        <f t="shared" ref="B450:B500" si="10">A450*1000</f>
        <v>289.18666211110013</v>
      </c>
      <c r="T450">
        <v>40</v>
      </c>
    </row>
    <row r="451" spans="1:20" x14ac:dyDescent="0.3">
      <c r="A451">
        <v>0.62632724149932884</v>
      </c>
      <c r="B451" s="54">
        <f t="shared" si="10"/>
        <v>626.32724149932881</v>
      </c>
      <c r="T451">
        <v>39</v>
      </c>
    </row>
    <row r="452" spans="1:20" x14ac:dyDescent="0.3">
      <c r="A452">
        <v>1.7457605101302009E-2</v>
      </c>
      <c r="B452" s="54">
        <f t="shared" si="10"/>
        <v>17.457605101302008</v>
      </c>
      <c r="T452">
        <v>31</v>
      </c>
    </row>
    <row r="453" spans="1:20" x14ac:dyDescent="0.3">
      <c r="A453">
        <v>0.9931518465922704</v>
      </c>
      <c r="B453" s="54">
        <f t="shared" si="10"/>
        <v>993.15184659227043</v>
      </c>
      <c r="T453">
        <v>42</v>
      </c>
    </row>
    <row r="454" spans="1:20" x14ac:dyDescent="0.3">
      <c r="A454">
        <v>0.28449966724902964</v>
      </c>
      <c r="B454" s="54">
        <f t="shared" si="10"/>
        <v>284.49966724902964</v>
      </c>
      <c r="T454">
        <v>45</v>
      </c>
    </row>
    <row r="455" spans="1:20" x14ac:dyDescent="0.3">
      <c r="A455">
        <v>0.52615438341883358</v>
      </c>
      <c r="B455" s="54">
        <f t="shared" si="10"/>
        <v>526.15438341883362</v>
      </c>
      <c r="T455">
        <v>26</v>
      </c>
    </row>
    <row r="456" spans="1:20" x14ac:dyDescent="0.3">
      <c r="A456">
        <v>0.40514328579973924</v>
      </c>
      <c r="B456" s="54">
        <f t="shared" si="10"/>
        <v>405.14328579973926</v>
      </c>
      <c r="T456">
        <v>29</v>
      </c>
    </row>
    <row r="457" spans="1:20" x14ac:dyDescent="0.3">
      <c r="A457">
        <v>0.53627859714814674</v>
      </c>
      <c r="B457" s="54">
        <f t="shared" si="10"/>
        <v>536.27859714814679</v>
      </c>
      <c r="T457">
        <v>33</v>
      </c>
    </row>
    <row r="458" spans="1:20" x14ac:dyDescent="0.3">
      <c r="A458">
        <v>0.98780752779488101</v>
      </c>
      <c r="B458" s="54">
        <f t="shared" si="10"/>
        <v>987.80752779488103</v>
      </c>
      <c r="T458">
        <v>31</v>
      </c>
    </row>
    <row r="459" spans="1:20" x14ac:dyDescent="0.3">
      <c r="A459">
        <v>0.53732263801544566</v>
      </c>
      <c r="B459" s="54">
        <f t="shared" si="10"/>
        <v>537.3226380154457</v>
      </c>
      <c r="T459">
        <v>18</v>
      </c>
    </row>
    <row r="460" spans="1:20" x14ac:dyDescent="0.3">
      <c r="A460">
        <v>0.1067021331710265</v>
      </c>
      <c r="B460" s="54">
        <f t="shared" si="10"/>
        <v>106.7021331710265</v>
      </c>
      <c r="T460">
        <v>40</v>
      </c>
    </row>
    <row r="461" spans="1:20" x14ac:dyDescent="0.3">
      <c r="A461">
        <v>0.64225252630658947</v>
      </c>
      <c r="B461" s="54">
        <f t="shared" si="10"/>
        <v>642.25252630658952</v>
      </c>
      <c r="T461">
        <v>41</v>
      </c>
    </row>
    <row r="462" spans="1:20" x14ac:dyDescent="0.3">
      <c r="A462">
        <v>0.52132597862286278</v>
      </c>
      <c r="B462" s="54">
        <f t="shared" si="10"/>
        <v>521.32597862286275</v>
      </c>
      <c r="T462">
        <v>26</v>
      </c>
    </row>
    <row r="463" spans="1:20" x14ac:dyDescent="0.3">
      <c r="A463">
        <v>0.31689934769926253</v>
      </c>
      <c r="B463" s="54">
        <f t="shared" si="10"/>
        <v>316.89934769926253</v>
      </c>
      <c r="T463">
        <v>35</v>
      </c>
    </row>
    <row r="464" spans="1:20" x14ac:dyDescent="0.3">
      <c r="A464">
        <v>0.80547703597019371</v>
      </c>
      <c r="B464" s="54">
        <f t="shared" si="10"/>
        <v>805.4770359701937</v>
      </c>
      <c r="T464">
        <v>34</v>
      </c>
    </row>
    <row r="465" spans="1:20" x14ac:dyDescent="0.3">
      <c r="A465">
        <v>0.77626793854953413</v>
      </c>
      <c r="B465" s="54">
        <f t="shared" si="10"/>
        <v>776.26793854953416</v>
      </c>
      <c r="T465">
        <v>26</v>
      </c>
    </row>
    <row r="466" spans="1:20" x14ac:dyDescent="0.3">
      <c r="A466">
        <v>0.80418276720205761</v>
      </c>
      <c r="B466" s="54">
        <f t="shared" si="10"/>
        <v>804.18276720205756</v>
      </c>
      <c r="T466">
        <v>37</v>
      </c>
    </row>
    <row r="467" spans="1:20" x14ac:dyDescent="0.3">
      <c r="A467">
        <v>3.0811543337419423E-2</v>
      </c>
      <c r="B467" s="54">
        <f t="shared" si="10"/>
        <v>30.811543337419423</v>
      </c>
      <c r="T467">
        <v>46</v>
      </c>
    </row>
    <row r="468" spans="1:20" x14ac:dyDescent="0.3">
      <c r="A468">
        <v>0.73032115495982897</v>
      </c>
      <c r="B468" s="54">
        <f t="shared" si="10"/>
        <v>730.32115495982896</v>
      </c>
      <c r="T468">
        <v>41</v>
      </c>
    </row>
    <row r="469" spans="1:20" x14ac:dyDescent="0.3">
      <c r="A469">
        <v>0.7106626839347765</v>
      </c>
      <c r="B469" s="54">
        <f t="shared" si="10"/>
        <v>710.66268393477651</v>
      </c>
      <c r="T469">
        <v>37</v>
      </c>
    </row>
    <row r="470" spans="1:20" x14ac:dyDescent="0.3">
      <c r="A470">
        <v>0.18530166101612844</v>
      </c>
      <c r="B470" s="54">
        <f t="shared" si="10"/>
        <v>185.30166101612843</v>
      </c>
      <c r="T470">
        <v>52</v>
      </c>
    </row>
    <row r="471" spans="1:20" x14ac:dyDescent="0.3">
      <c r="A471">
        <v>0.59574581344422928</v>
      </c>
      <c r="B471" s="54">
        <f t="shared" si="10"/>
        <v>595.74581344422927</v>
      </c>
      <c r="T471">
        <v>32</v>
      </c>
    </row>
    <row r="472" spans="1:20" x14ac:dyDescent="0.3">
      <c r="A472">
        <v>0.80876400431916218</v>
      </c>
      <c r="B472" s="54">
        <f t="shared" si="10"/>
        <v>808.76400431916215</v>
      </c>
      <c r="T472">
        <v>24</v>
      </c>
    </row>
    <row r="473" spans="1:20" x14ac:dyDescent="0.3">
      <c r="A473">
        <v>0.97901902732084611</v>
      </c>
      <c r="B473" s="54">
        <f t="shared" si="10"/>
        <v>979.01902732084613</v>
      </c>
      <c r="T473">
        <v>38</v>
      </c>
    </row>
    <row r="474" spans="1:20" x14ac:dyDescent="0.3">
      <c r="A474">
        <v>0.25500913957210525</v>
      </c>
      <c r="B474" s="54">
        <f t="shared" si="10"/>
        <v>255.00913957210525</v>
      </c>
      <c r="T474">
        <v>37</v>
      </c>
    </row>
    <row r="475" spans="1:20" x14ac:dyDescent="0.3">
      <c r="A475">
        <v>0.6219053428005108</v>
      </c>
      <c r="B475" s="54">
        <f t="shared" si="10"/>
        <v>621.90534280051077</v>
      </c>
      <c r="T475">
        <v>49</v>
      </c>
    </row>
    <row r="476" spans="1:20" x14ac:dyDescent="0.3">
      <c r="A476">
        <v>0.78467700877990687</v>
      </c>
      <c r="B476" s="54">
        <f t="shared" si="10"/>
        <v>784.67700877990683</v>
      </c>
      <c r="T476">
        <v>24</v>
      </c>
    </row>
    <row r="477" spans="1:20" x14ac:dyDescent="0.3">
      <c r="A477">
        <v>0.21752683982590804</v>
      </c>
      <c r="B477" s="54">
        <f t="shared" si="10"/>
        <v>217.52683982590804</v>
      </c>
      <c r="T477">
        <v>26</v>
      </c>
    </row>
    <row r="478" spans="1:20" x14ac:dyDescent="0.3">
      <c r="A478">
        <v>5.7875091565621872E-2</v>
      </c>
      <c r="B478" s="54">
        <f t="shared" si="10"/>
        <v>57.875091565621872</v>
      </c>
      <c r="T478">
        <v>24</v>
      </c>
    </row>
    <row r="479" spans="1:20" x14ac:dyDescent="0.3">
      <c r="A479">
        <v>4.0724869893633553E-2</v>
      </c>
      <c r="B479" s="54">
        <f t="shared" si="10"/>
        <v>40.724869893633553</v>
      </c>
      <c r="T479">
        <v>50</v>
      </c>
    </row>
    <row r="480" spans="1:20" x14ac:dyDescent="0.3">
      <c r="A480">
        <v>5.1788643826363945E-2</v>
      </c>
      <c r="B480" s="54">
        <f t="shared" si="10"/>
        <v>51.788643826363945</v>
      </c>
      <c r="T480">
        <v>25</v>
      </c>
    </row>
    <row r="481" spans="1:20" x14ac:dyDescent="0.3">
      <c r="A481">
        <v>0.61334966776399336</v>
      </c>
      <c r="B481" s="54">
        <f t="shared" si="10"/>
        <v>613.34966776399335</v>
      </c>
      <c r="T481">
        <v>24</v>
      </c>
    </row>
    <row r="482" spans="1:20" x14ac:dyDescent="0.3">
      <c r="A482">
        <v>0.92740986353710486</v>
      </c>
      <c r="B482" s="54">
        <f t="shared" si="10"/>
        <v>927.40986353710491</v>
      </c>
      <c r="T482">
        <v>30</v>
      </c>
    </row>
    <row r="483" spans="1:20" x14ac:dyDescent="0.3">
      <c r="A483">
        <v>0.86465258177220883</v>
      </c>
      <c r="B483" s="54">
        <f t="shared" si="10"/>
        <v>864.6525817722088</v>
      </c>
      <c r="T483">
        <v>34</v>
      </c>
    </row>
    <row r="484" spans="1:20" x14ac:dyDescent="0.3">
      <c r="A484">
        <v>0.83083594302602415</v>
      </c>
      <c r="B484" s="54">
        <f t="shared" si="10"/>
        <v>830.8359430260241</v>
      </c>
      <c r="T484">
        <v>31</v>
      </c>
    </row>
    <row r="485" spans="1:20" x14ac:dyDescent="0.3">
      <c r="A485">
        <v>0.88650588304797728</v>
      </c>
      <c r="B485" s="54">
        <f t="shared" si="10"/>
        <v>886.50588304797725</v>
      </c>
      <c r="T485">
        <v>35</v>
      </c>
    </row>
    <row r="486" spans="1:20" x14ac:dyDescent="0.3">
      <c r="A486">
        <v>9.3069020235031275E-2</v>
      </c>
      <c r="B486" s="54">
        <f t="shared" si="10"/>
        <v>93.069020235031275</v>
      </c>
      <c r="T486">
        <v>31</v>
      </c>
    </row>
    <row r="487" spans="1:20" x14ac:dyDescent="0.3">
      <c r="A487">
        <v>8.4411594195187512E-2</v>
      </c>
      <c r="B487" s="54">
        <f t="shared" si="10"/>
        <v>84.411594195187519</v>
      </c>
      <c r="T487">
        <v>27</v>
      </c>
    </row>
    <row r="488" spans="1:20" x14ac:dyDescent="0.3">
      <c r="A488">
        <v>0.25430387898187456</v>
      </c>
      <c r="B488" s="54">
        <f t="shared" si="10"/>
        <v>254.30387898187456</v>
      </c>
      <c r="T488">
        <v>37</v>
      </c>
    </row>
    <row r="489" spans="1:20" x14ac:dyDescent="0.3">
      <c r="A489">
        <v>0.93227674074410061</v>
      </c>
      <c r="B489" s="54">
        <f t="shared" si="10"/>
        <v>932.27674074410061</v>
      </c>
      <c r="T489">
        <v>20</v>
      </c>
    </row>
    <row r="490" spans="1:20" x14ac:dyDescent="0.3">
      <c r="A490">
        <v>0.92683528217651778</v>
      </c>
      <c r="B490" s="54">
        <f t="shared" si="10"/>
        <v>926.83528217651781</v>
      </c>
      <c r="T490">
        <v>42</v>
      </c>
    </row>
    <row r="491" spans="1:20" x14ac:dyDescent="0.3">
      <c r="A491">
        <v>0.14875566711134436</v>
      </c>
      <c r="B491" s="54">
        <f t="shared" si="10"/>
        <v>148.75566711134437</v>
      </c>
      <c r="T491">
        <v>43</v>
      </c>
    </row>
    <row r="492" spans="1:20" x14ac:dyDescent="0.3">
      <c r="A492">
        <v>0.80242086574632365</v>
      </c>
      <c r="B492" s="54">
        <f t="shared" si="10"/>
        <v>802.42086574632367</v>
      </c>
      <c r="T492">
        <v>38</v>
      </c>
    </row>
    <row r="493" spans="1:20" x14ac:dyDescent="0.3">
      <c r="A493">
        <v>0.78128764074724022</v>
      </c>
      <c r="B493" s="54">
        <f t="shared" si="10"/>
        <v>781.28764074724018</v>
      </c>
      <c r="T493">
        <v>43</v>
      </c>
    </row>
    <row r="494" spans="1:20" x14ac:dyDescent="0.3">
      <c r="A494">
        <v>0.18811767277564595</v>
      </c>
      <c r="B494" s="54">
        <f t="shared" si="10"/>
        <v>188.11767277564596</v>
      </c>
      <c r="T494">
        <v>48</v>
      </c>
    </row>
    <row r="495" spans="1:20" x14ac:dyDescent="0.3">
      <c r="A495">
        <v>0.95460287166137725</v>
      </c>
      <c r="B495" s="54">
        <f t="shared" si="10"/>
        <v>954.60287166137721</v>
      </c>
      <c r="T495">
        <v>44</v>
      </c>
    </row>
    <row r="496" spans="1:20" x14ac:dyDescent="0.3">
      <c r="A496">
        <v>0.80968447167273938</v>
      </c>
      <c r="B496" s="54">
        <f t="shared" si="10"/>
        <v>809.68447167273939</v>
      </c>
      <c r="T496">
        <v>34</v>
      </c>
    </row>
    <row r="497" spans="1:20" x14ac:dyDescent="0.3">
      <c r="A497">
        <v>0.23201343309291733</v>
      </c>
      <c r="B497" s="54">
        <f t="shared" si="10"/>
        <v>232.01343309291732</v>
      </c>
      <c r="T497">
        <v>27</v>
      </c>
    </row>
    <row r="498" spans="1:20" x14ac:dyDescent="0.3">
      <c r="A498">
        <v>0.73349743025298686</v>
      </c>
      <c r="B498" s="54">
        <f t="shared" si="10"/>
        <v>733.49743025298687</v>
      </c>
      <c r="T498">
        <v>21</v>
      </c>
    </row>
    <row r="499" spans="1:20" x14ac:dyDescent="0.3">
      <c r="A499">
        <v>0.25256411286343017</v>
      </c>
      <c r="B499" s="54">
        <f t="shared" si="10"/>
        <v>252.56411286343018</v>
      </c>
      <c r="T499">
        <v>44</v>
      </c>
    </row>
    <row r="500" spans="1:20" x14ac:dyDescent="0.3">
      <c r="A500">
        <v>0.26090930211219732</v>
      </c>
      <c r="B500" s="54">
        <f t="shared" si="10"/>
        <v>260.90930211219734</v>
      </c>
      <c r="T500">
        <v>22</v>
      </c>
    </row>
    <row r="501" spans="1:20" x14ac:dyDescent="0.3">
      <c r="T501">
        <v>33</v>
      </c>
    </row>
    <row r="502" spans="1:20" x14ac:dyDescent="0.3">
      <c r="T502">
        <v>32</v>
      </c>
    </row>
    <row r="503" spans="1:20" x14ac:dyDescent="0.3">
      <c r="T503">
        <v>30</v>
      </c>
    </row>
    <row r="504" spans="1:20" x14ac:dyDescent="0.3">
      <c r="T504">
        <v>53</v>
      </c>
    </row>
    <row r="505" spans="1:20" x14ac:dyDescent="0.3">
      <c r="T505">
        <v>34</v>
      </c>
    </row>
    <row r="506" spans="1:20" x14ac:dyDescent="0.3">
      <c r="T506">
        <v>45</v>
      </c>
    </row>
    <row r="507" spans="1:20" x14ac:dyDescent="0.3">
      <c r="T507">
        <v>26</v>
      </c>
    </row>
    <row r="508" spans="1:20" x14ac:dyDescent="0.3">
      <c r="T508">
        <v>37</v>
      </c>
    </row>
    <row r="509" spans="1:20" x14ac:dyDescent="0.3">
      <c r="T509">
        <v>29</v>
      </c>
    </row>
    <row r="510" spans="1:20" x14ac:dyDescent="0.3">
      <c r="T510">
        <v>35</v>
      </c>
    </row>
    <row r="511" spans="1:20" x14ac:dyDescent="0.3">
      <c r="T511">
        <v>33</v>
      </c>
    </row>
    <row r="512" spans="1:20" x14ac:dyDescent="0.3">
      <c r="T512">
        <v>54</v>
      </c>
    </row>
    <row r="513" spans="20:20" x14ac:dyDescent="0.3">
      <c r="T513">
        <v>36</v>
      </c>
    </row>
    <row r="514" spans="20:20" x14ac:dyDescent="0.3">
      <c r="T514">
        <v>27</v>
      </c>
    </row>
    <row r="515" spans="20:20" x14ac:dyDescent="0.3">
      <c r="T515">
        <v>20</v>
      </c>
    </row>
    <row r="516" spans="20:20" x14ac:dyDescent="0.3">
      <c r="T516">
        <v>33</v>
      </c>
    </row>
    <row r="517" spans="20:20" x14ac:dyDescent="0.3">
      <c r="T517">
        <v>35</v>
      </c>
    </row>
    <row r="518" spans="20:20" x14ac:dyDescent="0.3">
      <c r="T518">
        <v>23</v>
      </c>
    </row>
    <row r="519" spans="20:20" x14ac:dyDescent="0.3">
      <c r="T519">
        <v>25</v>
      </c>
    </row>
    <row r="520" spans="20:20" x14ac:dyDescent="0.3">
      <c r="T520">
        <v>38</v>
      </c>
    </row>
    <row r="521" spans="20:20" x14ac:dyDescent="0.3">
      <c r="T521">
        <v>29</v>
      </c>
    </row>
    <row r="522" spans="20:20" x14ac:dyDescent="0.3">
      <c r="T522">
        <v>48</v>
      </c>
    </row>
    <row r="523" spans="20:20" x14ac:dyDescent="0.3">
      <c r="T523">
        <v>27</v>
      </c>
    </row>
    <row r="524" spans="20:20" x14ac:dyDescent="0.3">
      <c r="T524">
        <v>37</v>
      </c>
    </row>
    <row r="525" spans="20:20" x14ac:dyDescent="0.3">
      <c r="T525">
        <v>50</v>
      </c>
    </row>
    <row r="526" spans="20:20" x14ac:dyDescent="0.3">
      <c r="T526">
        <v>34</v>
      </c>
    </row>
    <row r="527" spans="20:20" x14ac:dyDescent="0.3">
      <c r="T527">
        <v>24</v>
      </c>
    </row>
    <row r="528" spans="20:20" x14ac:dyDescent="0.3">
      <c r="T528">
        <v>39</v>
      </c>
    </row>
    <row r="529" spans="20:20" x14ac:dyDescent="0.3">
      <c r="T529">
        <v>32</v>
      </c>
    </row>
    <row r="530" spans="20:20" x14ac:dyDescent="0.3">
      <c r="T530">
        <v>50</v>
      </c>
    </row>
    <row r="531" spans="20:20" x14ac:dyDescent="0.3">
      <c r="T531">
        <v>38</v>
      </c>
    </row>
    <row r="532" spans="20:20" x14ac:dyDescent="0.3">
      <c r="T532">
        <v>27</v>
      </c>
    </row>
    <row r="533" spans="20:20" x14ac:dyDescent="0.3">
      <c r="T533">
        <v>32</v>
      </c>
    </row>
    <row r="534" spans="20:20" x14ac:dyDescent="0.3">
      <c r="T534">
        <v>47</v>
      </c>
    </row>
    <row r="535" spans="20:20" x14ac:dyDescent="0.3">
      <c r="T535">
        <v>40</v>
      </c>
    </row>
    <row r="536" spans="20:20" x14ac:dyDescent="0.3">
      <c r="T536">
        <v>53</v>
      </c>
    </row>
    <row r="537" spans="20:20" x14ac:dyDescent="0.3">
      <c r="T537">
        <v>41</v>
      </c>
    </row>
    <row r="538" spans="20:20" x14ac:dyDescent="0.3">
      <c r="T538">
        <v>60</v>
      </c>
    </row>
    <row r="539" spans="20:20" x14ac:dyDescent="0.3">
      <c r="T539">
        <v>27</v>
      </c>
    </row>
    <row r="540" spans="20:20" x14ac:dyDescent="0.3">
      <c r="T540">
        <v>41</v>
      </c>
    </row>
    <row r="541" spans="20:20" x14ac:dyDescent="0.3">
      <c r="T541">
        <v>50</v>
      </c>
    </row>
    <row r="542" spans="20:20" x14ac:dyDescent="0.3">
      <c r="T542">
        <v>28</v>
      </c>
    </row>
    <row r="543" spans="20:20" x14ac:dyDescent="0.3">
      <c r="T543">
        <v>36</v>
      </c>
    </row>
    <row r="544" spans="20:20" x14ac:dyDescent="0.3">
      <c r="T544">
        <v>38</v>
      </c>
    </row>
    <row r="545" spans="20:20" x14ac:dyDescent="0.3">
      <c r="T545">
        <v>44</v>
      </c>
    </row>
    <row r="546" spans="20:20" x14ac:dyDescent="0.3">
      <c r="T546">
        <v>47</v>
      </c>
    </row>
    <row r="547" spans="20:20" x14ac:dyDescent="0.3">
      <c r="T547">
        <v>30</v>
      </c>
    </row>
    <row r="548" spans="20:20" x14ac:dyDescent="0.3">
      <c r="T548">
        <v>29</v>
      </c>
    </row>
    <row r="549" spans="20:20" x14ac:dyDescent="0.3">
      <c r="T549">
        <v>42</v>
      </c>
    </row>
    <row r="550" spans="20:20" x14ac:dyDescent="0.3">
      <c r="T550">
        <v>43</v>
      </c>
    </row>
    <row r="551" spans="20:20" x14ac:dyDescent="0.3">
      <c r="T551">
        <v>34</v>
      </c>
    </row>
    <row r="552" spans="20:20" x14ac:dyDescent="0.3">
      <c r="T552">
        <v>23</v>
      </c>
    </row>
    <row r="553" spans="20:20" x14ac:dyDescent="0.3">
      <c r="T553">
        <v>39</v>
      </c>
    </row>
    <row r="554" spans="20:20" x14ac:dyDescent="0.3">
      <c r="T554">
        <v>56</v>
      </c>
    </row>
    <row r="555" spans="20:20" x14ac:dyDescent="0.3">
      <c r="T555">
        <v>40</v>
      </c>
    </row>
    <row r="556" spans="20:20" x14ac:dyDescent="0.3">
      <c r="T556">
        <v>27</v>
      </c>
    </row>
    <row r="557" spans="20:20" x14ac:dyDescent="0.3">
      <c r="T557">
        <v>29</v>
      </c>
    </row>
    <row r="558" spans="20:20" x14ac:dyDescent="0.3">
      <c r="T558">
        <v>53</v>
      </c>
    </row>
    <row r="559" spans="20:20" x14ac:dyDescent="0.3">
      <c r="T559">
        <v>35</v>
      </c>
    </row>
    <row r="560" spans="20:20" x14ac:dyDescent="0.3">
      <c r="T560">
        <v>32</v>
      </c>
    </row>
    <row r="561" spans="20:20" x14ac:dyDescent="0.3">
      <c r="T561">
        <v>38</v>
      </c>
    </row>
    <row r="562" spans="20:20" x14ac:dyDescent="0.3">
      <c r="T562">
        <v>34</v>
      </c>
    </row>
    <row r="563" spans="20:20" x14ac:dyDescent="0.3">
      <c r="T563">
        <v>52</v>
      </c>
    </row>
    <row r="564" spans="20:20" x14ac:dyDescent="0.3">
      <c r="T564">
        <v>33</v>
      </c>
    </row>
    <row r="565" spans="20:20" x14ac:dyDescent="0.3">
      <c r="T565">
        <v>25</v>
      </c>
    </row>
    <row r="566" spans="20:20" x14ac:dyDescent="0.3">
      <c r="T566">
        <v>45</v>
      </c>
    </row>
    <row r="567" spans="20:20" x14ac:dyDescent="0.3">
      <c r="T567">
        <v>23</v>
      </c>
    </row>
    <row r="568" spans="20:20" x14ac:dyDescent="0.3">
      <c r="T568">
        <v>47</v>
      </c>
    </row>
    <row r="569" spans="20:20" x14ac:dyDescent="0.3">
      <c r="T569">
        <v>34</v>
      </c>
    </row>
    <row r="570" spans="20:20" x14ac:dyDescent="0.3">
      <c r="T570">
        <v>55</v>
      </c>
    </row>
    <row r="571" spans="20:20" x14ac:dyDescent="0.3">
      <c r="T571">
        <v>36</v>
      </c>
    </row>
    <row r="572" spans="20:20" x14ac:dyDescent="0.3">
      <c r="T572">
        <v>52</v>
      </c>
    </row>
    <row r="573" spans="20:20" x14ac:dyDescent="0.3">
      <c r="T573">
        <v>26</v>
      </c>
    </row>
    <row r="574" spans="20:20" x14ac:dyDescent="0.3">
      <c r="T574">
        <v>29</v>
      </c>
    </row>
    <row r="575" spans="20:20" x14ac:dyDescent="0.3">
      <c r="T575">
        <v>26</v>
      </c>
    </row>
    <row r="576" spans="20:20" x14ac:dyDescent="0.3">
      <c r="T576">
        <v>34</v>
      </c>
    </row>
    <row r="577" spans="20:20" x14ac:dyDescent="0.3">
      <c r="T577">
        <v>54</v>
      </c>
    </row>
    <row r="578" spans="20:20" x14ac:dyDescent="0.3">
      <c r="T578">
        <v>27</v>
      </c>
    </row>
    <row r="579" spans="20:20" x14ac:dyDescent="0.3">
      <c r="T579">
        <v>37</v>
      </c>
    </row>
    <row r="580" spans="20:20" x14ac:dyDescent="0.3">
      <c r="T580">
        <v>38</v>
      </c>
    </row>
    <row r="581" spans="20:20" x14ac:dyDescent="0.3">
      <c r="T581">
        <v>34</v>
      </c>
    </row>
    <row r="582" spans="20:20" x14ac:dyDescent="0.3">
      <c r="T582">
        <v>35</v>
      </c>
    </row>
    <row r="583" spans="20:20" x14ac:dyDescent="0.3">
      <c r="T583">
        <v>30</v>
      </c>
    </row>
    <row r="584" spans="20:20" x14ac:dyDescent="0.3">
      <c r="T584">
        <v>40</v>
      </c>
    </row>
    <row r="585" spans="20:20" x14ac:dyDescent="0.3">
      <c r="T585">
        <v>34</v>
      </c>
    </row>
    <row r="586" spans="20:20" x14ac:dyDescent="0.3">
      <c r="T586">
        <v>42</v>
      </c>
    </row>
    <row r="587" spans="20:20" x14ac:dyDescent="0.3">
      <c r="T587">
        <v>23</v>
      </c>
    </row>
    <row r="588" spans="20:20" x14ac:dyDescent="0.3">
      <c r="T588">
        <v>24</v>
      </c>
    </row>
    <row r="589" spans="20:20" x14ac:dyDescent="0.3">
      <c r="T589">
        <v>52</v>
      </c>
    </row>
    <row r="590" spans="20:20" x14ac:dyDescent="0.3">
      <c r="T590">
        <v>50</v>
      </c>
    </row>
    <row r="591" spans="20:20" x14ac:dyDescent="0.3">
      <c r="T591">
        <v>29</v>
      </c>
    </row>
    <row r="592" spans="20:20" x14ac:dyDescent="0.3">
      <c r="T592">
        <v>33</v>
      </c>
    </row>
    <row r="593" spans="20:20" x14ac:dyDescent="0.3">
      <c r="T593">
        <v>33</v>
      </c>
    </row>
    <row r="594" spans="20:20" x14ac:dyDescent="0.3">
      <c r="T594">
        <v>47</v>
      </c>
    </row>
    <row r="595" spans="20:20" x14ac:dyDescent="0.3">
      <c r="T595">
        <v>36</v>
      </c>
    </row>
    <row r="596" spans="20:20" x14ac:dyDescent="0.3">
      <c r="T596">
        <v>29</v>
      </c>
    </row>
    <row r="597" spans="20:20" x14ac:dyDescent="0.3">
      <c r="T597">
        <v>58</v>
      </c>
    </row>
    <row r="598" spans="20:20" x14ac:dyDescent="0.3">
      <c r="T598">
        <v>35</v>
      </c>
    </row>
    <row r="599" spans="20:20" x14ac:dyDescent="0.3">
      <c r="T599">
        <v>42</v>
      </c>
    </row>
    <row r="600" spans="20:20" x14ac:dyDescent="0.3">
      <c r="T600">
        <v>28</v>
      </c>
    </row>
    <row r="601" spans="20:20" x14ac:dyDescent="0.3">
      <c r="T601">
        <v>36</v>
      </c>
    </row>
    <row r="602" spans="20:20" x14ac:dyDescent="0.3">
      <c r="T602">
        <v>32</v>
      </c>
    </row>
    <row r="603" spans="20:20" x14ac:dyDescent="0.3">
      <c r="T603">
        <v>40</v>
      </c>
    </row>
    <row r="604" spans="20:20" x14ac:dyDescent="0.3">
      <c r="T604">
        <v>30</v>
      </c>
    </row>
    <row r="605" spans="20:20" x14ac:dyDescent="0.3">
      <c r="T605">
        <v>45</v>
      </c>
    </row>
    <row r="606" spans="20:20" x14ac:dyDescent="0.3">
      <c r="T606">
        <v>42</v>
      </c>
    </row>
    <row r="607" spans="20:20" x14ac:dyDescent="0.3">
      <c r="T607">
        <v>38</v>
      </c>
    </row>
    <row r="608" spans="20:20" x14ac:dyDescent="0.3">
      <c r="T608">
        <v>34</v>
      </c>
    </row>
    <row r="609" spans="20:20" x14ac:dyDescent="0.3">
      <c r="T609">
        <v>49</v>
      </c>
    </row>
    <row r="610" spans="20:20" x14ac:dyDescent="0.3">
      <c r="T610">
        <v>55</v>
      </c>
    </row>
    <row r="611" spans="20:20" x14ac:dyDescent="0.3">
      <c r="T611">
        <v>43</v>
      </c>
    </row>
    <row r="612" spans="20:20" x14ac:dyDescent="0.3">
      <c r="T612">
        <v>27</v>
      </c>
    </row>
    <row r="613" spans="20:20" x14ac:dyDescent="0.3">
      <c r="T613">
        <v>35</v>
      </c>
    </row>
    <row r="614" spans="20:20" x14ac:dyDescent="0.3">
      <c r="T614">
        <v>28</v>
      </c>
    </row>
    <row r="615" spans="20:20" x14ac:dyDescent="0.3">
      <c r="T615">
        <v>34</v>
      </c>
    </row>
    <row r="616" spans="20:20" x14ac:dyDescent="0.3">
      <c r="T616">
        <v>26</v>
      </c>
    </row>
    <row r="617" spans="20:20" x14ac:dyDescent="0.3">
      <c r="T617">
        <v>27</v>
      </c>
    </row>
    <row r="618" spans="20:20" x14ac:dyDescent="0.3">
      <c r="T618">
        <v>51</v>
      </c>
    </row>
    <row r="619" spans="20:20" x14ac:dyDescent="0.3">
      <c r="T619">
        <v>44</v>
      </c>
    </row>
    <row r="620" spans="20:20" x14ac:dyDescent="0.3">
      <c r="T620">
        <v>25</v>
      </c>
    </row>
    <row r="621" spans="20:20" x14ac:dyDescent="0.3">
      <c r="T621">
        <v>33</v>
      </c>
    </row>
    <row r="622" spans="20:20" x14ac:dyDescent="0.3">
      <c r="T622">
        <v>35</v>
      </c>
    </row>
    <row r="623" spans="20:20" x14ac:dyDescent="0.3">
      <c r="T623">
        <v>36</v>
      </c>
    </row>
    <row r="624" spans="20:20" x14ac:dyDescent="0.3">
      <c r="T624">
        <v>32</v>
      </c>
    </row>
    <row r="625" spans="20:20" x14ac:dyDescent="0.3">
      <c r="T625">
        <v>30</v>
      </c>
    </row>
    <row r="626" spans="20:20" x14ac:dyDescent="0.3">
      <c r="T626">
        <v>53</v>
      </c>
    </row>
    <row r="627" spans="20:20" x14ac:dyDescent="0.3">
      <c r="T627">
        <v>45</v>
      </c>
    </row>
    <row r="628" spans="20:20" x14ac:dyDescent="0.3">
      <c r="T628">
        <v>32</v>
      </c>
    </row>
    <row r="629" spans="20:20" x14ac:dyDescent="0.3">
      <c r="T629">
        <v>52</v>
      </c>
    </row>
    <row r="630" spans="20:20" x14ac:dyDescent="0.3">
      <c r="T630">
        <v>37</v>
      </c>
    </row>
    <row r="631" spans="20:20" x14ac:dyDescent="0.3">
      <c r="T631">
        <v>28</v>
      </c>
    </row>
    <row r="632" spans="20:20" x14ac:dyDescent="0.3">
      <c r="T632">
        <v>22</v>
      </c>
    </row>
    <row r="633" spans="20:20" x14ac:dyDescent="0.3">
      <c r="T633">
        <v>44</v>
      </c>
    </row>
    <row r="634" spans="20:20" x14ac:dyDescent="0.3">
      <c r="T634">
        <v>42</v>
      </c>
    </row>
    <row r="635" spans="20:20" x14ac:dyDescent="0.3">
      <c r="T635">
        <v>36</v>
      </c>
    </row>
    <row r="636" spans="20:20" x14ac:dyDescent="0.3">
      <c r="T636">
        <v>25</v>
      </c>
    </row>
    <row r="637" spans="20:20" x14ac:dyDescent="0.3">
      <c r="T637">
        <v>35</v>
      </c>
    </row>
    <row r="638" spans="20:20" x14ac:dyDescent="0.3">
      <c r="T638">
        <v>35</v>
      </c>
    </row>
    <row r="639" spans="20:20" x14ac:dyDescent="0.3">
      <c r="T639">
        <v>32</v>
      </c>
    </row>
    <row r="640" spans="20:20" x14ac:dyDescent="0.3">
      <c r="T640">
        <v>25</v>
      </c>
    </row>
    <row r="641" spans="20:20" x14ac:dyDescent="0.3">
      <c r="T641">
        <v>49</v>
      </c>
    </row>
    <row r="642" spans="20:20" x14ac:dyDescent="0.3">
      <c r="T642">
        <v>24</v>
      </c>
    </row>
    <row r="643" spans="20:20" x14ac:dyDescent="0.3">
      <c r="T643">
        <v>32</v>
      </c>
    </row>
    <row r="644" spans="20:20" x14ac:dyDescent="0.3">
      <c r="T644">
        <v>38</v>
      </c>
    </row>
    <row r="645" spans="20:20" x14ac:dyDescent="0.3">
      <c r="T645">
        <v>42</v>
      </c>
    </row>
    <row r="646" spans="20:20" x14ac:dyDescent="0.3">
      <c r="T646">
        <v>31</v>
      </c>
    </row>
    <row r="647" spans="20:20" x14ac:dyDescent="0.3">
      <c r="T647">
        <v>29</v>
      </c>
    </row>
    <row r="648" spans="20:20" x14ac:dyDescent="0.3">
      <c r="T648">
        <v>53</v>
      </c>
    </row>
    <row r="649" spans="20:20" x14ac:dyDescent="0.3">
      <c r="T649">
        <v>35</v>
      </c>
    </row>
    <row r="650" spans="20:20" x14ac:dyDescent="0.3">
      <c r="T650">
        <v>37</v>
      </c>
    </row>
    <row r="651" spans="20:20" x14ac:dyDescent="0.3">
      <c r="T651">
        <v>53</v>
      </c>
    </row>
    <row r="652" spans="20:20" x14ac:dyDescent="0.3">
      <c r="T652">
        <v>43</v>
      </c>
    </row>
    <row r="653" spans="20:20" x14ac:dyDescent="0.3">
      <c r="T653">
        <v>47</v>
      </c>
    </row>
    <row r="654" spans="20:20" x14ac:dyDescent="0.3">
      <c r="T654">
        <v>37</v>
      </c>
    </row>
    <row r="655" spans="20:20" x14ac:dyDescent="0.3">
      <c r="T655">
        <v>50</v>
      </c>
    </row>
    <row r="656" spans="20:20" x14ac:dyDescent="0.3">
      <c r="T656">
        <v>39</v>
      </c>
    </row>
    <row r="657" spans="20:20" x14ac:dyDescent="0.3">
      <c r="T657">
        <v>33</v>
      </c>
    </row>
    <row r="658" spans="20:20" x14ac:dyDescent="0.3">
      <c r="T658">
        <v>32</v>
      </c>
    </row>
    <row r="659" spans="20:20" x14ac:dyDescent="0.3">
      <c r="T659">
        <v>29</v>
      </c>
    </row>
    <row r="660" spans="20:20" x14ac:dyDescent="0.3">
      <c r="T660">
        <v>44</v>
      </c>
    </row>
    <row r="661" spans="20:20" x14ac:dyDescent="0.3">
      <c r="T661">
        <v>28</v>
      </c>
    </row>
    <row r="662" spans="20:20" x14ac:dyDescent="0.3">
      <c r="T662">
        <v>58</v>
      </c>
    </row>
    <row r="663" spans="20:20" x14ac:dyDescent="0.3">
      <c r="T663">
        <v>43</v>
      </c>
    </row>
    <row r="664" spans="20:20" x14ac:dyDescent="0.3">
      <c r="T664">
        <v>20</v>
      </c>
    </row>
    <row r="665" spans="20:20" x14ac:dyDescent="0.3">
      <c r="T665">
        <v>21</v>
      </c>
    </row>
    <row r="666" spans="20:20" x14ac:dyDescent="0.3">
      <c r="T666">
        <v>36</v>
      </c>
    </row>
    <row r="667" spans="20:20" x14ac:dyDescent="0.3">
      <c r="T667">
        <v>47</v>
      </c>
    </row>
    <row r="668" spans="20:20" x14ac:dyDescent="0.3">
      <c r="T668">
        <v>22</v>
      </c>
    </row>
    <row r="669" spans="20:20" x14ac:dyDescent="0.3">
      <c r="T669">
        <v>41</v>
      </c>
    </row>
    <row r="670" spans="20:20" x14ac:dyDescent="0.3">
      <c r="T670">
        <v>28</v>
      </c>
    </row>
    <row r="671" spans="20:20" x14ac:dyDescent="0.3">
      <c r="T671">
        <v>39</v>
      </c>
    </row>
    <row r="672" spans="20:20" x14ac:dyDescent="0.3">
      <c r="T672">
        <v>27</v>
      </c>
    </row>
    <row r="673" spans="20:20" x14ac:dyDescent="0.3">
      <c r="T673">
        <v>34</v>
      </c>
    </row>
    <row r="674" spans="20:20" x14ac:dyDescent="0.3">
      <c r="T674">
        <v>42</v>
      </c>
    </row>
    <row r="675" spans="20:20" x14ac:dyDescent="0.3">
      <c r="T675">
        <v>33</v>
      </c>
    </row>
    <row r="676" spans="20:20" x14ac:dyDescent="0.3">
      <c r="T676">
        <v>58</v>
      </c>
    </row>
    <row r="677" spans="20:20" x14ac:dyDescent="0.3">
      <c r="T677">
        <v>31</v>
      </c>
    </row>
    <row r="678" spans="20:20" x14ac:dyDescent="0.3">
      <c r="T678">
        <v>35</v>
      </c>
    </row>
    <row r="679" spans="20:20" x14ac:dyDescent="0.3">
      <c r="T679">
        <v>49</v>
      </c>
    </row>
    <row r="680" spans="20:20" x14ac:dyDescent="0.3">
      <c r="T680">
        <v>48</v>
      </c>
    </row>
    <row r="681" spans="20:20" x14ac:dyDescent="0.3">
      <c r="T681">
        <v>31</v>
      </c>
    </row>
    <row r="682" spans="20:20" x14ac:dyDescent="0.3">
      <c r="T682">
        <v>36</v>
      </c>
    </row>
    <row r="683" spans="20:20" x14ac:dyDescent="0.3">
      <c r="T683">
        <v>38</v>
      </c>
    </row>
    <row r="684" spans="20:20" x14ac:dyDescent="0.3">
      <c r="T684">
        <v>32</v>
      </c>
    </row>
    <row r="685" spans="20:20" x14ac:dyDescent="0.3">
      <c r="T685">
        <v>25</v>
      </c>
    </row>
    <row r="686" spans="20:20" x14ac:dyDescent="0.3">
      <c r="T686">
        <v>40</v>
      </c>
    </row>
    <row r="687" spans="20:20" x14ac:dyDescent="0.3">
      <c r="T687">
        <v>26</v>
      </c>
    </row>
    <row r="688" spans="20:20" x14ac:dyDescent="0.3">
      <c r="T688">
        <v>41</v>
      </c>
    </row>
    <row r="689" spans="20:20" x14ac:dyDescent="0.3">
      <c r="T689">
        <v>36</v>
      </c>
    </row>
    <row r="690" spans="20:20" x14ac:dyDescent="0.3">
      <c r="T690">
        <v>19</v>
      </c>
    </row>
    <row r="691" spans="20:20" x14ac:dyDescent="0.3">
      <c r="T691">
        <v>20</v>
      </c>
    </row>
    <row r="692" spans="20:20" x14ac:dyDescent="0.3">
      <c r="T692">
        <v>31</v>
      </c>
    </row>
    <row r="693" spans="20:20" x14ac:dyDescent="0.3">
      <c r="T693">
        <v>40</v>
      </c>
    </row>
    <row r="694" spans="20:20" x14ac:dyDescent="0.3">
      <c r="T694">
        <v>32</v>
      </c>
    </row>
    <row r="695" spans="20:20" x14ac:dyDescent="0.3">
      <c r="T695">
        <v>36</v>
      </c>
    </row>
    <row r="696" spans="20:20" x14ac:dyDescent="0.3">
      <c r="T696">
        <v>33</v>
      </c>
    </row>
    <row r="697" spans="20:20" x14ac:dyDescent="0.3">
      <c r="T697">
        <v>37</v>
      </c>
    </row>
    <row r="698" spans="20:20" x14ac:dyDescent="0.3">
      <c r="T698">
        <v>45</v>
      </c>
    </row>
    <row r="699" spans="20:20" x14ac:dyDescent="0.3">
      <c r="T699">
        <v>29</v>
      </c>
    </row>
    <row r="700" spans="20:20" x14ac:dyDescent="0.3">
      <c r="T700">
        <v>35</v>
      </c>
    </row>
    <row r="701" spans="20:20" x14ac:dyDescent="0.3">
      <c r="T701">
        <v>52</v>
      </c>
    </row>
    <row r="702" spans="20:20" x14ac:dyDescent="0.3">
      <c r="T702">
        <v>58</v>
      </c>
    </row>
    <row r="703" spans="20:20" x14ac:dyDescent="0.3">
      <c r="T703">
        <v>53</v>
      </c>
    </row>
    <row r="704" spans="20:20" x14ac:dyDescent="0.3">
      <c r="T704">
        <v>30</v>
      </c>
    </row>
    <row r="705" spans="20:20" x14ac:dyDescent="0.3">
      <c r="T705">
        <v>38</v>
      </c>
    </row>
    <row r="706" spans="20:20" x14ac:dyDescent="0.3">
      <c r="T706">
        <v>35</v>
      </c>
    </row>
    <row r="707" spans="20:20" x14ac:dyDescent="0.3">
      <c r="T707">
        <v>39</v>
      </c>
    </row>
    <row r="708" spans="20:20" x14ac:dyDescent="0.3">
      <c r="T708">
        <v>40</v>
      </c>
    </row>
    <row r="709" spans="20:20" x14ac:dyDescent="0.3">
      <c r="T709">
        <v>47</v>
      </c>
    </row>
    <row r="710" spans="20:20" x14ac:dyDescent="0.3">
      <c r="T710">
        <v>36</v>
      </c>
    </row>
    <row r="711" spans="20:20" x14ac:dyDescent="0.3">
      <c r="T711">
        <v>31</v>
      </c>
    </row>
    <row r="712" spans="20:20" x14ac:dyDescent="0.3">
      <c r="T712">
        <v>33</v>
      </c>
    </row>
    <row r="713" spans="20:20" x14ac:dyDescent="0.3">
      <c r="T713">
        <v>29</v>
      </c>
    </row>
    <row r="714" spans="20:20" x14ac:dyDescent="0.3">
      <c r="T714">
        <v>33</v>
      </c>
    </row>
    <row r="715" spans="20:20" x14ac:dyDescent="0.3">
      <c r="T715">
        <v>45</v>
      </c>
    </row>
    <row r="716" spans="20:20" x14ac:dyDescent="0.3">
      <c r="T716">
        <v>50</v>
      </c>
    </row>
    <row r="717" spans="20:20" x14ac:dyDescent="0.3">
      <c r="T717">
        <v>33</v>
      </c>
    </row>
    <row r="718" spans="20:20" x14ac:dyDescent="0.3">
      <c r="T718">
        <v>41</v>
      </c>
    </row>
    <row r="719" spans="20:20" x14ac:dyDescent="0.3">
      <c r="T719">
        <v>27</v>
      </c>
    </row>
    <row r="720" spans="20:20" x14ac:dyDescent="0.3">
      <c r="T720">
        <v>45</v>
      </c>
    </row>
    <row r="721" spans="20:20" x14ac:dyDescent="0.3">
      <c r="T721">
        <v>47</v>
      </c>
    </row>
    <row r="722" spans="20:20" x14ac:dyDescent="0.3">
      <c r="T722">
        <v>30</v>
      </c>
    </row>
    <row r="723" spans="20:20" x14ac:dyDescent="0.3">
      <c r="T723">
        <v>50</v>
      </c>
    </row>
    <row r="724" spans="20:20" x14ac:dyDescent="0.3">
      <c r="T724">
        <v>38</v>
      </c>
    </row>
    <row r="725" spans="20:20" x14ac:dyDescent="0.3">
      <c r="T725">
        <v>46</v>
      </c>
    </row>
    <row r="726" spans="20:20" x14ac:dyDescent="0.3">
      <c r="T726">
        <v>24</v>
      </c>
    </row>
    <row r="727" spans="20:20" x14ac:dyDescent="0.3">
      <c r="T727">
        <v>35</v>
      </c>
    </row>
    <row r="728" spans="20:20" x14ac:dyDescent="0.3">
      <c r="T728">
        <v>31</v>
      </c>
    </row>
    <row r="729" spans="20:20" x14ac:dyDescent="0.3">
      <c r="T729">
        <v>18</v>
      </c>
    </row>
    <row r="730" spans="20:20" x14ac:dyDescent="0.3">
      <c r="T730">
        <v>54</v>
      </c>
    </row>
    <row r="731" spans="20:20" x14ac:dyDescent="0.3">
      <c r="T731">
        <v>35</v>
      </c>
    </row>
    <row r="732" spans="20:20" x14ac:dyDescent="0.3">
      <c r="T732">
        <v>30</v>
      </c>
    </row>
    <row r="733" spans="20:20" x14ac:dyDescent="0.3">
      <c r="T733">
        <v>20</v>
      </c>
    </row>
    <row r="734" spans="20:20" x14ac:dyDescent="0.3">
      <c r="T734">
        <v>30</v>
      </c>
    </row>
    <row r="735" spans="20:20" x14ac:dyDescent="0.3">
      <c r="T735">
        <v>26</v>
      </c>
    </row>
    <row r="736" spans="20:20" x14ac:dyDescent="0.3">
      <c r="T736">
        <v>22</v>
      </c>
    </row>
    <row r="737" spans="20:20" x14ac:dyDescent="0.3">
      <c r="T737">
        <v>48</v>
      </c>
    </row>
    <row r="738" spans="20:20" x14ac:dyDescent="0.3">
      <c r="T738">
        <v>48</v>
      </c>
    </row>
    <row r="739" spans="20:20" x14ac:dyDescent="0.3">
      <c r="T739">
        <v>41</v>
      </c>
    </row>
    <row r="740" spans="20:20" x14ac:dyDescent="0.3">
      <c r="T740">
        <v>39</v>
      </c>
    </row>
    <row r="741" spans="20:20" x14ac:dyDescent="0.3">
      <c r="T741">
        <v>27</v>
      </c>
    </row>
    <row r="742" spans="20:20" x14ac:dyDescent="0.3">
      <c r="T742">
        <v>35</v>
      </c>
    </row>
    <row r="743" spans="20:20" x14ac:dyDescent="0.3">
      <c r="T743">
        <v>42</v>
      </c>
    </row>
    <row r="744" spans="20:20" x14ac:dyDescent="0.3">
      <c r="T744">
        <v>50</v>
      </c>
    </row>
    <row r="745" spans="20:20" x14ac:dyDescent="0.3">
      <c r="T745">
        <v>59</v>
      </c>
    </row>
    <row r="746" spans="20:20" x14ac:dyDescent="0.3">
      <c r="T746">
        <v>37</v>
      </c>
    </row>
    <row r="747" spans="20:20" x14ac:dyDescent="0.3">
      <c r="T747">
        <v>55</v>
      </c>
    </row>
    <row r="748" spans="20:20" x14ac:dyDescent="0.3">
      <c r="T748">
        <v>41</v>
      </c>
    </row>
    <row r="749" spans="20:20" x14ac:dyDescent="0.3">
      <c r="T749">
        <v>38</v>
      </c>
    </row>
    <row r="750" spans="20:20" x14ac:dyDescent="0.3">
      <c r="T750">
        <v>26</v>
      </c>
    </row>
    <row r="751" spans="20:20" x14ac:dyDescent="0.3">
      <c r="T751">
        <v>52</v>
      </c>
    </row>
    <row r="752" spans="20:20" x14ac:dyDescent="0.3">
      <c r="T752">
        <v>44</v>
      </c>
    </row>
    <row r="753" spans="20:20" x14ac:dyDescent="0.3">
      <c r="T753">
        <v>50</v>
      </c>
    </row>
    <row r="754" spans="20:20" x14ac:dyDescent="0.3">
      <c r="T754">
        <v>36</v>
      </c>
    </row>
    <row r="755" spans="20:20" x14ac:dyDescent="0.3">
      <c r="T755">
        <v>39</v>
      </c>
    </row>
    <row r="756" spans="20:20" x14ac:dyDescent="0.3">
      <c r="T756">
        <v>33</v>
      </c>
    </row>
    <row r="757" spans="20:20" x14ac:dyDescent="0.3">
      <c r="T757">
        <v>45</v>
      </c>
    </row>
    <row r="758" spans="20:20" x14ac:dyDescent="0.3">
      <c r="T758">
        <v>32</v>
      </c>
    </row>
    <row r="759" spans="20:20" x14ac:dyDescent="0.3">
      <c r="T759">
        <v>34</v>
      </c>
    </row>
    <row r="760" spans="20:20" x14ac:dyDescent="0.3">
      <c r="T760">
        <v>59</v>
      </c>
    </row>
    <row r="761" spans="20:20" x14ac:dyDescent="0.3">
      <c r="T761">
        <v>45</v>
      </c>
    </row>
    <row r="762" spans="20:20" x14ac:dyDescent="0.3">
      <c r="T762">
        <v>53</v>
      </c>
    </row>
    <row r="763" spans="20:20" x14ac:dyDescent="0.3">
      <c r="T763">
        <v>36</v>
      </c>
    </row>
    <row r="764" spans="20:20" x14ac:dyDescent="0.3">
      <c r="T764">
        <v>26</v>
      </c>
    </row>
    <row r="765" spans="20:20" x14ac:dyDescent="0.3">
      <c r="T765">
        <v>34</v>
      </c>
    </row>
    <row r="766" spans="20:20" x14ac:dyDescent="0.3">
      <c r="T766">
        <v>28</v>
      </c>
    </row>
    <row r="767" spans="20:20" x14ac:dyDescent="0.3">
      <c r="T767">
        <v>38</v>
      </c>
    </row>
    <row r="768" spans="20:20" x14ac:dyDescent="0.3">
      <c r="T768">
        <v>50</v>
      </c>
    </row>
    <row r="769" spans="20:20" x14ac:dyDescent="0.3">
      <c r="T769">
        <v>37</v>
      </c>
    </row>
    <row r="770" spans="20:20" x14ac:dyDescent="0.3">
      <c r="T770">
        <v>40</v>
      </c>
    </row>
    <row r="771" spans="20:20" x14ac:dyDescent="0.3">
      <c r="T771">
        <v>26</v>
      </c>
    </row>
    <row r="772" spans="20:20" x14ac:dyDescent="0.3">
      <c r="T772">
        <v>46</v>
      </c>
    </row>
    <row r="773" spans="20:20" x14ac:dyDescent="0.3">
      <c r="T773">
        <v>54</v>
      </c>
    </row>
    <row r="774" spans="20:20" x14ac:dyDescent="0.3">
      <c r="T774">
        <v>56</v>
      </c>
    </row>
    <row r="775" spans="20:20" x14ac:dyDescent="0.3">
      <c r="T775">
        <v>36</v>
      </c>
    </row>
    <row r="776" spans="20:20" x14ac:dyDescent="0.3">
      <c r="T776">
        <v>55</v>
      </c>
    </row>
    <row r="777" spans="20:20" x14ac:dyDescent="0.3">
      <c r="T777">
        <v>43</v>
      </c>
    </row>
    <row r="778" spans="20:20" x14ac:dyDescent="0.3">
      <c r="T778">
        <v>20</v>
      </c>
    </row>
    <row r="779" spans="20:20" x14ac:dyDescent="0.3">
      <c r="T779">
        <v>21</v>
      </c>
    </row>
    <row r="780" spans="20:20" x14ac:dyDescent="0.3">
      <c r="T780">
        <v>46</v>
      </c>
    </row>
    <row r="781" spans="20:20" x14ac:dyDescent="0.3">
      <c r="T781">
        <v>51</v>
      </c>
    </row>
    <row r="782" spans="20:20" x14ac:dyDescent="0.3">
      <c r="T782">
        <v>28</v>
      </c>
    </row>
    <row r="783" spans="20:20" x14ac:dyDescent="0.3">
      <c r="T783">
        <v>26</v>
      </c>
    </row>
    <row r="784" spans="20:20" x14ac:dyDescent="0.3">
      <c r="T784">
        <v>30</v>
      </c>
    </row>
    <row r="785" spans="20:20" x14ac:dyDescent="0.3">
      <c r="T785">
        <v>41</v>
      </c>
    </row>
    <row r="786" spans="20:20" x14ac:dyDescent="0.3">
      <c r="T786">
        <v>38</v>
      </c>
    </row>
    <row r="787" spans="20:20" x14ac:dyDescent="0.3">
      <c r="T787">
        <v>40</v>
      </c>
    </row>
    <row r="788" spans="20:20" x14ac:dyDescent="0.3">
      <c r="T788">
        <v>27</v>
      </c>
    </row>
    <row r="789" spans="20:20" x14ac:dyDescent="0.3">
      <c r="T789">
        <v>55</v>
      </c>
    </row>
    <row r="790" spans="20:20" x14ac:dyDescent="0.3">
      <c r="T790">
        <v>28</v>
      </c>
    </row>
    <row r="791" spans="20:20" x14ac:dyDescent="0.3">
      <c r="T791">
        <v>44</v>
      </c>
    </row>
    <row r="792" spans="20:20" x14ac:dyDescent="0.3">
      <c r="T792">
        <v>33</v>
      </c>
    </row>
    <row r="793" spans="20:20" x14ac:dyDescent="0.3">
      <c r="T793">
        <v>35</v>
      </c>
    </row>
    <row r="794" spans="20:20" x14ac:dyDescent="0.3">
      <c r="T794">
        <v>33</v>
      </c>
    </row>
    <row r="795" spans="20:20" x14ac:dyDescent="0.3">
      <c r="T795">
        <v>28</v>
      </c>
    </row>
    <row r="796" spans="20:20" x14ac:dyDescent="0.3">
      <c r="T796">
        <v>34</v>
      </c>
    </row>
    <row r="797" spans="20:20" x14ac:dyDescent="0.3">
      <c r="T797">
        <v>37</v>
      </c>
    </row>
    <row r="798" spans="20:20" x14ac:dyDescent="0.3">
      <c r="T798">
        <v>25</v>
      </c>
    </row>
    <row r="799" spans="20:20" x14ac:dyDescent="0.3">
      <c r="T799">
        <v>26</v>
      </c>
    </row>
    <row r="800" spans="20:20" x14ac:dyDescent="0.3">
      <c r="T800">
        <v>33</v>
      </c>
    </row>
    <row r="801" spans="20:20" x14ac:dyDescent="0.3">
      <c r="T801">
        <v>42</v>
      </c>
    </row>
    <row r="802" spans="20:20" x14ac:dyDescent="0.3">
      <c r="T802">
        <v>28</v>
      </c>
    </row>
    <row r="803" spans="20:20" x14ac:dyDescent="0.3">
      <c r="T803">
        <v>50</v>
      </c>
    </row>
    <row r="804" spans="20:20" x14ac:dyDescent="0.3">
      <c r="T804">
        <v>33</v>
      </c>
    </row>
    <row r="805" spans="20:20" x14ac:dyDescent="0.3">
      <c r="T805">
        <v>34</v>
      </c>
    </row>
    <row r="806" spans="20:20" x14ac:dyDescent="0.3">
      <c r="T806">
        <v>48</v>
      </c>
    </row>
    <row r="807" spans="20:20" x14ac:dyDescent="0.3">
      <c r="T807">
        <v>45</v>
      </c>
    </row>
    <row r="808" spans="20:20" x14ac:dyDescent="0.3">
      <c r="T808">
        <v>52</v>
      </c>
    </row>
    <row r="809" spans="20:20" x14ac:dyDescent="0.3">
      <c r="T809">
        <v>38</v>
      </c>
    </row>
    <row r="810" spans="20:20" x14ac:dyDescent="0.3">
      <c r="T810">
        <v>29</v>
      </c>
    </row>
    <row r="811" spans="20:20" x14ac:dyDescent="0.3">
      <c r="T811">
        <v>28</v>
      </c>
    </row>
    <row r="812" spans="20:20" x14ac:dyDescent="0.3">
      <c r="T812">
        <v>46</v>
      </c>
    </row>
    <row r="813" spans="20:20" x14ac:dyDescent="0.3">
      <c r="T813">
        <v>38</v>
      </c>
    </row>
    <row r="814" spans="20:20" x14ac:dyDescent="0.3">
      <c r="T814">
        <v>43</v>
      </c>
    </row>
    <row r="815" spans="20:20" x14ac:dyDescent="0.3">
      <c r="T815">
        <v>39</v>
      </c>
    </row>
    <row r="816" spans="20:20" x14ac:dyDescent="0.3">
      <c r="T816">
        <v>40</v>
      </c>
    </row>
    <row r="817" spans="20:20" x14ac:dyDescent="0.3">
      <c r="T817">
        <v>21</v>
      </c>
    </row>
    <row r="818" spans="20:20" x14ac:dyDescent="0.3">
      <c r="T818">
        <v>39</v>
      </c>
    </row>
    <row r="819" spans="20:20" x14ac:dyDescent="0.3">
      <c r="T819">
        <v>36</v>
      </c>
    </row>
    <row r="820" spans="20:20" x14ac:dyDescent="0.3">
      <c r="T820">
        <v>31</v>
      </c>
    </row>
    <row r="821" spans="20:20" x14ac:dyDescent="0.3">
      <c r="T821">
        <v>28</v>
      </c>
    </row>
    <row r="822" spans="20:20" x14ac:dyDescent="0.3">
      <c r="T822">
        <v>35</v>
      </c>
    </row>
    <row r="823" spans="20:20" x14ac:dyDescent="0.3">
      <c r="T823">
        <v>49</v>
      </c>
    </row>
    <row r="824" spans="20:20" x14ac:dyDescent="0.3">
      <c r="T824">
        <v>34</v>
      </c>
    </row>
    <row r="825" spans="20:20" x14ac:dyDescent="0.3">
      <c r="T825">
        <v>29</v>
      </c>
    </row>
    <row r="826" spans="20:20" x14ac:dyDescent="0.3">
      <c r="T826">
        <v>42</v>
      </c>
    </row>
    <row r="827" spans="20:20" x14ac:dyDescent="0.3">
      <c r="T827">
        <v>29</v>
      </c>
    </row>
    <row r="828" spans="20:20" x14ac:dyDescent="0.3">
      <c r="T828">
        <v>38</v>
      </c>
    </row>
    <row r="829" spans="20:20" x14ac:dyDescent="0.3">
      <c r="T829">
        <v>28</v>
      </c>
    </row>
    <row r="830" spans="20:20" x14ac:dyDescent="0.3">
      <c r="T830">
        <v>18</v>
      </c>
    </row>
    <row r="831" spans="20:20" x14ac:dyDescent="0.3">
      <c r="T831">
        <v>33</v>
      </c>
    </row>
    <row r="832" spans="20:20" x14ac:dyDescent="0.3">
      <c r="T832">
        <v>41</v>
      </c>
    </row>
    <row r="833" spans="20:20" x14ac:dyDescent="0.3">
      <c r="T833">
        <v>31</v>
      </c>
    </row>
    <row r="834" spans="20:20" x14ac:dyDescent="0.3">
      <c r="T834">
        <v>37</v>
      </c>
    </row>
    <row r="835" spans="20:20" x14ac:dyDescent="0.3">
      <c r="T835">
        <v>27</v>
      </c>
    </row>
    <row r="836" spans="20:20" x14ac:dyDescent="0.3">
      <c r="T836">
        <v>34</v>
      </c>
    </row>
    <row r="837" spans="20:20" x14ac:dyDescent="0.3">
      <c r="T837">
        <v>35</v>
      </c>
    </row>
    <row r="838" spans="20:20" x14ac:dyDescent="0.3">
      <c r="T838">
        <v>29</v>
      </c>
    </row>
    <row r="839" spans="20:20" x14ac:dyDescent="0.3">
      <c r="T839">
        <v>40</v>
      </c>
    </row>
    <row r="840" spans="20:20" x14ac:dyDescent="0.3">
      <c r="T840">
        <v>42</v>
      </c>
    </row>
    <row r="841" spans="20:20" x14ac:dyDescent="0.3">
      <c r="T841">
        <v>42</v>
      </c>
    </row>
    <row r="842" spans="20:20" x14ac:dyDescent="0.3">
      <c r="T842">
        <v>35</v>
      </c>
    </row>
    <row r="843" spans="20:20" x14ac:dyDescent="0.3">
      <c r="T843">
        <v>24</v>
      </c>
    </row>
    <row r="844" spans="20:20" x14ac:dyDescent="0.3">
      <c r="T844">
        <v>28</v>
      </c>
    </row>
    <row r="845" spans="20:20" x14ac:dyDescent="0.3">
      <c r="T845">
        <v>26</v>
      </c>
    </row>
    <row r="846" spans="20:20" x14ac:dyDescent="0.3">
      <c r="T846">
        <v>30</v>
      </c>
    </row>
    <row r="847" spans="20:20" x14ac:dyDescent="0.3">
      <c r="T847">
        <v>40</v>
      </c>
    </row>
    <row r="848" spans="20:20" x14ac:dyDescent="0.3">
      <c r="T848">
        <v>35</v>
      </c>
    </row>
    <row r="849" spans="20:20" x14ac:dyDescent="0.3">
      <c r="T849">
        <v>34</v>
      </c>
    </row>
    <row r="850" spans="20:20" x14ac:dyDescent="0.3">
      <c r="T850">
        <v>35</v>
      </c>
    </row>
    <row r="851" spans="20:20" x14ac:dyDescent="0.3">
      <c r="T851">
        <v>43</v>
      </c>
    </row>
    <row r="852" spans="20:20" x14ac:dyDescent="0.3">
      <c r="T852">
        <v>32</v>
      </c>
    </row>
    <row r="853" spans="20:20" x14ac:dyDescent="0.3">
      <c r="T853">
        <v>56</v>
      </c>
    </row>
    <row r="854" spans="20:20" x14ac:dyDescent="0.3">
      <c r="T854">
        <v>29</v>
      </c>
    </row>
    <row r="855" spans="20:20" x14ac:dyDescent="0.3">
      <c r="T855">
        <v>19</v>
      </c>
    </row>
    <row r="856" spans="20:20" x14ac:dyDescent="0.3">
      <c r="T856">
        <v>45</v>
      </c>
    </row>
    <row r="857" spans="20:20" x14ac:dyDescent="0.3">
      <c r="T857">
        <v>37</v>
      </c>
    </row>
    <row r="858" spans="20:20" x14ac:dyDescent="0.3">
      <c r="T858">
        <v>20</v>
      </c>
    </row>
    <row r="859" spans="20:20" x14ac:dyDescent="0.3">
      <c r="T859">
        <v>44</v>
      </c>
    </row>
    <row r="860" spans="20:20" x14ac:dyDescent="0.3">
      <c r="T860">
        <v>53</v>
      </c>
    </row>
    <row r="861" spans="20:20" x14ac:dyDescent="0.3">
      <c r="T861">
        <v>29</v>
      </c>
    </row>
    <row r="862" spans="20:20" x14ac:dyDescent="0.3">
      <c r="T862">
        <v>22</v>
      </c>
    </row>
    <row r="863" spans="20:20" x14ac:dyDescent="0.3">
      <c r="T863">
        <v>46</v>
      </c>
    </row>
    <row r="864" spans="20:20" x14ac:dyDescent="0.3">
      <c r="T864">
        <v>44</v>
      </c>
    </row>
    <row r="865" spans="20:20" x14ac:dyDescent="0.3">
      <c r="T865">
        <v>33</v>
      </c>
    </row>
    <row r="866" spans="20:20" x14ac:dyDescent="0.3">
      <c r="T866">
        <v>41</v>
      </c>
    </row>
    <row r="867" spans="20:20" x14ac:dyDescent="0.3">
      <c r="T867">
        <v>30</v>
      </c>
    </row>
    <row r="868" spans="20:20" x14ac:dyDescent="0.3">
      <c r="T868">
        <v>40</v>
      </c>
    </row>
    <row r="869" spans="20:20" x14ac:dyDescent="0.3">
      <c r="T869">
        <v>50</v>
      </c>
    </row>
    <row r="870" spans="20:20" x14ac:dyDescent="0.3">
      <c r="T870">
        <v>28</v>
      </c>
    </row>
    <row r="871" spans="20:20" x14ac:dyDescent="0.3">
      <c r="T871">
        <v>46</v>
      </c>
    </row>
    <row r="872" spans="20:20" x14ac:dyDescent="0.3">
      <c r="T872">
        <v>35</v>
      </c>
    </row>
    <row r="873" spans="20:20" x14ac:dyDescent="0.3">
      <c r="T873">
        <v>24</v>
      </c>
    </row>
    <row r="874" spans="20:20" x14ac:dyDescent="0.3">
      <c r="T874">
        <v>33</v>
      </c>
    </row>
    <row r="875" spans="20:20" x14ac:dyDescent="0.3">
      <c r="T875">
        <v>36</v>
      </c>
    </row>
    <row r="876" spans="20:20" x14ac:dyDescent="0.3">
      <c r="T876">
        <v>30</v>
      </c>
    </row>
    <row r="877" spans="20:20" x14ac:dyDescent="0.3">
      <c r="T877">
        <v>44</v>
      </c>
    </row>
    <row r="878" spans="20:20" x14ac:dyDescent="0.3">
      <c r="T878">
        <v>20</v>
      </c>
    </row>
    <row r="879" spans="20:20" x14ac:dyDescent="0.3">
      <c r="T879">
        <v>46</v>
      </c>
    </row>
    <row r="880" spans="20:20" x14ac:dyDescent="0.3">
      <c r="T880">
        <v>42</v>
      </c>
    </row>
    <row r="881" spans="20:20" x14ac:dyDescent="0.3">
      <c r="T881">
        <v>60</v>
      </c>
    </row>
    <row r="882" spans="20:20" x14ac:dyDescent="0.3">
      <c r="T882">
        <v>32</v>
      </c>
    </row>
    <row r="883" spans="20:20" x14ac:dyDescent="0.3">
      <c r="T883">
        <v>32</v>
      </c>
    </row>
    <row r="884" spans="20:20" x14ac:dyDescent="0.3">
      <c r="T884">
        <v>36</v>
      </c>
    </row>
    <row r="885" spans="20:20" x14ac:dyDescent="0.3">
      <c r="T885">
        <v>33</v>
      </c>
    </row>
    <row r="886" spans="20:20" x14ac:dyDescent="0.3">
      <c r="T886">
        <v>40</v>
      </c>
    </row>
    <row r="887" spans="20:20" x14ac:dyDescent="0.3">
      <c r="T887">
        <v>25</v>
      </c>
    </row>
    <row r="888" spans="20:20" x14ac:dyDescent="0.3">
      <c r="T888">
        <v>30</v>
      </c>
    </row>
    <row r="889" spans="20:20" x14ac:dyDescent="0.3">
      <c r="T889">
        <v>42</v>
      </c>
    </row>
    <row r="890" spans="20:20" x14ac:dyDescent="0.3">
      <c r="T890">
        <v>35</v>
      </c>
    </row>
    <row r="891" spans="20:20" x14ac:dyDescent="0.3">
      <c r="T891">
        <v>27</v>
      </c>
    </row>
    <row r="892" spans="20:20" x14ac:dyDescent="0.3">
      <c r="T892">
        <v>54</v>
      </c>
    </row>
    <row r="893" spans="20:20" x14ac:dyDescent="0.3">
      <c r="T893">
        <v>44</v>
      </c>
    </row>
    <row r="894" spans="20:20" x14ac:dyDescent="0.3">
      <c r="T894">
        <v>19</v>
      </c>
    </row>
    <row r="895" spans="20:20" x14ac:dyDescent="0.3">
      <c r="T895">
        <v>29</v>
      </c>
    </row>
    <row r="896" spans="20:20" x14ac:dyDescent="0.3">
      <c r="T896">
        <v>54</v>
      </c>
    </row>
    <row r="897" spans="20:20" x14ac:dyDescent="0.3">
      <c r="T897">
        <v>31</v>
      </c>
    </row>
    <row r="898" spans="20:20" x14ac:dyDescent="0.3">
      <c r="T898">
        <v>31</v>
      </c>
    </row>
    <row r="899" spans="20:20" x14ac:dyDescent="0.3">
      <c r="T899">
        <v>59</v>
      </c>
    </row>
    <row r="900" spans="20:20" x14ac:dyDescent="0.3">
      <c r="T900">
        <v>43</v>
      </c>
    </row>
    <row r="901" spans="20:20" x14ac:dyDescent="0.3">
      <c r="T901">
        <v>49</v>
      </c>
    </row>
    <row r="902" spans="20:20" x14ac:dyDescent="0.3">
      <c r="T902">
        <v>36</v>
      </c>
    </row>
    <row r="903" spans="20:20" x14ac:dyDescent="0.3">
      <c r="T903">
        <v>48</v>
      </c>
    </row>
    <row r="904" spans="20:20" x14ac:dyDescent="0.3">
      <c r="T904">
        <v>27</v>
      </c>
    </row>
    <row r="905" spans="20:20" x14ac:dyDescent="0.3">
      <c r="T905">
        <v>29</v>
      </c>
    </row>
    <row r="906" spans="20:20" x14ac:dyDescent="0.3">
      <c r="T906">
        <v>48</v>
      </c>
    </row>
    <row r="907" spans="20:20" x14ac:dyDescent="0.3">
      <c r="T907">
        <v>29</v>
      </c>
    </row>
    <row r="908" spans="20:20" x14ac:dyDescent="0.3">
      <c r="T908">
        <v>34</v>
      </c>
    </row>
    <row r="909" spans="20:20" x14ac:dyDescent="0.3">
      <c r="T909">
        <v>44</v>
      </c>
    </row>
    <row r="910" spans="20:20" x14ac:dyDescent="0.3">
      <c r="T910">
        <v>33</v>
      </c>
    </row>
    <row r="911" spans="20:20" x14ac:dyDescent="0.3">
      <c r="T911">
        <v>19</v>
      </c>
    </row>
    <row r="912" spans="20:20" x14ac:dyDescent="0.3">
      <c r="T912">
        <v>23</v>
      </c>
    </row>
    <row r="913" spans="20:20" x14ac:dyDescent="0.3">
      <c r="T913">
        <v>25</v>
      </c>
    </row>
    <row r="914" spans="20:20" x14ac:dyDescent="0.3">
      <c r="T914">
        <v>26</v>
      </c>
    </row>
    <row r="915" spans="20:20" x14ac:dyDescent="0.3">
      <c r="T915">
        <v>45</v>
      </c>
    </row>
    <row r="916" spans="20:20" x14ac:dyDescent="0.3">
      <c r="T916">
        <v>55</v>
      </c>
    </row>
    <row r="917" spans="20:20" x14ac:dyDescent="0.3">
      <c r="T917">
        <v>21</v>
      </c>
    </row>
    <row r="918" spans="20:20" x14ac:dyDescent="0.3">
      <c r="T918">
        <v>46</v>
      </c>
    </row>
    <row r="919" spans="20:20" x14ac:dyDescent="0.3">
      <c r="T919">
        <v>34</v>
      </c>
    </row>
    <row r="920" spans="20:20" x14ac:dyDescent="0.3">
      <c r="T920">
        <v>51</v>
      </c>
    </row>
    <row r="921" spans="20:20" x14ac:dyDescent="0.3">
      <c r="T921">
        <v>59</v>
      </c>
    </row>
    <row r="922" spans="20:20" x14ac:dyDescent="0.3">
      <c r="T922">
        <v>34</v>
      </c>
    </row>
    <row r="923" spans="20:20" x14ac:dyDescent="0.3">
      <c r="T923">
        <v>28</v>
      </c>
    </row>
    <row r="924" spans="20:20" x14ac:dyDescent="0.3">
      <c r="T924">
        <v>44</v>
      </c>
    </row>
    <row r="925" spans="20:20" x14ac:dyDescent="0.3">
      <c r="T925">
        <v>34</v>
      </c>
    </row>
    <row r="926" spans="20:20" x14ac:dyDescent="0.3">
      <c r="T926">
        <v>35</v>
      </c>
    </row>
    <row r="927" spans="20:20" x14ac:dyDescent="0.3">
      <c r="T927">
        <v>42</v>
      </c>
    </row>
    <row r="928" spans="20:20" x14ac:dyDescent="0.3">
      <c r="T928">
        <v>43</v>
      </c>
    </row>
    <row r="929" spans="20:20" x14ac:dyDescent="0.3">
      <c r="T929">
        <v>36</v>
      </c>
    </row>
    <row r="930" spans="20:20" x14ac:dyDescent="0.3">
      <c r="T930">
        <v>44</v>
      </c>
    </row>
    <row r="931" spans="20:20" x14ac:dyDescent="0.3">
      <c r="T931">
        <v>28</v>
      </c>
    </row>
    <row r="932" spans="20:20" x14ac:dyDescent="0.3">
      <c r="T932">
        <v>51</v>
      </c>
    </row>
    <row r="933" spans="20:20" x14ac:dyDescent="0.3">
      <c r="T933">
        <v>30</v>
      </c>
    </row>
    <row r="934" spans="20:20" x14ac:dyDescent="0.3">
      <c r="T934">
        <v>29</v>
      </c>
    </row>
    <row r="935" spans="20:20" x14ac:dyDescent="0.3">
      <c r="T935">
        <v>28</v>
      </c>
    </row>
    <row r="936" spans="20:20" x14ac:dyDescent="0.3">
      <c r="T936">
        <v>25</v>
      </c>
    </row>
    <row r="937" spans="20:20" x14ac:dyDescent="0.3">
      <c r="T937">
        <v>32</v>
      </c>
    </row>
    <row r="938" spans="20:20" x14ac:dyDescent="0.3">
      <c r="T938">
        <v>45</v>
      </c>
    </row>
    <row r="939" spans="20:20" x14ac:dyDescent="0.3">
      <c r="T939">
        <v>39</v>
      </c>
    </row>
    <row r="940" spans="20:20" x14ac:dyDescent="0.3">
      <c r="T940">
        <v>58</v>
      </c>
    </row>
    <row r="941" spans="20:20" x14ac:dyDescent="0.3">
      <c r="T941">
        <v>32</v>
      </c>
    </row>
    <row r="942" spans="20:20" x14ac:dyDescent="0.3">
      <c r="T942">
        <v>39</v>
      </c>
    </row>
    <row r="943" spans="20:20" x14ac:dyDescent="0.3">
      <c r="T943">
        <v>30</v>
      </c>
    </row>
    <row r="944" spans="20:20" x14ac:dyDescent="0.3">
      <c r="T944">
        <v>36</v>
      </c>
    </row>
    <row r="945" spans="20:20" x14ac:dyDescent="0.3">
      <c r="T945">
        <v>46</v>
      </c>
    </row>
    <row r="946" spans="20:20" x14ac:dyDescent="0.3">
      <c r="T946">
        <v>28</v>
      </c>
    </row>
    <row r="947" spans="20:20" x14ac:dyDescent="0.3">
      <c r="T947">
        <v>50</v>
      </c>
    </row>
    <row r="948" spans="20:20" x14ac:dyDescent="0.3">
      <c r="T948">
        <v>40</v>
      </c>
    </row>
    <row r="949" spans="20:20" x14ac:dyDescent="0.3">
      <c r="T949">
        <v>52</v>
      </c>
    </row>
    <row r="950" spans="20:20" x14ac:dyDescent="0.3">
      <c r="T950">
        <v>30</v>
      </c>
    </row>
    <row r="951" spans="20:20" x14ac:dyDescent="0.3">
      <c r="T951">
        <v>39</v>
      </c>
    </row>
    <row r="952" spans="20:20" x14ac:dyDescent="0.3">
      <c r="T952">
        <v>31</v>
      </c>
    </row>
    <row r="953" spans="20:20" x14ac:dyDescent="0.3">
      <c r="T953">
        <v>41</v>
      </c>
    </row>
    <row r="954" spans="20:20" x14ac:dyDescent="0.3">
      <c r="T954">
        <v>31</v>
      </c>
    </row>
    <row r="955" spans="20:20" x14ac:dyDescent="0.3">
      <c r="T955">
        <v>44</v>
      </c>
    </row>
    <row r="956" spans="20:20" x14ac:dyDescent="0.3">
      <c r="T956">
        <v>42</v>
      </c>
    </row>
    <row r="957" spans="20:20" x14ac:dyDescent="0.3">
      <c r="T957">
        <v>55</v>
      </c>
    </row>
    <row r="958" spans="20:20" x14ac:dyDescent="0.3">
      <c r="T958">
        <v>56</v>
      </c>
    </row>
    <row r="959" spans="20:20" x14ac:dyDescent="0.3">
      <c r="T959">
        <v>40</v>
      </c>
    </row>
    <row r="960" spans="20:20" x14ac:dyDescent="0.3">
      <c r="T960">
        <v>34</v>
      </c>
    </row>
    <row r="961" spans="20:20" x14ac:dyDescent="0.3">
      <c r="T961">
        <v>40</v>
      </c>
    </row>
    <row r="962" spans="20:20" x14ac:dyDescent="0.3">
      <c r="T962">
        <v>41</v>
      </c>
    </row>
    <row r="963" spans="20:20" x14ac:dyDescent="0.3">
      <c r="T963">
        <v>35</v>
      </c>
    </row>
    <row r="964" spans="20:20" x14ac:dyDescent="0.3">
      <c r="T964">
        <v>51</v>
      </c>
    </row>
    <row r="965" spans="20:20" x14ac:dyDescent="0.3">
      <c r="T965">
        <v>38</v>
      </c>
    </row>
    <row r="966" spans="20:20" x14ac:dyDescent="0.3">
      <c r="T966">
        <v>34</v>
      </c>
    </row>
    <row r="967" spans="20:20" x14ac:dyDescent="0.3">
      <c r="T967">
        <v>25</v>
      </c>
    </row>
    <row r="968" spans="20:20" x14ac:dyDescent="0.3">
      <c r="T968">
        <v>58</v>
      </c>
    </row>
    <row r="969" spans="20:20" x14ac:dyDescent="0.3">
      <c r="T969">
        <v>40</v>
      </c>
    </row>
    <row r="970" spans="20:20" x14ac:dyDescent="0.3">
      <c r="T970">
        <v>36</v>
      </c>
    </row>
    <row r="971" spans="20:20" x14ac:dyDescent="0.3">
      <c r="T971">
        <v>48</v>
      </c>
    </row>
    <row r="972" spans="20:20" x14ac:dyDescent="0.3">
      <c r="T972">
        <v>27</v>
      </c>
    </row>
    <row r="973" spans="20:20" x14ac:dyDescent="0.3">
      <c r="T973">
        <v>51</v>
      </c>
    </row>
    <row r="974" spans="20:20" x14ac:dyDescent="0.3">
      <c r="T974">
        <v>18</v>
      </c>
    </row>
    <row r="975" spans="20:20" x14ac:dyDescent="0.3">
      <c r="T975">
        <v>35</v>
      </c>
    </row>
    <row r="976" spans="20:20" x14ac:dyDescent="0.3">
      <c r="T976">
        <v>27</v>
      </c>
    </row>
    <row r="977" spans="20:20" x14ac:dyDescent="0.3">
      <c r="T977">
        <v>55</v>
      </c>
    </row>
    <row r="978" spans="20:20" x14ac:dyDescent="0.3">
      <c r="T978">
        <v>56</v>
      </c>
    </row>
    <row r="979" spans="20:20" x14ac:dyDescent="0.3">
      <c r="T979">
        <v>34</v>
      </c>
    </row>
    <row r="980" spans="20:20" x14ac:dyDescent="0.3">
      <c r="T980">
        <v>40</v>
      </c>
    </row>
    <row r="981" spans="20:20" x14ac:dyDescent="0.3">
      <c r="T981">
        <v>34</v>
      </c>
    </row>
    <row r="982" spans="20:20" x14ac:dyDescent="0.3">
      <c r="T982">
        <v>31</v>
      </c>
    </row>
    <row r="983" spans="20:20" x14ac:dyDescent="0.3">
      <c r="T983">
        <v>35</v>
      </c>
    </row>
    <row r="984" spans="20:20" x14ac:dyDescent="0.3">
      <c r="T984">
        <v>38</v>
      </c>
    </row>
    <row r="985" spans="20:20" x14ac:dyDescent="0.3">
      <c r="T985">
        <v>34</v>
      </c>
    </row>
    <row r="986" spans="20:20" x14ac:dyDescent="0.3">
      <c r="T986">
        <v>28</v>
      </c>
    </row>
    <row r="987" spans="20:20" x14ac:dyDescent="0.3">
      <c r="T987">
        <v>31</v>
      </c>
    </row>
    <row r="988" spans="20:20" x14ac:dyDescent="0.3">
      <c r="T988">
        <v>39</v>
      </c>
    </row>
    <row r="989" spans="20:20" x14ac:dyDescent="0.3">
      <c r="T989">
        <v>51</v>
      </c>
    </row>
    <row r="990" spans="20:20" x14ac:dyDescent="0.3">
      <c r="T990">
        <v>41</v>
      </c>
    </row>
    <row r="991" spans="20:20" x14ac:dyDescent="0.3">
      <c r="T991">
        <v>37</v>
      </c>
    </row>
    <row r="992" spans="20:20" x14ac:dyDescent="0.3">
      <c r="T992">
        <v>33</v>
      </c>
    </row>
    <row r="993" spans="20:20" x14ac:dyDescent="0.3">
      <c r="T993">
        <v>32</v>
      </c>
    </row>
    <row r="994" spans="20:20" x14ac:dyDescent="0.3">
      <c r="T994">
        <v>39</v>
      </c>
    </row>
    <row r="995" spans="20:20" x14ac:dyDescent="0.3">
      <c r="T995">
        <v>25</v>
      </c>
    </row>
    <row r="996" spans="20:20" x14ac:dyDescent="0.3">
      <c r="T996">
        <v>52</v>
      </c>
    </row>
    <row r="997" spans="20:20" x14ac:dyDescent="0.3">
      <c r="T997">
        <v>43</v>
      </c>
    </row>
    <row r="998" spans="20:20" x14ac:dyDescent="0.3">
      <c r="T998">
        <v>27</v>
      </c>
    </row>
    <row r="999" spans="20:20" x14ac:dyDescent="0.3">
      <c r="T999">
        <v>27</v>
      </c>
    </row>
    <row r="1000" spans="20:20" x14ac:dyDescent="0.3">
      <c r="T1000">
        <v>26</v>
      </c>
    </row>
    <row r="1001" spans="20:20" x14ac:dyDescent="0.3">
      <c r="T1001">
        <v>42</v>
      </c>
    </row>
    <row r="1002" spans="20:20" x14ac:dyDescent="0.3">
      <c r="T1002">
        <v>52</v>
      </c>
    </row>
    <row r="1003" spans="20:20" x14ac:dyDescent="0.3">
      <c r="T1003">
        <v>37</v>
      </c>
    </row>
    <row r="1004" spans="20:20" x14ac:dyDescent="0.3">
      <c r="T1004">
        <v>35</v>
      </c>
    </row>
    <row r="1005" spans="20:20" x14ac:dyDescent="0.3">
      <c r="T1005">
        <v>25</v>
      </c>
    </row>
    <row r="1006" spans="20:20" x14ac:dyDescent="0.3">
      <c r="T1006">
        <v>26</v>
      </c>
    </row>
    <row r="1007" spans="20:20" x14ac:dyDescent="0.3">
      <c r="T1007">
        <v>29</v>
      </c>
    </row>
    <row r="1008" spans="20:20" x14ac:dyDescent="0.3">
      <c r="T1008">
        <v>49</v>
      </c>
    </row>
    <row r="1009" spans="20:20" x14ac:dyDescent="0.3">
      <c r="T1009">
        <v>29</v>
      </c>
    </row>
    <row r="1010" spans="20:20" x14ac:dyDescent="0.3">
      <c r="T1010">
        <v>54</v>
      </c>
    </row>
    <row r="1011" spans="20:20" x14ac:dyDescent="0.3">
      <c r="T1011">
        <v>58</v>
      </c>
    </row>
    <row r="1012" spans="20:20" x14ac:dyDescent="0.3">
      <c r="T1012">
        <v>55</v>
      </c>
    </row>
    <row r="1013" spans="20:20" x14ac:dyDescent="0.3">
      <c r="T1013">
        <v>36</v>
      </c>
    </row>
    <row r="1014" spans="20:20" x14ac:dyDescent="0.3">
      <c r="T1014">
        <v>31</v>
      </c>
    </row>
    <row r="1015" spans="20:20" x14ac:dyDescent="0.3">
      <c r="T1015">
        <v>30</v>
      </c>
    </row>
    <row r="1016" spans="20:20" x14ac:dyDescent="0.3">
      <c r="T1016">
        <v>31</v>
      </c>
    </row>
    <row r="1017" spans="20:20" x14ac:dyDescent="0.3">
      <c r="T1017">
        <v>34</v>
      </c>
    </row>
    <row r="1018" spans="20:20" x14ac:dyDescent="0.3">
      <c r="T1018">
        <v>31</v>
      </c>
    </row>
    <row r="1019" spans="20:20" x14ac:dyDescent="0.3">
      <c r="T1019">
        <v>27</v>
      </c>
    </row>
    <row r="1020" spans="20:20" x14ac:dyDescent="0.3">
      <c r="T1020">
        <v>36</v>
      </c>
    </row>
    <row r="1021" spans="20:20" x14ac:dyDescent="0.3">
      <c r="T1021">
        <v>36</v>
      </c>
    </row>
    <row r="1022" spans="20:20" x14ac:dyDescent="0.3">
      <c r="T1022">
        <v>47</v>
      </c>
    </row>
    <row r="1023" spans="20:20" x14ac:dyDescent="0.3">
      <c r="T1023">
        <v>25</v>
      </c>
    </row>
    <row r="1024" spans="20:20" x14ac:dyDescent="0.3">
      <c r="T1024">
        <v>37</v>
      </c>
    </row>
    <row r="1025" spans="20:20" x14ac:dyDescent="0.3">
      <c r="T1025">
        <v>56</v>
      </c>
    </row>
    <row r="1026" spans="20:20" x14ac:dyDescent="0.3">
      <c r="T1026">
        <v>47</v>
      </c>
    </row>
    <row r="1027" spans="20:20" x14ac:dyDescent="0.3">
      <c r="T1027">
        <v>24</v>
      </c>
    </row>
    <row r="1028" spans="20:20" x14ac:dyDescent="0.3">
      <c r="T1028">
        <v>32</v>
      </c>
    </row>
    <row r="1029" spans="20:20" x14ac:dyDescent="0.3">
      <c r="T1029">
        <v>34</v>
      </c>
    </row>
    <row r="1030" spans="20:20" x14ac:dyDescent="0.3">
      <c r="T1030">
        <v>41</v>
      </c>
    </row>
    <row r="1031" spans="20:20" x14ac:dyDescent="0.3">
      <c r="T1031">
        <v>40</v>
      </c>
    </row>
    <row r="1032" spans="20:20" x14ac:dyDescent="0.3">
      <c r="T1032">
        <v>31</v>
      </c>
    </row>
    <row r="1033" spans="20:20" x14ac:dyDescent="0.3">
      <c r="T1033">
        <v>46</v>
      </c>
    </row>
    <row r="1034" spans="20:20" x14ac:dyDescent="0.3">
      <c r="T1034">
        <v>39</v>
      </c>
    </row>
    <row r="1035" spans="20:20" x14ac:dyDescent="0.3">
      <c r="T1035">
        <v>31</v>
      </c>
    </row>
    <row r="1036" spans="20:20" x14ac:dyDescent="0.3">
      <c r="T1036">
        <v>45</v>
      </c>
    </row>
    <row r="1037" spans="20:20" x14ac:dyDescent="0.3">
      <c r="T1037">
        <v>31</v>
      </c>
    </row>
    <row r="1038" spans="20:20" x14ac:dyDescent="0.3">
      <c r="T1038">
        <v>31</v>
      </c>
    </row>
    <row r="1039" spans="20:20" x14ac:dyDescent="0.3">
      <c r="T1039">
        <v>45</v>
      </c>
    </row>
    <row r="1040" spans="20:20" x14ac:dyDescent="0.3">
      <c r="T1040">
        <v>48</v>
      </c>
    </row>
    <row r="1041" spans="20:20" x14ac:dyDescent="0.3">
      <c r="T1041">
        <v>34</v>
      </c>
    </row>
    <row r="1042" spans="20:20" x14ac:dyDescent="0.3">
      <c r="T1042">
        <v>40</v>
      </c>
    </row>
    <row r="1043" spans="20:20" x14ac:dyDescent="0.3">
      <c r="T1043">
        <v>28</v>
      </c>
    </row>
    <row r="1044" spans="20:20" x14ac:dyDescent="0.3">
      <c r="T1044">
        <v>44</v>
      </c>
    </row>
    <row r="1045" spans="20:20" x14ac:dyDescent="0.3">
      <c r="T1045">
        <v>53</v>
      </c>
    </row>
    <row r="1046" spans="20:20" x14ac:dyDescent="0.3">
      <c r="T1046">
        <v>49</v>
      </c>
    </row>
    <row r="1047" spans="20:20" x14ac:dyDescent="0.3">
      <c r="T1047">
        <v>40</v>
      </c>
    </row>
    <row r="1048" spans="20:20" x14ac:dyDescent="0.3">
      <c r="T1048">
        <v>44</v>
      </c>
    </row>
    <row r="1049" spans="20:20" x14ac:dyDescent="0.3">
      <c r="T1049">
        <v>33</v>
      </c>
    </row>
    <row r="1050" spans="20:20" x14ac:dyDescent="0.3">
      <c r="T1050">
        <v>34</v>
      </c>
    </row>
    <row r="1051" spans="20:20" x14ac:dyDescent="0.3">
      <c r="T1051">
        <v>30</v>
      </c>
    </row>
    <row r="1052" spans="20:20" x14ac:dyDescent="0.3">
      <c r="T1052">
        <v>42</v>
      </c>
    </row>
    <row r="1053" spans="20:20" x14ac:dyDescent="0.3">
      <c r="T1053">
        <v>44</v>
      </c>
    </row>
    <row r="1054" spans="20:20" x14ac:dyDescent="0.3">
      <c r="T1054">
        <v>30</v>
      </c>
    </row>
    <row r="1055" spans="20:20" x14ac:dyDescent="0.3">
      <c r="T1055">
        <v>57</v>
      </c>
    </row>
    <row r="1056" spans="20:20" x14ac:dyDescent="0.3">
      <c r="T1056">
        <v>49</v>
      </c>
    </row>
    <row r="1057" spans="20:20" x14ac:dyDescent="0.3">
      <c r="T1057">
        <v>34</v>
      </c>
    </row>
    <row r="1058" spans="20:20" x14ac:dyDescent="0.3">
      <c r="T1058">
        <v>28</v>
      </c>
    </row>
    <row r="1059" spans="20:20" x14ac:dyDescent="0.3">
      <c r="T1059">
        <v>29</v>
      </c>
    </row>
    <row r="1060" spans="20:20" x14ac:dyDescent="0.3">
      <c r="T1060">
        <v>34</v>
      </c>
    </row>
    <row r="1061" spans="20:20" x14ac:dyDescent="0.3">
      <c r="T1061">
        <v>35</v>
      </c>
    </row>
    <row r="1062" spans="20:20" x14ac:dyDescent="0.3">
      <c r="T1062">
        <v>24</v>
      </c>
    </row>
    <row r="1063" spans="20:20" x14ac:dyDescent="0.3">
      <c r="T1063">
        <v>24</v>
      </c>
    </row>
    <row r="1064" spans="20:20" x14ac:dyDescent="0.3">
      <c r="T1064">
        <v>44</v>
      </c>
    </row>
    <row r="1065" spans="20:20" x14ac:dyDescent="0.3">
      <c r="T1065">
        <v>29</v>
      </c>
    </row>
    <row r="1066" spans="20:20" x14ac:dyDescent="0.3">
      <c r="T1066">
        <v>30</v>
      </c>
    </row>
    <row r="1067" spans="20:20" x14ac:dyDescent="0.3">
      <c r="T1067">
        <v>55</v>
      </c>
    </row>
    <row r="1068" spans="20:20" x14ac:dyDescent="0.3">
      <c r="T1068">
        <v>33</v>
      </c>
    </row>
    <row r="1069" spans="20:20" x14ac:dyDescent="0.3">
      <c r="T1069">
        <v>47</v>
      </c>
    </row>
    <row r="1070" spans="20:20" x14ac:dyDescent="0.3">
      <c r="T1070">
        <v>28</v>
      </c>
    </row>
    <row r="1071" spans="20:20" x14ac:dyDescent="0.3">
      <c r="T1071">
        <v>28</v>
      </c>
    </row>
    <row r="1072" spans="20:20" x14ac:dyDescent="0.3">
      <c r="T1072">
        <v>28</v>
      </c>
    </row>
    <row r="1073" spans="20:20" x14ac:dyDescent="0.3">
      <c r="T1073">
        <v>49</v>
      </c>
    </row>
    <row r="1074" spans="20:20" x14ac:dyDescent="0.3">
      <c r="T1074">
        <v>29</v>
      </c>
    </row>
    <row r="1075" spans="20:20" x14ac:dyDescent="0.3">
      <c r="T1075">
        <v>28</v>
      </c>
    </row>
    <row r="1076" spans="20:20" x14ac:dyDescent="0.3">
      <c r="T1076">
        <v>33</v>
      </c>
    </row>
    <row r="1077" spans="20:20" x14ac:dyDescent="0.3">
      <c r="T1077">
        <v>32</v>
      </c>
    </row>
    <row r="1078" spans="20:20" x14ac:dyDescent="0.3">
      <c r="T1078">
        <v>54</v>
      </c>
    </row>
    <row r="1079" spans="20:20" x14ac:dyDescent="0.3">
      <c r="T1079">
        <v>29</v>
      </c>
    </row>
    <row r="1080" spans="20:20" x14ac:dyDescent="0.3">
      <c r="T1080">
        <v>44</v>
      </c>
    </row>
    <row r="1081" spans="20:20" x14ac:dyDescent="0.3">
      <c r="T1081">
        <v>39</v>
      </c>
    </row>
    <row r="1082" spans="20:20" x14ac:dyDescent="0.3">
      <c r="T1082">
        <v>46</v>
      </c>
    </row>
    <row r="1083" spans="20:20" x14ac:dyDescent="0.3">
      <c r="T1083">
        <v>35</v>
      </c>
    </row>
    <row r="1084" spans="20:20" x14ac:dyDescent="0.3">
      <c r="T1084">
        <v>23</v>
      </c>
    </row>
    <row r="1085" spans="20:20" x14ac:dyDescent="0.3">
      <c r="T1085">
        <v>40</v>
      </c>
    </row>
    <row r="1086" spans="20:20" x14ac:dyDescent="0.3">
      <c r="T1086">
        <v>34</v>
      </c>
    </row>
    <row r="1087" spans="20:20" x14ac:dyDescent="0.3">
      <c r="T1087">
        <v>31</v>
      </c>
    </row>
    <row r="1088" spans="20:20" x14ac:dyDescent="0.3">
      <c r="T1088">
        <v>50</v>
      </c>
    </row>
    <row r="1089" spans="20:20" x14ac:dyDescent="0.3">
      <c r="T1089">
        <v>34</v>
      </c>
    </row>
    <row r="1090" spans="20:20" x14ac:dyDescent="0.3">
      <c r="T1090">
        <v>42</v>
      </c>
    </row>
    <row r="1091" spans="20:20" x14ac:dyDescent="0.3">
      <c r="T1091">
        <v>37</v>
      </c>
    </row>
    <row r="1092" spans="20:20" x14ac:dyDescent="0.3">
      <c r="T1092">
        <v>29</v>
      </c>
    </row>
    <row r="1093" spans="20:20" x14ac:dyDescent="0.3">
      <c r="T1093">
        <v>33</v>
      </c>
    </row>
    <row r="1094" spans="20:20" x14ac:dyDescent="0.3">
      <c r="T1094">
        <v>45</v>
      </c>
    </row>
    <row r="1095" spans="20:20" x14ac:dyDescent="0.3">
      <c r="T1095">
        <v>42</v>
      </c>
    </row>
    <row r="1096" spans="20:20" x14ac:dyDescent="0.3">
      <c r="T1096">
        <v>40</v>
      </c>
    </row>
    <row r="1097" spans="20:20" x14ac:dyDescent="0.3">
      <c r="T1097">
        <v>33</v>
      </c>
    </row>
    <row r="1098" spans="20:20" x14ac:dyDescent="0.3">
      <c r="T1098">
        <v>40</v>
      </c>
    </row>
    <row r="1099" spans="20:20" x14ac:dyDescent="0.3">
      <c r="T1099">
        <v>24</v>
      </c>
    </row>
    <row r="1100" spans="20:20" x14ac:dyDescent="0.3">
      <c r="T1100">
        <v>40</v>
      </c>
    </row>
    <row r="1101" spans="20:20" x14ac:dyDescent="0.3">
      <c r="T1101">
        <v>45</v>
      </c>
    </row>
    <row r="1102" spans="20:20" x14ac:dyDescent="0.3">
      <c r="T1102">
        <v>35</v>
      </c>
    </row>
    <row r="1103" spans="20:20" x14ac:dyDescent="0.3">
      <c r="T1103">
        <v>32</v>
      </c>
    </row>
    <row r="1104" spans="20:20" x14ac:dyDescent="0.3">
      <c r="T1104">
        <v>36</v>
      </c>
    </row>
    <row r="1105" spans="20:20" x14ac:dyDescent="0.3">
      <c r="T1105">
        <v>48</v>
      </c>
    </row>
    <row r="1106" spans="20:20" x14ac:dyDescent="0.3">
      <c r="T1106">
        <v>29</v>
      </c>
    </row>
    <row r="1107" spans="20:20" x14ac:dyDescent="0.3">
      <c r="T1107">
        <v>33</v>
      </c>
    </row>
    <row r="1108" spans="20:20" x14ac:dyDescent="0.3">
      <c r="T1108">
        <v>30</v>
      </c>
    </row>
    <row r="1109" spans="20:20" x14ac:dyDescent="0.3">
      <c r="T1109">
        <v>38</v>
      </c>
    </row>
    <row r="1110" spans="20:20" x14ac:dyDescent="0.3">
      <c r="T1110">
        <v>35</v>
      </c>
    </row>
    <row r="1111" spans="20:20" x14ac:dyDescent="0.3">
      <c r="T1111">
        <v>30</v>
      </c>
    </row>
    <row r="1112" spans="20:20" x14ac:dyDescent="0.3">
      <c r="T1112">
        <v>35</v>
      </c>
    </row>
    <row r="1113" spans="20:20" x14ac:dyDescent="0.3">
      <c r="T1113">
        <v>53</v>
      </c>
    </row>
    <row r="1114" spans="20:20" x14ac:dyDescent="0.3">
      <c r="T1114">
        <v>38</v>
      </c>
    </row>
    <row r="1115" spans="20:20" x14ac:dyDescent="0.3">
      <c r="T1115">
        <v>32</v>
      </c>
    </row>
    <row r="1116" spans="20:20" x14ac:dyDescent="0.3">
      <c r="T1116">
        <v>48</v>
      </c>
    </row>
    <row r="1117" spans="20:20" x14ac:dyDescent="0.3">
      <c r="T1117">
        <v>34</v>
      </c>
    </row>
    <row r="1118" spans="20:20" x14ac:dyDescent="0.3">
      <c r="T1118">
        <v>55</v>
      </c>
    </row>
    <row r="1119" spans="20:20" x14ac:dyDescent="0.3">
      <c r="T1119">
        <v>34</v>
      </c>
    </row>
    <row r="1120" spans="20:20" x14ac:dyDescent="0.3">
      <c r="T1120">
        <v>26</v>
      </c>
    </row>
    <row r="1121" spans="20:20" x14ac:dyDescent="0.3">
      <c r="T1121">
        <v>38</v>
      </c>
    </row>
    <row r="1122" spans="20:20" x14ac:dyDescent="0.3">
      <c r="T1122">
        <v>38</v>
      </c>
    </row>
    <row r="1123" spans="20:20" x14ac:dyDescent="0.3">
      <c r="T1123">
        <v>36</v>
      </c>
    </row>
    <row r="1124" spans="20:20" x14ac:dyDescent="0.3">
      <c r="T1124">
        <v>29</v>
      </c>
    </row>
    <row r="1125" spans="20:20" x14ac:dyDescent="0.3">
      <c r="T1125">
        <v>35</v>
      </c>
    </row>
    <row r="1126" spans="20:20" x14ac:dyDescent="0.3">
      <c r="T1126">
        <v>39</v>
      </c>
    </row>
    <row r="1127" spans="20:20" x14ac:dyDescent="0.3">
      <c r="T1127">
        <v>29</v>
      </c>
    </row>
    <row r="1128" spans="20:20" x14ac:dyDescent="0.3">
      <c r="T1128">
        <v>50</v>
      </c>
    </row>
    <row r="1129" spans="20:20" x14ac:dyDescent="0.3">
      <c r="T1129">
        <v>23</v>
      </c>
    </row>
    <row r="1130" spans="20:20" x14ac:dyDescent="0.3">
      <c r="T1130">
        <v>36</v>
      </c>
    </row>
    <row r="1131" spans="20:20" x14ac:dyDescent="0.3">
      <c r="T1131">
        <v>42</v>
      </c>
    </row>
    <row r="1132" spans="20:20" x14ac:dyDescent="0.3">
      <c r="T1132">
        <v>35</v>
      </c>
    </row>
    <row r="1133" spans="20:20" x14ac:dyDescent="0.3">
      <c r="T1133">
        <v>34</v>
      </c>
    </row>
    <row r="1134" spans="20:20" x14ac:dyDescent="0.3">
      <c r="T1134">
        <v>40</v>
      </c>
    </row>
    <row r="1135" spans="20:20" x14ac:dyDescent="0.3">
      <c r="T1135">
        <v>43</v>
      </c>
    </row>
    <row r="1136" spans="20:20" x14ac:dyDescent="0.3">
      <c r="T1136">
        <v>35</v>
      </c>
    </row>
    <row r="1137" spans="20:20" x14ac:dyDescent="0.3">
      <c r="T1137">
        <v>46</v>
      </c>
    </row>
    <row r="1138" spans="20:20" x14ac:dyDescent="0.3">
      <c r="T1138">
        <v>28</v>
      </c>
    </row>
    <row r="1139" spans="20:20" x14ac:dyDescent="0.3">
      <c r="T1139">
        <v>22</v>
      </c>
    </row>
    <row r="1140" spans="20:20" x14ac:dyDescent="0.3">
      <c r="T1140">
        <v>50</v>
      </c>
    </row>
    <row r="1141" spans="20:20" x14ac:dyDescent="0.3">
      <c r="T1141">
        <v>32</v>
      </c>
    </row>
    <row r="1142" spans="20:20" x14ac:dyDescent="0.3">
      <c r="T1142">
        <v>44</v>
      </c>
    </row>
    <row r="1143" spans="20:20" x14ac:dyDescent="0.3">
      <c r="T1143">
        <v>30</v>
      </c>
    </row>
    <row r="1144" spans="20:20" x14ac:dyDescent="0.3">
      <c r="T1144">
        <v>45</v>
      </c>
    </row>
    <row r="1145" spans="20:20" x14ac:dyDescent="0.3">
      <c r="T1145">
        <v>45</v>
      </c>
    </row>
    <row r="1146" spans="20:20" x14ac:dyDescent="0.3">
      <c r="T1146">
        <v>31</v>
      </c>
    </row>
    <row r="1147" spans="20:20" x14ac:dyDescent="0.3">
      <c r="T1147">
        <v>36</v>
      </c>
    </row>
    <row r="1148" spans="20:20" x14ac:dyDescent="0.3">
      <c r="T1148">
        <v>34</v>
      </c>
    </row>
    <row r="1149" spans="20:20" x14ac:dyDescent="0.3">
      <c r="T1149">
        <v>49</v>
      </c>
    </row>
    <row r="1150" spans="20:20" x14ac:dyDescent="0.3">
      <c r="T1150">
        <v>39</v>
      </c>
    </row>
    <row r="1151" spans="20:20" x14ac:dyDescent="0.3">
      <c r="T1151">
        <v>27</v>
      </c>
    </row>
    <row r="1152" spans="20:20" x14ac:dyDescent="0.3">
      <c r="T1152">
        <v>35</v>
      </c>
    </row>
    <row r="1153" spans="20:20" x14ac:dyDescent="0.3">
      <c r="T1153">
        <v>28</v>
      </c>
    </row>
    <row r="1154" spans="20:20" x14ac:dyDescent="0.3">
      <c r="T1154">
        <v>21</v>
      </c>
    </row>
    <row r="1155" spans="20:20" x14ac:dyDescent="0.3">
      <c r="T1155">
        <v>18</v>
      </c>
    </row>
    <row r="1156" spans="20:20" x14ac:dyDescent="0.3">
      <c r="T1156">
        <v>47</v>
      </c>
    </row>
    <row r="1157" spans="20:20" x14ac:dyDescent="0.3">
      <c r="T1157">
        <v>39</v>
      </c>
    </row>
    <row r="1158" spans="20:20" x14ac:dyDescent="0.3">
      <c r="T1158">
        <v>40</v>
      </c>
    </row>
    <row r="1159" spans="20:20" x14ac:dyDescent="0.3">
      <c r="T1159">
        <v>35</v>
      </c>
    </row>
    <row r="1160" spans="20:20" x14ac:dyDescent="0.3">
      <c r="T1160">
        <v>37</v>
      </c>
    </row>
    <row r="1161" spans="20:20" x14ac:dyDescent="0.3">
      <c r="T1161">
        <v>39</v>
      </c>
    </row>
    <row r="1162" spans="20:20" x14ac:dyDescent="0.3">
      <c r="T1162">
        <v>45</v>
      </c>
    </row>
    <row r="1163" spans="20:20" x14ac:dyDescent="0.3">
      <c r="T1163">
        <v>38</v>
      </c>
    </row>
    <row r="1164" spans="20:20" x14ac:dyDescent="0.3">
      <c r="T1164">
        <v>35</v>
      </c>
    </row>
    <row r="1165" spans="20:20" x14ac:dyDescent="0.3">
      <c r="T1165">
        <v>37</v>
      </c>
    </row>
    <row r="1166" spans="20:20" x14ac:dyDescent="0.3">
      <c r="T1166">
        <v>40</v>
      </c>
    </row>
    <row r="1167" spans="20:20" x14ac:dyDescent="0.3">
      <c r="T1167">
        <v>44</v>
      </c>
    </row>
    <row r="1168" spans="20:20" x14ac:dyDescent="0.3">
      <c r="T1168">
        <v>48</v>
      </c>
    </row>
    <row r="1169" spans="20:20" x14ac:dyDescent="0.3">
      <c r="T1169">
        <v>35</v>
      </c>
    </row>
    <row r="1170" spans="20:20" x14ac:dyDescent="0.3">
      <c r="T1170">
        <v>24</v>
      </c>
    </row>
    <row r="1171" spans="20:20" x14ac:dyDescent="0.3">
      <c r="T1171">
        <v>27</v>
      </c>
    </row>
    <row r="1172" spans="20:20" x14ac:dyDescent="0.3">
      <c r="T1172">
        <v>27</v>
      </c>
    </row>
    <row r="1173" spans="20:20" x14ac:dyDescent="0.3">
      <c r="T1173">
        <v>40</v>
      </c>
    </row>
    <row r="1174" spans="20:20" x14ac:dyDescent="0.3">
      <c r="T1174">
        <v>29</v>
      </c>
    </row>
    <row r="1175" spans="20:20" x14ac:dyDescent="0.3">
      <c r="T1175">
        <v>36</v>
      </c>
    </row>
    <row r="1176" spans="20:20" x14ac:dyDescent="0.3">
      <c r="T1176">
        <v>25</v>
      </c>
    </row>
    <row r="1177" spans="20:20" x14ac:dyDescent="0.3">
      <c r="T1177">
        <v>39</v>
      </c>
    </row>
    <row r="1178" spans="20:20" x14ac:dyDescent="0.3">
      <c r="T1178">
        <v>49</v>
      </c>
    </row>
    <row r="1179" spans="20:20" x14ac:dyDescent="0.3">
      <c r="T1179">
        <v>50</v>
      </c>
    </row>
    <row r="1180" spans="20:20" x14ac:dyDescent="0.3">
      <c r="T1180">
        <v>20</v>
      </c>
    </row>
    <row r="1181" spans="20:20" x14ac:dyDescent="0.3">
      <c r="T1181">
        <v>34</v>
      </c>
    </row>
    <row r="1182" spans="20:20" x14ac:dyDescent="0.3">
      <c r="T1182">
        <v>36</v>
      </c>
    </row>
    <row r="1183" spans="20:20" x14ac:dyDescent="0.3">
      <c r="T1183">
        <v>49</v>
      </c>
    </row>
    <row r="1184" spans="20:20" x14ac:dyDescent="0.3">
      <c r="T1184">
        <v>36</v>
      </c>
    </row>
    <row r="1185" spans="20:20" x14ac:dyDescent="0.3">
      <c r="T1185">
        <v>36</v>
      </c>
    </row>
    <row r="1186" spans="20:20" x14ac:dyDescent="0.3">
      <c r="T1186">
        <v>54</v>
      </c>
    </row>
    <row r="1187" spans="20:20" x14ac:dyDescent="0.3">
      <c r="T1187">
        <v>43</v>
      </c>
    </row>
    <row r="1188" spans="20:20" x14ac:dyDescent="0.3">
      <c r="T1188">
        <v>35</v>
      </c>
    </row>
    <row r="1189" spans="20:20" x14ac:dyDescent="0.3">
      <c r="T1189">
        <v>38</v>
      </c>
    </row>
    <row r="1190" spans="20:20" x14ac:dyDescent="0.3">
      <c r="T1190">
        <v>29</v>
      </c>
    </row>
    <row r="1191" spans="20:20" x14ac:dyDescent="0.3">
      <c r="T1191">
        <v>33</v>
      </c>
    </row>
    <row r="1192" spans="20:20" x14ac:dyDescent="0.3">
      <c r="T1192">
        <v>32</v>
      </c>
    </row>
    <row r="1193" spans="20:20" x14ac:dyDescent="0.3">
      <c r="T1193">
        <v>31</v>
      </c>
    </row>
    <row r="1194" spans="20:20" x14ac:dyDescent="0.3">
      <c r="T1194">
        <v>49</v>
      </c>
    </row>
    <row r="1195" spans="20:20" x14ac:dyDescent="0.3">
      <c r="T1195">
        <v>38</v>
      </c>
    </row>
    <row r="1196" spans="20:20" x14ac:dyDescent="0.3">
      <c r="T1196">
        <v>47</v>
      </c>
    </row>
    <row r="1197" spans="20:20" x14ac:dyDescent="0.3">
      <c r="T1197">
        <v>49</v>
      </c>
    </row>
    <row r="1198" spans="20:20" x14ac:dyDescent="0.3">
      <c r="T1198">
        <v>41</v>
      </c>
    </row>
    <row r="1199" spans="20:20" x14ac:dyDescent="0.3">
      <c r="T1199">
        <v>20</v>
      </c>
    </row>
    <row r="1200" spans="20:20" x14ac:dyDescent="0.3">
      <c r="T1200">
        <v>33</v>
      </c>
    </row>
    <row r="1201" spans="20:20" x14ac:dyDescent="0.3">
      <c r="T1201">
        <v>36</v>
      </c>
    </row>
    <row r="1202" spans="20:20" x14ac:dyDescent="0.3">
      <c r="T1202">
        <v>44</v>
      </c>
    </row>
    <row r="1203" spans="20:20" x14ac:dyDescent="0.3">
      <c r="T1203">
        <v>23</v>
      </c>
    </row>
    <row r="1204" spans="20:20" x14ac:dyDescent="0.3">
      <c r="T1204">
        <v>38</v>
      </c>
    </row>
    <row r="1205" spans="20:20" x14ac:dyDescent="0.3">
      <c r="T1205">
        <v>53</v>
      </c>
    </row>
    <row r="1206" spans="20:20" x14ac:dyDescent="0.3">
      <c r="T1206">
        <v>48</v>
      </c>
    </row>
    <row r="1207" spans="20:20" x14ac:dyDescent="0.3">
      <c r="T1207">
        <v>32</v>
      </c>
    </row>
    <row r="1208" spans="20:20" x14ac:dyDescent="0.3">
      <c r="T1208">
        <v>26</v>
      </c>
    </row>
    <row r="1209" spans="20:20" x14ac:dyDescent="0.3">
      <c r="T1209">
        <v>55</v>
      </c>
    </row>
    <row r="1210" spans="20:20" x14ac:dyDescent="0.3">
      <c r="T1210">
        <v>34</v>
      </c>
    </row>
    <row r="1211" spans="20:20" x14ac:dyDescent="0.3">
      <c r="T1211">
        <v>60</v>
      </c>
    </row>
    <row r="1212" spans="20:20" x14ac:dyDescent="0.3">
      <c r="T1212">
        <v>33</v>
      </c>
    </row>
    <row r="1213" spans="20:20" x14ac:dyDescent="0.3">
      <c r="T1213">
        <v>37</v>
      </c>
    </row>
    <row r="1214" spans="20:20" x14ac:dyDescent="0.3">
      <c r="T1214">
        <v>34</v>
      </c>
    </row>
    <row r="1215" spans="20:20" x14ac:dyDescent="0.3">
      <c r="T1215">
        <v>23</v>
      </c>
    </row>
    <row r="1216" spans="20:20" x14ac:dyDescent="0.3">
      <c r="T1216">
        <v>44</v>
      </c>
    </row>
    <row r="1217" spans="20:20" x14ac:dyDescent="0.3">
      <c r="T1217">
        <v>35</v>
      </c>
    </row>
    <row r="1218" spans="20:20" x14ac:dyDescent="0.3">
      <c r="T1218">
        <v>43</v>
      </c>
    </row>
    <row r="1219" spans="20:20" x14ac:dyDescent="0.3">
      <c r="T1219">
        <v>24</v>
      </c>
    </row>
    <row r="1220" spans="20:20" x14ac:dyDescent="0.3">
      <c r="T1220">
        <v>41</v>
      </c>
    </row>
    <row r="1221" spans="20:20" x14ac:dyDescent="0.3">
      <c r="T1221">
        <v>29</v>
      </c>
    </row>
    <row r="1222" spans="20:20" x14ac:dyDescent="0.3">
      <c r="T1222">
        <v>36</v>
      </c>
    </row>
    <row r="1223" spans="20:20" x14ac:dyDescent="0.3">
      <c r="T1223">
        <v>45</v>
      </c>
    </row>
    <row r="1224" spans="20:20" x14ac:dyDescent="0.3">
      <c r="T1224">
        <v>24</v>
      </c>
    </row>
    <row r="1225" spans="20:20" x14ac:dyDescent="0.3">
      <c r="T1225">
        <v>47</v>
      </c>
    </row>
    <row r="1226" spans="20:20" x14ac:dyDescent="0.3">
      <c r="T1226">
        <v>26</v>
      </c>
    </row>
    <row r="1227" spans="20:20" x14ac:dyDescent="0.3">
      <c r="T1227">
        <v>45</v>
      </c>
    </row>
    <row r="1228" spans="20:20" x14ac:dyDescent="0.3">
      <c r="T1228">
        <v>32</v>
      </c>
    </row>
    <row r="1229" spans="20:20" x14ac:dyDescent="0.3">
      <c r="T1229">
        <v>31</v>
      </c>
    </row>
    <row r="1230" spans="20:20" x14ac:dyDescent="0.3">
      <c r="T1230">
        <v>41</v>
      </c>
    </row>
    <row r="1231" spans="20:20" x14ac:dyDescent="0.3">
      <c r="T1231">
        <v>40</v>
      </c>
    </row>
    <row r="1232" spans="20:20" x14ac:dyDescent="0.3">
      <c r="T1232">
        <v>24</v>
      </c>
    </row>
    <row r="1233" spans="20:20" x14ac:dyDescent="0.3">
      <c r="T1233">
        <v>46</v>
      </c>
    </row>
    <row r="1234" spans="20:20" x14ac:dyDescent="0.3">
      <c r="T1234">
        <v>35</v>
      </c>
    </row>
    <row r="1235" spans="20:20" x14ac:dyDescent="0.3">
      <c r="T1235">
        <v>30</v>
      </c>
    </row>
    <row r="1236" spans="20:20" x14ac:dyDescent="0.3">
      <c r="T1236">
        <v>47</v>
      </c>
    </row>
    <row r="1237" spans="20:20" x14ac:dyDescent="0.3">
      <c r="T1237">
        <v>46</v>
      </c>
    </row>
    <row r="1238" spans="20:20" x14ac:dyDescent="0.3">
      <c r="T1238">
        <v>36</v>
      </c>
    </row>
    <row r="1239" spans="20:20" x14ac:dyDescent="0.3">
      <c r="T1239">
        <v>32</v>
      </c>
    </row>
    <row r="1240" spans="20:20" x14ac:dyDescent="0.3">
      <c r="T1240">
        <v>23</v>
      </c>
    </row>
    <row r="1241" spans="20:20" x14ac:dyDescent="0.3">
      <c r="T1241">
        <v>31</v>
      </c>
    </row>
    <row r="1242" spans="20:20" x14ac:dyDescent="0.3">
      <c r="T1242">
        <v>39</v>
      </c>
    </row>
    <row r="1243" spans="20:20" x14ac:dyDescent="0.3">
      <c r="T1243">
        <v>32</v>
      </c>
    </row>
    <row r="1244" spans="20:20" x14ac:dyDescent="0.3">
      <c r="T1244">
        <v>40</v>
      </c>
    </row>
    <row r="1245" spans="20:20" x14ac:dyDescent="0.3">
      <c r="T1245">
        <v>45</v>
      </c>
    </row>
    <row r="1246" spans="20:20" x14ac:dyDescent="0.3">
      <c r="T1246">
        <v>30</v>
      </c>
    </row>
    <row r="1247" spans="20:20" x14ac:dyDescent="0.3">
      <c r="T1247">
        <v>24</v>
      </c>
    </row>
    <row r="1248" spans="20:20" x14ac:dyDescent="0.3">
      <c r="T1248">
        <v>30</v>
      </c>
    </row>
    <row r="1249" spans="20:20" x14ac:dyDescent="0.3">
      <c r="T1249">
        <v>31</v>
      </c>
    </row>
    <row r="1250" spans="20:20" x14ac:dyDescent="0.3">
      <c r="T1250">
        <v>27</v>
      </c>
    </row>
    <row r="1251" spans="20:20" x14ac:dyDescent="0.3">
      <c r="T1251">
        <v>29</v>
      </c>
    </row>
    <row r="1252" spans="20:20" x14ac:dyDescent="0.3">
      <c r="T1252">
        <v>29</v>
      </c>
    </row>
    <row r="1253" spans="20:20" x14ac:dyDescent="0.3">
      <c r="T1253">
        <v>30</v>
      </c>
    </row>
    <row r="1254" spans="20:20" x14ac:dyDescent="0.3">
      <c r="T1254">
        <v>34</v>
      </c>
    </row>
    <row r="1255" spans="20:20" x14ac:dyDescent="0.3">
      <c r="T1255">
        <v>33</v>
      </c>
    </row>
    <row r="1256" spans="20:20" x14ac:dyDescent="0.3">
      <c r="T1256">
        <v>49</v>
      </c>
    </row>
    <row r="1257" spans="20:20" x14ac:dyDescent="0.3">
      <c r="T1257">
        <v>33</v>
      </c>
    </row>
    <row r="1258" spans="20:20" x14ac:dyDescent="0.3">
      <c r="T1258">
        <v>38</v>
      </c>
    </row>
    <row r="1259" spans="20:20" x14ac:dyDescent="0.3">
      <c r="T1259">
        <v>31</v>
      </c>
    </row>
    <row r="1260" spans="20:20" x14ac:dyDescent="0.3">
      <c r="T1260">
        <v>29</v>
      </c>
    </row>
    <row r="1261" spans="20:20" x14ac:dyDescent="0.3">
      <c r="T1261">
        <v>30</v>
      </c>
    </row>
    <row r="1262" spans="20:20" x14ac:dyDescent="0.3">
      <c r="T1262">
        <v>32</v>
      </c>
    </row>
    <row r="1263" spans="20:20" x14ac:dyDescent="0.3">
      <c r="T1263">
        <v>38</v>
      </c>
    </row>
    <row r="1264" spans="20:20" x14ac:dyDescent="0.3">
      <c r="T1264">
        <v>43</v>
      </c>
    </row>
    <row r="1265" spans="20:20" x14ac:dyDescent="0.3">
      <c r="T1265">
        <v>42</v>
      </c>
    </row>
    <row r="1266" spans="20:20" x14ac:dyDescent="0.3">
      <c r="T1266">
        <v>55</v>
      </c>
    </row>
    <row r="1267" spans="20:20" x14ac:dyDescent="0.3">
      <c r="T1267">
        <v>33</v>
      </c>
    </row>
    <row r="1268" spans="20:20" x14ac:dyDescent="0.3">
      <c r="T1268">
        <v>41</v>
      </c>
    </row>
    <row r="1269" spans="20:20" x14ac:dyDescent="0.3">
      <c r="T1269">
        <v>34</v>
      </c>
    </row>
    <row r="1270" spans="20:20" x14ac:dyDescent="0.3">
      <c r="T1270">
        <v>53</v>
      </c>
    </row>
    <row r="1271" spans="20:20" x14ac:dyDescent="0.3">
      <c r="T1271">
        <v>43</v>
      </c>
    </row>
    <row r="1272" spans="20:20" x14ac:dyDescent="0.3">
      <c r="T1272">
        <v>34</v>
      </c>
    </row>
    <row r="1273" spans="20:20" x14ac:dyDescent="0.3">
      <c r="T1273">
        <v>21</v>
      </c>
    </row>
    <row r="1274" spans="20:20" x14ac:dyDescent="0.3">
      <c r="T1274">
        <v>38</v>
      </c>
    </row>
    <row r="1275" spans="20:20" x14ac:dyDescent="0.3">
      <c r="T1275">
        <v>22</v>
      </c>
    </row>
    <row r="1276" spans="20:20" x14ac:dyDescent="0.3">
      <c r="T1276">
        <v>31</v>
      </c>
    </row>
    <row r="1277" spans="20:20" x14ac:dyDescent="0.3">
      <c r="T1277">
        <v>51</v>
      </c>
    </row>
    <row r="1278" spans="20:20" x14ac:dyDescent="0.3">
      <c r="T1278">
        <v>37</v>
      </c>
    </row>
    <row r="1279" spans="20:20" x14ac:dyDescent="0.3">
      <c r="T1279">
        <v>46</v>
      </c>
    </row>
    <row r="1280" spans="20:20" x14ac:dyDescent="0.3">
      <c r="T1280">
        <v>36</v>
      </c>
    </row>
    <row r="1281" spans="20:20" x14ac:dyDescent="0.3">
      <c r="T1281">
        <v>44</v>
      </c>
    </row>
    <row r="1282" spans="20:20" x14ac:dyDescent="0.3">
      <c r="T1282">
        <v>37</v>
      </c>
    </row>
    <row r="1283" spans="20:20" x14ac:dyDescent="0.3">
      <c r="T1283">
        <v>35</v>
      </c>
    </row>
    <row r="1284" spans="20:20" x14ac:dyDescent="0.3">
      <c r="T1284">
        <v>33</v>
      </c>
    </row>
    <row r="1285" spans="20:20" x14ac:dyDescent="0.3">
      <c r="T1285">
        <v>28</v>
      </c>
    </row>
    <row r="1286" spans="20:20" x14ac:dyDescent="0.3">
      <c r="T1286">
        <v>39</v>
      </c>
    </row>
    <row r="1287" spans="20:20" x14ac:dyDescent="0.3">
      <c r="T1287">
        <v>46</v>
      </c>
    </row>
    <row r="1288" spans="20:20" x14ac:dyDescent="0.3">
      <c r="T1288">
        <v>40</v>
      </c>
    </row>
    <row r="1289" spans="20:20" x14ac:dyDescent="0.3">
      <c r="T1289">
        <v>42</v>
      </c>
    </row>
    <row r="1290" spans="20:20" x14ac:dyDescent="0.3">
      <c r="T1290">
        <v>35</v>
      </c>
    </row>
    <row r="1291" spans="20:20" x14ac:dyDescent="0.3">
      <c r="T1291">
        <v>38</v>
      </c>
    </row>
    <row r="1292" spans="20:20" x14ac:dyDescent="0.3">
      <c r="T1292">
        <v>34</v>
      </c>
    </row>
    <row r="1293" spans="20:20" x14ac:dyDescent="0.3">
      <c r="T1293">
        <v>37</v>
      </c>
    </row>
    <row r="1294" spans="20:20" x14ac:dyDescent="0.3">
      <c r="T1294">
        <v>39</v>
      </c>
    </row>
    <row r="1295" spans="20:20" x14ac:dyDescent="0.3">
      <c r="T1295">
        <v>43</v>
      </c>
    </row>
    <row r="1296" spans="20:20" x14ac:dyDescent="0.3">
      <c r="T1296">
        <v>41</v>
      </c>
    </row>
    <row r="1297" spans="20:20" x14ac:dyDescent="0.3">
      <c r="T1297">
        <v>41</v>
      </c>
    </row>
    <row r="1298" spans="20:20" x14ac:dyDescent="0.3">
      <c r="T1298">
        <v>30</v>
      </c>
    </row>
    <row r="1299" spans="20:20" x14ac:dyDescent="0.3">
      <c r="T1299">
        <v>26</v>
      </c>
    </row>
    <row r="1300" spans="20:20" x14ac:dyDescent="0.3">
      <c r="T1300">
        <v>46</v>
      </c>
    </row>
    <row r="1301" spans="20:20" x14ac:dyDescent="0.3">
      <c r="T1301">
        <v>40</v>
      </c>
    </row>
    <row r="1302" spans="20:20" x14ac:dyDescent="0.3">
      <c r="T1302">
        <v>34</v>
      </c>
    </row>
    <row r="1303" spans="20:20" x14ac:dyDescent="0.3">
      <c r="T1303">
        <v>58</v>
      </c>
    </row>
    <row r="1304" spans="20:20" x14ac:dyDescent="0.3">
      <c r="T1304">
        <v>35</v>
      </c>
    </row>
    <row r="1305" spans="20:20" x14ac:dyDescent="0.3">
      <c r="T1305">
        <v>47</v>
      </c>
    </row>
    <row r="1306" spans="20:20" x14ac:dyDescent="0.3">
      <c r="T1306">
        <v>40</v>
      </c>
    </row>
    <row r="1307" spans="20:20" x14ac:dyDescent="0.3">
      <c r="T1307">
        <v>54</v>
      </c>
    </row>
    <row r="1308" spans="20:20" x14ac:dyDescent="0.3">
      <c r="T1308">
        <v>31</v>
      </c>
    </row>
    <row r="1309" spans="20:20" x14ac:dyDescent="0.3">
      <c r="T1309">
        <v>28</v>
      </c>
    </row>
    <row r="1310" spans="20:20" x14ac:dyDescent="0.3">
      <c r="T1310">
        <v>38</v>
      </c>
    </row>
    <row r="1311" spans="20:20" x14ac:dyDescent="0.3">
      <c r="T1311">
        <v>26</v>
      </c>
    </row>
    <row r="1312" spans="20:20" x14ac:dyDescent="0.3">
      <c r="T1312">
        <v>58</v>
      </c>
    </row>
    <row r="1313" spans="20:20" x14ac:dyDescent="0.3">
      <c r="T1313">
        <v>18</v>
      </c>
    </row>
    <row r="1314" spans="20:20" x14ac:dyDescent="0.3">
      <c r="T1314">
        <v>31</v>
      </c>
    </row>
    <row r="1315" spans="20:20" x14ac:dyDescent="0.3">
      <c r="T1315">
        <v>29</v>
      </c>
    </row>
    <row r="1316" spans="20:20" x14ac:dyDescent="0.3">
      <c r="T1316">
        <v>45</v>
      </c>
    </row>
    <row r="1317" spans="20:20" x14ac:dyDescent="0.3">
      <c r="T1317">
        <v>36</v>
      </c>
    </row>
    <row r="1318" spans="20:20" x14ac:dyDescent="0.3">
      <c r="T1318">
        <v>43</v>
      </c>
    </row>
    <row r="1319" spans="20:20" x14ac:dyDescent="0.3">
      <c r="T1319">
        <v>27</v>
      </c>
    </row>
    <row r="1320" spans="20:20" x14ac:dyDescent="0.3">
      <c r="T1320">
        <v>29</v>
      </c>
    </row>
    <row r="1321" spans="20:20" x14ac:dyDescent="0.3">
      <c r="T1321">
        <v>32</v>
      </c>
    </row>
    <row r="1322" spans="20:20" x14ac:dyDescent="0.3">
      <c r="T1322">
        <v>42</v>
      </c>
    </row>
    <row r="1323" spans="20:20" x14ac:dyDescent="0.3">
      <c r="T1323">
        <v>47</v>
      </c>
    </row>
    <row r="1324" spans="20:20" x14ac:dyDescent="0.3">
      <c r="T1324">
        <v>46</v>
      </c>
    </row>
    <row r="1325" spans="20:20" x14ac:dyDescent="0.3">
      <c r="T1325">
        <v>28</v>
      </c>
    </row>
    <row r="1326" spans="20:20" x14ac:dyDescent="0.3">
      <c r="T1326">
        <v>29</v>
      </c>
    </row>
    <row r="1327" spans="20:20" x14ac:dyDescent="0.3">
      <c r="T1327">
        <v>42</v>
      </c>
    </row>
    <row r="1328" spans="20:20" x14ac:dyDescent="0.3">
      <c r="T1328">
        <v>32</v>
      </c>
    </row>
    <row r="1329" spans="20:20" x14ac:dyDescent="0.3">
      <c r="T1329">
        <v>46</v>
      </c>
    </row>
    <row r="1330" spans="20:20" x14ac:dyDescent="0.3">
      <c r="T1330">
        <v>27</v>
      </c>
    </row>
    <row r="1331" spans="20:20" x14ac:dyDescent="0.3">
      <c r="T1331">
        <v>29</v>
      </c>
    </row>
    <row r="1332" spans="20:20" x14ac:dyDescent="0.3">
      <c r="T1332">
        <v>43</v>
      </c>
    </row>
    <row r="1333" spans="20:20" x14ac:dyDescent="0.3">
      <c r="T1333">
        <v>48</v>
      </c>
    </row>
    <row r="1334" spans="20:20" x14ac:dyDescent="0.3">
      <c r="T1334">
        <v>29</v>
      </c>
    </row>
    <row r="1335" spans="20:20" x14ac:dyDescent="0.3">
      <c r="T1335">
        <v>46</v>
      </c>
    </row>
    <row r="1336" spans="20:20" x14ac:dyDescent="0.3">
      <c r="T1336">
        <v>27</v>
      </c>
    </row>
    <row r="1337" spans="20:20" x14ac:dyDescent="0.3">
      <c r="T1337">
        <v>39</v>
      </c>
    </row>
    <row r="1338" spans="20:20" x14ac:dyDescent="0.3">
      <c r="T1338">
        <v>55</v>
      </c>
    </row>
    <row r="1339" spans="20:20" x14ac:dyDescent="0.3">
      <c r="T1339">
        <v>28</v>
      </c>
    </row>
    <row r="1340" spans="20:20" x14ac:dyDescent="0.3">
      <c r="T1340">
        <v>30</v>
      </c>
    </row>
    <row r="1341" spans="20:20" x14ac:dyDescent="0.3">
      <c r="T1341">
        <v>22</v>
      </c>
    </row>
    <row r="1342" spans="20:20" x14ac:dyDescent="0.3">
      <c r="T1342">
        <v>36</v>
      </c>
    </row>
    <row r="1343" spans="20:20" x14ac:dyDescent="0.3">
      <c r="T1343">
        <v>31</v>
      </c>
    </row>
    <row r="1344" spans="20:20" x14ac:dyDescent="0.3">
      <c r="T1344">
        <v>34</v>
      </c>
    </row>
    <row r="1345" spans="20:20" x14ac:dyDescent="0.3">
      <c r="T1345">
        <v>29</v>
      </c>
    </row>
    <row r="1346" spans="20:20" x14ac:dyDescent="0.3">
      <c r="T1346">
        <v>37</v>
      </c>
    </row>
    <row r="1347" spans="20:20" x14ac:dyDescent="0.3">
      <c r="T1347">
        <v>35</v>
      </c>
    </row>
    <row r="1348" spans="20:20" x14ac:dyDescent="0.3">
      <c r="T1348">
        <v>45</v>
      </c>
    </row>
    <row r="1349" spans="20:20" x14ac:dyDescent="0.3">
      <c r="T1349">
        <v>36</v>
      </c>
    </row>
    <row r="1350" spans="20:20" x14ac:dyDescent="0.3">
      <c r="T1350">
        <v>40</v>
      </c>
    </row>
    <row r="1351" spans="20:20" x14ac:dyDescent="0.3">
      <c r="T1351">
        <v>26</v>
      </c>
    </row>
    <row r="1352" spans="20:20" x14ac:dyDescent="0.3">
      <c r="T1352">
        <v>27</v>
      </c>
    </row>
    <row r="1353" spans="20:20" x14ac:dyDescent="0.3">
      <c r="T1353">
        <v>48</v>
      </c>
    </row>
    <row r="1354" spans="20:20" x14ac:dyDescent="0.3">
      <c r="T1354">
        <v>44</v>
      </c>
    </row>
    <row r="1355" spans="20:20" x14ac:dyDescent="0.3">
      <c r="T1355">
        <v>34</v>
      </c>
    </row>
    <row r="1356" spans="20:20" x14ac:dyDescent="0.3">
      <c r="T1356">
        <v>56</v>
      </c>
    </row>
    <row r="1357" spans="20:20" x14ac:dyDescent="0.3">
      <c r="T1357">
        <v>36</v>
      </c>
    </row>
    <row r="1358" spans="20:20" x14ac:dyDescent="0.3">
      <c r="T1358">
        <v>41</v>
      </c>
    </row>
    <row r="1359" spans="20:20" x14ac:dyDescent="0.3">
      <c r="T1359">
        <v>42</v>
      </c>
    </row>
    <row r="1360" spans="20:20" x14ac:dyDescent="0.3">
      <c r="T1360">
        <v>31</v>
      </c>
    </row>
    <row r="1361" spans="20:20" x14ac:dyDescent="0.3">
      <c r="T1361">
        <v>34</v>
      </c>
    </row>
    <row r="1362" spans="20:20" x14ac:dyDescent="0.3">
      <c r="T1362">
        <v>31</v>
      </c>
    </row>
    <row r="1363" spans="20:20" x14ac:dyDescent="0.3">
      <c r="T1363">
        <v>26</v>
      </c>
    </row>
    <row r="1364" spans="20:20" x14ac:dyDescent="0.3">
      <c r="T1364">
        <v>45</v>
      </c>
    </row>
    <row r="1365" spans="20:20" x14ac:dyDescent="0.3">
      <c r="T1365">
        <v>33</v>
      </c>
    </row>
    <row r="1366" spans="20:20" x14ac:dyDescent="0.3">
      <c r="T1366">
        <v>28</v>
      </c>
    </row>
    <row r="1367" spans="20:20" x14ac:dyDescent="0.3">
      <c r="T1367">
        <v>29</v>
      </c>
    </row>
    <row r="1368" spans="20:20" x14ac:dyDescent="0.3">
      <c r="T1368">
        <v>39</v>
      </c>
    </row>
    <row r="1369" spans="20:20" x14ac:dyDescent="0.3">
      <c r="T1369">
        <v>27</v>
      </c>
    </row>
    <row r="1370" spans="20:20" x14ac:dyDescent="0.3">
      <c r="T1370">
        <v>34</v>
      </c>
    </row>
    <row r="1371" spans="20:20" x14ac:dyDescent="0.3">
      <c r="T1371">
        <v>28</v>
      </c>
    </row>
    <row r="1372" spans="20:20" x14ac:dyDescent="0.3">
      <c r="T1372">
        <v>47</v>
      </c>
    </row>
    <row r="1373" spans="20:20" x14ac:dyDescent="0.3">
      <c r="T1373">
        <v>56</v>
      </c>
    </row>
    <row r="1374" spans="20:20" x14ac:dyDescent="0.3">
      <c r="T1374">
        <v>39</v>
      </c>
    </row>
    <row r="1375" spans="20:20" x14ac:dyDescent="0.3">
      <c r="T1375">
        <v>38</v>
      </c>
    </row>
    <row r="1376" spans="20:20" x14ac:dyDescent="0.3">
      <c r="T1376">
        <v>58</v>
      </c>
    </row>
    <row r="1377" spans="20:20" x14ac:dyDescent="0.3">
      <c r="T1377">
        <v>32</v>
      </c>
    </row>
    <row r="1378" spans="20:20" x14ac:dyDescent="0.3">
      <c r="T1378">
        <v>38</v>
      </c>
    </row>
    <row r="1379" spans="20:20" x14ac:dyDescent="0.3">
      <c r="T1379">
        <v>49</v>
      </c>
    </row>
    <row r="1380" spans="20:20" x14ac:dyDescent="0.3">
      <c r="T1380">
        <v>42</v>
      </c>
    </row>
    <row r="1381" spans="20:20" x14ac:dyDescent="0.3">
      <c r="T1381">
        <v>27</v>
      </c>
    </row>
    <row r="1382" spans="20:20" x14ac:dyDescent="0.3">
      <c r="T1382">
        <v>35</v>
      </c>
    </row>
    <row r="1383" spans="20:20" x14ac:dyDescent="0.3">
      <c r="T1383">
        <v>28</v>
      </c>
    </row>
    <row r="1384" spans="20:20" x14ac:dyDescent="0.3">
      <c r="T1384">
        <v>31</v>
      </c>
    </row>
    <row r="1385" spans="20:20" x14ac:dyDescent="0.3">
      <c r="T1385">
        <v>36</v>
      </c>
    </row>
    <row r="1386" spans="20:20" x14ac:dyDescent="0.3">
      <c r="T1386">
        <v>34</v>
      </c>
    </row>
    <row r="1387" spans="20:20" x14ac:dyDescent="0.3">
      <c r="T1387">
        <v>34</v>
      </c>
    </row>
    <row r="1388" spans="20:20" x14ac:dyDescent="0.3">
      <c r="T1388">
        <v>26</v>
      </c>
    </row>
    <row r="1389" spans="20:20" x14ac:dyDescent="0.3">
      <c r="T1389">
        <v>29</v>
      </c>
    </row>
    <row r="1390" spans="20:20" x14ac:dyDescent="0.3">
      <c r="T1390">
        <v>32</v>
      </c>
    </row>
    <row r="1391" spans="20:20" x14ac:dyDescent="0.3">
      <c r="T1391">
        <v>31</v>
      </c>
    </row>
    <row r="1392" spans="20:20" x14ac:dyDescent="0.3">
      <c r="T1392">
        <v>28</v>
      </c>
    </row>
    <row r="1393" spans="20:20" x14ac:dyDescent="0.3">
      <c r="T1393">
        <v>38</v>
      </c>
    </row>
    <row r="1394" spans="20:20" x14ac:dyDescent="0.3">
      <c r="T1394">
        <v>35</v>
      </c>
    </row>
    <row r="1395" spans="20:20" x14ac:dyDescent="0.3">
      <c r="T1395">
        <v>27</v>
      </c>
    </row>
    <row r="1396" spans="20:20" x14ac:dyDescent="0.3">
      <c r="T1396">
        <v>32</v>
      </c>
    </row>
    <row r="1397" spans="20:20" x14ac:dyDescent="0.3">
      <c r="T1397">
        <v>31</v>
      </c>
    </row>
    <row r="1398" spans="20:20" x14ac:dyDescent="0.3">
      <c r="T1398">
        <v>53</v>
      </c>
    </row>
    <row r="1399" spans="20:20" x14ac:dyDescent="0.3">
      <c r="T1399">
        <v>54</v>
      </c>
    </row>
    <row r="1400" spans="20:20" x14ac:dyDescent="0.3">
      <c r="T1400">
        <v>33</v>
      </c>
    </row>
    <row r="1401" spans="20:20" x14ac:dyDescent="0.3">
      <c r="T1401">
        <v>43</v>
      </c>
    </row>
    <row r="1402" spans="20:20" x14ac:dyDescent="0.3">
      <c r="T1402">
        <v>38</v>
      </c>
    </row>
    <row r="1403" spans="20:20" x14ac:dyDescent="0.3">
      <c r="T1403">
        <v>55</v>
      </c>
    </row>
    <row r="1404" spans="20:20" x14ac:dyDescent="0.3">
      <c r="T1404">
        <v>31</v>
      </c>
    </row>
    <row r="1405" spans="20:20" x14ac:dyDescent="0.3">
      <c r="T1405">
        <v>39</v>
      </c>
    </row>
    <row r="1406" spans="20:20" x14ac:dyDescent="0.3">
      <c r="T1406">
        <v>42</v>
      </c>
    </row>
    <row r="1407" spans="20:20" x14ac:dyDescent="0.3">
      <c r="T1407">
        <v>31</v>
      </c>
    </row>
    <row r="1408" spans="20:20" x14ac:dyDescent="0.3">
      <c r="T1408">
        <v>54</v>
      </c>
    </row>
    <row r="1409" spans="20:20" x14ac:dyDescent="0.3">
      <c r="T1409">
        <v>24</v>
      </c>
    </row>
    <row r="1410" spans="20:20" x14ac:dyDescent="0.3">
      <c r="T1410">
        <v>23</v>
      </c>
    </row>
    <row r="1411" spans="20:20" x14ac:dyDescent="0.3">
      <c r="T1411">
        <v>40</v>
      </c>
    </row>
    <row r="1412" spans="20:20" x14ac:dyDescent="0.3">
      <c r="T1412">
        <v>40</v>
      </c>
    </row>
    <row r="1413" spans="20:20" x14ac:dyDescent="0.3">
      <c r="T1413">
        <v>25</v>
      </c>
    </row>
    <row r="1414" spans="20:20" x14ac:dyDescent="0.3">
      <c r="T1414">
        <v>30</v>
      </c>
    </row>
    <row r="1415" spans="20:20" x14ac:dyDescent="0.3">
      <c r="T1415">
        <v>25</v>
      </c>
    </row>
    <row r="1416" spans="20:20" x14ac:dyDescent="0.3">
      <c r="T1416">
        <v>47</v>
      </c>
    </row>
    <row r="1417" spans="20:20" x14ac:dyDescent="0.3">
      <c r="T1417">
        <v>33</v>
      </c>
    </row>
    <row r="1418" spans="20:20" x14ac:dyDescent="0.3">
      <c r="T1418">
        <v>38</v>
      </c>
    </row>
    <row r="1419" spans="20:20" x14ac:dyDescent="0.3">
      <c r="T1419">
        <v>31</v>
      </c>
    </row>
    <row r="1420" spans="20:20" x14ac:dyDescent="0.3">
      <c r="T1420">
        <v>38</v>
      </c>
    </row>
    <row r="1421" spans="20:20" x14ac:dyDescent="0.3">
      <c r="T1421">
        <v>42</v>
      </c>
    </row>
    <row r="1422" spans="20:20" x14ac:dyDescent="0.3">
      <c r="T1422">
        <v>41</v>
      </c>
    </row>
    <row r="1423" spans="20:20" x14ac:dyDescent="0.3">
      <c r="T1423">
        <v>47</v>
      </c>
    </row>
    <row r="1424" spans="20:20" x14ac:dyDescent="0.3">
      <c r="T1424">
        <v>35</v>
      </c>
    </row>
    <row r="1425" spans="20:20" x14ac:dyDescent="0.3">
      <c r="T1425">
        <v>22</v>
      </c>
    </row>
    <row r="1426" spans="20:20" x14ac:dyDescent="0.3">
      <c r="T1426">
        <v>35</v>
      </c>
    </row>
    <row r="1427" spans="20:20" x14ac:dyDescent="0.3">
      <c r="T1427">
        <v>33</v>
      </c>
    </row>
    <row r="1428" spans="20:20" x14ac:dyDescent="0.3">
      <c r="T1428">
        <v>32</v>
      </c>
    </row>
    <row r="1429" spans="20:20" x14ac:dyDescent="0.3">
      <c r="T1429">
        <v>40</v>
      </c>
    </row>
    <row r="1430" spans="20:20" x14ac:dyDescent="0.3">
      <c r="T1430">
        <v>32</v>
      </c>
    </row>
    <row r="1431" spans="20:20" x14ac:dyDescent="0.3">
      <c r="T1431">
        <v>39</v>
      </c>
    </row>
    <row r="1432" spans="20:20" x14ac:dyDescent="0.3">
      <c r="T1432">
        <v>38</v>
      </c>
    </row>
    <row r="1433" spans="20:20" x14ac:dyDescent="0.3">
      <c r="T1433">
        <v>32</v>
      </c>
    </row>
    <row r="1434" spans="20:20" x14ac:dyDescent="0.3">
      <c r="T1434">
        <v>37</v>
      </c>
    </row>
    <row r="1435" spans="20:20" x14ac:dyDescent="0.3">
      <c r="T1435">
        <v>25</v>
      </c>
    </row>
    <row r="1436" spans="20:20" x14ac:dyDescent="0.3">
      <c r="T1436">
        <v>52</v>
      </c>
    </row>
    <row r="1437" spans="20:20" x14ac:dyDescent="0.3">
      <c r="T1437">
        <v>44</v>
      </c>
    </row>
    <row r="1438" spans="20:20" x14ac:dyDescent="0.3">
      <c r="T1438">
        <v>21</v>
      </c>
    </row>
    <row r="1439" spans="20:20" x14ac:dyDescent="0.3">
      <c r="T1439">
        <v>39</v>
      </c>
    </row>
    <row r="1440" spans="20:20" x14ac:dyDescent="0.3">
      <c r="T1440">
        <v>23</v>
      </c>
    </row>
    <row r="1441" spans="20:20" x14ac:dyDescent="0.3">
      <c r="T1441">
        <v>36</v>
      </c>
    </row>
    <row r="1442" spans="20:20" x14ac:dyDescent="0.3">
      <c r="T1442">
        <v>36</v>
      </c>
    </row>
    <row r="1443" spans="20:20" x14ac:dyDescent="0.3">
      <c r="T1443">
        <v>56</v>
      </c>
    </row>
    <row r="1444" spans="20:20" x14ac:dyDescent="0.3">
      <c r="T1444">
        <v>29</v>
      </c>
    </row>
    <row r="1445" spans="20:20" x14ac:dyDescent="0.3">
      <c r="T1445">
        <v>42</v>
      </c>
    </row>
    <row r="1446" spans="20:20" x14ac:dyDescent="0.3">
      <c r="T1446">
        <v>56</v>
      </c>
    </row>
    <row r="1447" spans="20:20" x14ac:dyDescent="0.3">
      <c r="T1447">
        <v>41</v>
      </c>
    </row>
    <row r="1448" spans="20:20" x14ac:dyDescent="0.3">
      <c r="T1448">
        <v>34</v>
      </c>
    </row>
    <row r="1449" spans="20:20" x14ac:dyDescent="0.3">
      <c r="T1449">
        <v>36</v>
      </c>
    </row>
    <row r="1450" spans="20:20" x14ac:dyDescent="0.3">
      <c r="T1450">
        <v>41</v>
      </c>
    </row>
    <row r="1451" spans="20:20" x14ac:dyDescent="0.3">
      <c r="T1451">
        <v>32</v>
      </c>
    </row>
    <row r="1452" spans="20:20" x14ac:dyDescent="0.3">
      <c r="T1452">
        <v>35</v>
      </c>
    </row>
    <row r="1453" spans="20:20" x14ac:dyDescent="0.3">
      <c r="T1453">
        <v>38</v>
      </c>
    </row>
    <row r="1454" spans="20:20" x14ac:dyDescent="0.3">
      <c r="T1454">
        <v>50</v>
      </c>
    </row>
    <row r="1455" spans="20:20" x14ac:dyDescent="0.3">
      <c r="T1455">
        <v>36</v>
      </c>
    </row>
    <row r="1456" spans="20:20" x14ac:dyDescent="0.3">
      <c r="T1456">
        <v>45</v>
      </c>
    </row>
    <row r="1457" spans="20:20" x14ac:dyDescent="0.3">
      <c r="T1457">
        <v>40</v>
      </c>
    </row>
    <row r="1458" spans="20:20" x14ac:dyDescent="0.3">
      <c r="T1458">
        <v>35</v>
      </c>
    </row>
    <row r="1459" spans="20:20" x14ac:dyDescent="0.3">
      <c r="T1459">
        <v>40</v>
      </c>
    </row>
    <row r="1460" spans="20:20" x14ac:dyDescent="0.3">
      <c r="T1460">
        <v>35</v>
      </c>
    </row>
    <row r="1461" spans="20:20" x14ac:dyDescent="0.3">
      <c r="T1461">
        <v>29</v>
      </c>
    </row>
    <row r="1462" spans="20:20" x14ac:dyDescent="0.3">
      <c r="T1462">
        <v>29</v>
      </c>
    </row>
    <row r="1463" spans="20:20" x14ac:dyDescent="0.3">
      <c r="T1463">
        <v>50</v>
      </c>
    </row>
    <row r="1464" spans="20:20" x14ac:dyDescent="0.3">
      <c r="T1464">
        <v>39</v>
      </c>
    </row>
    <row r="1465" spans="20:20" x14ac:dyDescent="0.3">
      <c r="T1465">
        <v>31</v>
      </c>
    </row>
    <row r="1466" spans="20:20" x14ac:dyDescent="0.3">
      <c r="T1466">
        <v>26</v>
      </c>
    </row>
    <row r="1467" spans="20:20" x14ac:dyDescent="0.3">
      <c r="T1467">
        <v>36</v>
      </c>
    </row>
    <row r="1468" spans="20:20" x14ac:dyDescent="0.3">
      <c r="T1468">
        <v>39</v>
      </c>
    </row>
    <row r="1469" spans="20:20" x14ac:dyDescent="0.3">
      <c r="T1469">
        <v>27</v>
      </c>
    </row>
    <row r="1470" spans="20:20" x14ac:dyDescent="0.3">
      <c r="T1470">
        <v>49</v>
      </c>
    </row>
    <row r="1471" spans="20:20" x14ac:dyDescent="0.3">
      <c r="T1471">
        <v>34</v>
      </c>
    </row>
  </sheetData>
  <autoFilter ref="T1:T1471" xr:uid="{00000000-0009-0000-0000-000015000000}"/>
  <sortState xmlns:xlrd2="http://schemas.microsoft.com/office/spreadsheetml/2017/richdata2" ref="V19:V30">
    <sortCondition ref="V19"/>
  </sortState>
  <mergeCells count="1">
    <mergeCell ref="V33:X33"/>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54"/>
  <sheetViews>
    <sheetView topLeftCell="A441" zoomScale="140" zoomScaleNormal="140" workbookViewId="0">
      <selection activeCell="E459" sqref="E459"/>
    </sheetView>
  </sheetViews>
  <sheetFormatPr defaultRowHeight="14.4" x14ac:dyDescent="0.3"/>
  <cols>
    <col min="2" max="2" width="13.109375" bestFit="1" customWidth="1"/>
  </cols>
  <sheetData>
    <row r="1" spans="1:6" x14ac:dyDescent="0.3">
      <c r="A1">
        <v>27</v>
      </c>
      <c r="B1" t="s">
        <v>725</v>
      </c>
    </row>
    <row r="2" spans="1:6" x14ac:dyDescent="0.3">
      <c r="A2" t="s">
        <v>733</v>
      </c>
      <c r="B2" t="s">
        <v>727</v>
      </c>
    </row>
    <row r="4" spans="1:6" x14ac:dyDescent="0.3">
      <c r="B4" t="s">
        <v>734</v>
      </c>
    </row>
    <row r="5" spans="1:6" x14ac:dyDescent="0.3">
      <c r="B5" t="s">
        <v>735</v>
      </c>
      <c r="F5">
        <f xml:space="preserve"> 1-0.8554</f>
        <v>0.14459999999999995</v>
      </c>
    </row>
    <row r="6" spans="1:6" x14ac:dyDescent="0.3">
      <c r="B6" t="s">
        <v>736</v>
      </c>
    </row>
    <row r="23" spans="1:4" x14ac:dyDescent="0.3">
      <c r="A23" t="s">
        <v>726</v>
      </c>
      <c r="B23" t="s">
        <v>729</v>
      </c>
      <c r="D23">
        <f>0.0158</f>
        <v>1.5800000000000002E-2</v>
      </c>
    </row>
    <row r="39" spans="1:4" x14ac:dyDescent="0.3">
      <c r="A39" t="s">
        <v>728</v>
      </c>
      <c r="B39" t="s">
        <v>731</v>
      </c>
    </row>
    <row r="41" spans="1:4" x14ac:dyDescent="0.3">
      <c r="B41" t="s">
        <v>737</v>
      </c>
    </row>
    <row r="42" spans="1:4" x14ac:dyDescent="0.3">
      <c r="B42" t="s">
        <v>738</v>
      </c>
    </row>
    <row r="44" spans="1:4" x14ac:dyDescent="0.3">
      <c r="B44" t="s">
        <v>731</v>
      </c>
      <c r="D44" t="s">
        <v>739</v>
      </c>
    </row>
    <row r="45" spans="1:4" x14ac:dyDescent="0.3">
      <c r="D45">
        <f>0.9987 - 0.8554</f>
        <v>0.14329999999999998</v>
      </c>
    </row>
    <row r="46" spans="1:4" x14ac:dyDescent="0.3">
      <c r="B46" t="s">
        <v>740</v>
      </c>
    </row>
    <row r="61" spans="1:2" x14ac:dyDescent="0.3">
      <c r="A61" t="s">
        <v>730</v>
      </c>
      <c r="B61" t="s">
        <v>732</v>
      </c>
    </row>
    <row r="63" spans="1:2" x14ac:dyDescent="0.3">
      <c r="B63" t="s">
        <v>737</v>
      </c>
    </row>
    <row r="64" spans="1:2" x14ac:dyDescent="0.3">
      <c r="B64" t="s">
        <v>741</v>
      </c>
    </row>
    <row r="66" spans="2:4" x14ac:dyDescent="0.3">
      <c r="B66" t="s">
        <v>732</v>
      </c>
      <c r="D66" t="s">
        <v>742</v>
      </c>
    </row>
    <row r="67" spans="2:4" x14ac:dyDescent="0.3">
      <c r="D67">
        <f>0.9987 - 0.1446</f>
        <v>0.85410000000000008</v>
      </c>
    </row>
    <row r="69" spans="2:4" x14ac:dyDescent="0.3">
      <c r="B69" t="s">
        <v>743</v>
      </c>
    </row>
    <row r="84" spans="1:2" x14ac:dyDescent="0.3">
      <c r="A84" t="s">
        <v>987</v>
      </c>
      <c r="B84" s="190">
        <f>1-POISSON(1,3,TRUE)</f>
        <v>0.80085172652854419</v>
      </c>
    </row>
    <row r="85" spans="1:2" x14ac:dyDescent="0.3">
      <c r="A85" t="s">
        <v>988</v>
      </c>
      <c r="B85">
        <f>POISSON(5,3,TRUE) - POISSON(2,3,TRUE)</f>
        <v>0.49289197684185315</v>
      </c>
    </row>
    <row r="86" spans="1:2" x14ac:dyDescent="0.3">
      <c r="A86" t="s">
        <v>989</v>
      </c>
      <c r="B86">
        <f>3/5</f>
        <v>0.6</v>
      </c>
    </row>
    <row r="87" spans="1:2" x14ac:dyDescent="0.3">
      <c r="B87">
        <f>POISSON(1,0.6,FALSE)</f>
        <v>0.32928698165641584</v>
      </c>
    </row>
    <row r="89" spans="1:2" x14ac:dyDescent="0.3">
      <c r="A89">
        <v>2</v>
      </c>
      <c r="B89" s="190">
        <f>BINOMDIST(6,9,0.8,FALSE)</f>
        <v>0.17616076800000002</v>
      </c>
    </row>
    <row r="91" spans="1:2" x14ac:dyDescent="0.3">
      <c r="A91">
        <v>3</v>
      </c>
      <c r="B91" s="190">
        <f>BINOMDIST(7,10,0.6,FALSE)</f>
        <v>0.21499084800000007</v>
      </c>
    </row>
    <row r="93" spans="1:2" x14ac:dyDescent="0.3">
      <c r="A93">
        <v>4</v>
      </c>
      <c r="B93">
        <f>BINOMDIST(6,10,3/5,FALSE)</f>
        <v>0.25082265600000009</v>
      </c>
    </row>
    <row r="94" spans="1:2" x14ac:dyDescent="0.3">
      <c r="B94">
        <f>BINOMDIST(8,10,3/5,TRUE)</f>
        <v>0.95364259839999999</v>
      </c>
    </row>
    <row r="96" spans="1:2" x14ac:dyDescent="0.3">
      <c r="A96">
        <v>5</v>
      </c>
      <c r="B96">
        <f>BINOMDIST(0,10,0.15,FALSE)</f>
        <v>0.1968744043407227</v>
      </c>
    </row>
    <row r="97" spans="1:2" x14ac:dyDescent="0.3">
      <c r="B97">
        <f>BINOMDIST(3,20,0.15,FALSE)</f>
        <v>0.24282889614926759</v>
      </c>
    </row>
    <row r="99" spans="1:2" x14ac:dyDescent="0.3">
      <c r="A99">
        <v>6</v>
      </c>
      <c r="B99">
        <f>0.8*555</f>
        <v>444</v>
      </c>
    </row>
    <row r="100" spans="1:2" x14ac:dyDescent="0.3">
      <c r="B100">
        <f>HYPGEOMDIST(120,300,444,555)</f>
        <v>0</v>
      </c>
    </row>
    <row r="101" spans="1:2" x14ac:dyDescent="0.3">
      <c r="B101">
        <f>HYPGEOMDIST(2,5,444,555)</f>
        <v>5.0618620179585128E-2</v>
      </c>
    </row>
    <row r="103" spans="1:2" x14ac:dyDescent="0.3">
      <c r="A103">
        <v>7</v>
      </c>
      <c r="B103">
        <f>3/2</f>
        <v>1.5</v>
      </c>
    </row>
    <row r="104" spans="1:2" x14ac:dyDescent="0.3">
      <c r="B104">
        <f>POISSON(1.5,2.3,FALSE)</f>
        <v>0.23059534056244857</v>
      </c>
    </row>
    <row r="106" spans="1:2" x14ac:dyDescent="0.3">
      <c r="A106">
        <v>8</v>
      </c>
      <c r="B106" t="s">
        <v>990</v>
      </c>
    </row>
    <row r="107" spans="1:2" x14ac:dyDescent="0.3">
      <c r="B107">
        <f>POISSON(3,1.6,FALSE)</f>
        <v>0.13782802295101812</v>
      </c>
    </row>
    <row r="108" spans="1:2" x14ac:dyDescent="0.3">
      <c r="B108">
        <f>POISSON(3,1.6,TRUE)</f>
        <v>0.92118651277028107</v>
      </c>
    </row>
    <row r="110" spans="1:2" x14ac:dyDescent="0.3">
      <c r="A110">
        <v>9</v>
      </c>
      <c r="B110">
        <f>NEGBINOMDIST(10,5,0.2)</f>
        <v>3.4394098106367996E-2</v>
      </c>
    </row>
    <row r="112" spans="1:2" x14ac:dyDescent="0.3">
      <c r="A112">
        <v>10</v>
      </c>
      <c r="B112" t="s">
        <v>991</v>
      </c>
    </row>
    <row r="113" spans="1:7" x14ac:dyDescent="0.3">
      <c r="B113" t="s">
        <v>992</v>
      </c>
    </row>
    <row r="114" spans="1:7" x14ac:dyDescent="0.3">
      <c r="B114" t="s">
        <v>993</v>
      </c>
    </row>
    <row r="116" spans="1:7" x14ac:dyDescent="0.3">
      <c r="B116">
        <f>COMBIN(10,7)</f>
        <v>120</v>
      </c>
    </row>
    <row r="118" spans="1:7" x14ac:dyDescent="0.3">
      <c r="A118">
        <v>11</v>
      </c>
      <c r="B118" t="s">
        <v>53</v>
      </c>
      <c r="C118">
        <f>AVERAGE(F118:F126)</f>
        <v>7</v>
      </c>
      <c r="F118">
        <v>4</v>
      </c>
      <c r="G118">
        <v>4</v>
      </c>
    </row>
    <row r="119" spans="1:7" x14ac:dyDescent="0.3">
      <c r="B119" t="s">
        <v>33</v>
      </c>
      <c r="C119">
        <f>MEDIAN(F118:F126)</f>
        <v>7</v>
      </c>
      <c r="F119">
        <v>10</v>
      </c>
      <c r="G119">
        <v>10</v>
      </c>
    </row>
    <row r="120" spans="1:7" x14ac:dyDescent="0.3">
      <c r="B120" t="s">
        <v>54</v>
      </c>
      <c r="C120">
        <f>MODE(F118:F126)</f>
        <v>7</v>
      </c>
      <c r="F120">
        <v>7</v>
      </c>
      <c r="G120">
        <v>7</v>
      </c>
    </row>
    <row r="121" spans="1:7" x14ac:dyDescent="0.3">
      <c r="F121">
        <v>7</v>
      </c>
      <c r="G121">
        <v>7</v>
      </c>
    </row>
    <row r="122" spans="1:7" x14ac:dyDescent="0.3">
      <c r="B122" t="s">
        <v>225</v>
      </c>
      <c r="C122">
        <f>STDEV(F118:F126)</f>
        <v>2.3452078799117149</v>
      </c>
      <c r="F122">
        <v>6</v>
      </c>
      <c r="G122">
        <v>24</v>
      </c>
    </row>
    <row r="123" spans="1:7" x14ac:dyDescent="0.3">
      <c r="B123" t="s">
        <v>994</v>
      </c>
      <c r="C123">
        <f>STDEV(G118:G126)</f>
        <v>6.0827625302982193</v>
      </c>
      <c r="F123">
        <v>9</v>
      </c>
      <c r="G123">
        <v>9</v>
      </c>
    </row>
    <row r="124" spans="1:7" x14ac:dyDescent="0.3">
      <c r="F124">
        <v>3</v>
      </c>
      <c r="G124">
        <v>3</v>
      </c>
    </row>
    <row r="125" spans="1:7" x14ac:dyDescent="0.3">
      <c r="B125" t="s">
        <v>995</v>
      </c>
      <c r="F125">
        <v>8</v>
      </c>
      <c r="G125">
        <v>8</v>
      </c>
    </row>
    <row r="126" spans="1:7" x14ac:dyDescent="0.3">
      <c r="F126">
        <v>9</v>
      </c>
      <c r="G126">
        <v>9</v>
      </c>
    </row>
    <row r="128" spans="1:7" x14ac:dyDescent="0.3">
      <c r="A128">
        <v>12</v>
      </c>
      <c r="B128" t="s">
        <v>1003</v>
      </c>
      <c r="E128" t="s">
        <v>251</v>
      </c>
      <c r="F128">
        <v>17</v>
      </c>
      <c r="G128">
        <v>17</v>
      </c>
    </row>
    <row r="129" spans="1:7" x14ac:dyDescent="0.3">
      <c r="B129" t="s">
        <v>1004</v>
      </c>
      <c r="E129" t="s">
        <v>252</v>
      </c>
      <c r="F129">
        <v>22</v>
      </c>
      <c r="G129">
        <v>22</v>
      </c>
    </row>
    <row r="130" spans="1:7" x14ac:dyDescent="0.3">
      <c r="B130" t="s">
        <v>1005</v>
      </c>
      <c r="E130" t="s">
        <v>997</v>
      </c>
      <c r="F130">
        <v>26</v>
      </c>
      <c r="G130">
        <v>26</v>
      </c>
    </row>
    <row r="131" spans="1:7" x14ac:dyDescent="0.3">
      <c r="E131" t="s">
        <v>998</v>
      </c>
      <c r="F131">
        <v>29</v>
      </c>
      <c r="G131">
        <v>29</v>
      </c>
    </row>
    <row r="132" spans="1:7" x14ac:dyDescent="0.3">
      <c r="B132" t="s">
        <v>1006</v>
      </c>
      <c r="E132" t="s">
        <v>999</v>
      </c>
      <c r="F132">
        <v>34</v>
      </c>
      <c r="G132">
        <v>34</v>
      </c>
    </row>
    <row r="133" spans="1:7" x14ac:dyDescent="0.3">
      <c r="B133" t="s">
        <v>1007</v>
      </c>
      <c r="E133" t="s">
        <v>148</v>
      </c>
      <c r="F133" t="s">
        <v>691</v>
      </c>
      <c r="G133">
        <v>36</v>
      </c>
    </row>
    <row r="134" spans="1:7" x14ac:dyDescent="0.3">
      <c r="B134" t="s">
        <v>1008</v>
      </c>
      <c r="E134" t="s">
        <v>149</v>
      </c>
      <c r="F134">
        <v>42</v>
      </c>
      <c r="G134">
        <v>42</v>
      </c>
    </row>
    <row r="135" spans="1:7" x14ac:dyDescent="0.3">
      <c r="E135" t="s">
        <v>1000</v>
      </c>
      <c r="F135">
        <v>67</v>
      </c>
      <c r="G135">
        <v>67</v>
      </c>
    </row>
    <row r="136" spans="1:7" x14ac:dyDescent="0.3">
      <c r="E136" t="s">
        <v>1001</v>
      </c>
      <c r="F136">
        <v>70</v>
      </c>
      <c r="G136">
        <v>70</v>
      </c>
    </row>
    <row r="137" spans="1:7" x14ac:dyDescent="0.3">
      <c r="E137" t="s">
        <v>1002</v>
      </c>
      <c r="F137" t="s">
        <v>996</v>
      </c>
      <c r="G137">
        <v>77</v>
      </c>
    </row>
    <row r="139" spans="1:7" x14ac:dyDescent="0.3">
      <c r="A139">
        <v>13</v>
      </c>
      <c r="B139" t="s">
        <v>33</v>
      </c>
      <c r="C139">
        <f>MEDIAN(E140:E151)</f>
        <v>75</v>
      </c>
    </row>
    <row r="140" spans="1:7" x14ac:dyDescent="0.3">
      <c r="B140" t="s">
        <v>138</v>
      </c>
      <c r="C140">
        <f>QUARTILE(E140:E151,1)</f>
        <v>69.5</v>
      </c>
      <c r="E140">
        <v>62</v>
      </c>
    </row>
    <row r="141" spans="1:7" x14ac:dyDescent="0.3">
      <c r="B141" t="s">
        <v>140</v>
      </c>
      <c r="C141">
        <f>QUARTILE(E140:E151,3)</f>
        <v>80.5</v>
      </c>
      <c r="E141">
        <v>65</v>
      </c>
    </row>
    <row r="142" spans="1:7" x14ac:dyDescent="0.3">
      <c r="B142" t="s">
        <v>143</v>
      </c>
      <c r="C142">
        <f>C141-C140</f>
        <v>11</v>
      </c>
      <c r="E142">
        <v>68</v>
      </c>
    </row>
    <row r="143" spans="1:7" x14ac:dyDescent="0.3">
      <c r="E143">
        <v>70</v>
      </c>
    </row>
    <row r="144" spans="1:7" x14ac:dyDescent="0.3">
      <c r="E144">
        <v>72</v>
      </c>
    </row>
    <row r="145" spans="1:8" x14ac:dyDescent="0.3">
      <c r="E145">
        <v>74</v>
      </c>
    </row>
    <row r="146" spans="1:8" x14ac:dyDescent="0.3">
      <c r="E146">
        <v>76</v>
      </c>
    </row>
    <row r="147" spans="1:8" x14ac:dyDescent="0.3">
      <c r="E147">
        <v>78</v>
      </c>
    </row>
    <row r="148" spans="1:8" x14ac:dyDescent="0.3">
      <c r="E148">
        <v>80</v>
      </c>
    </row>
    <row r="149" spans="1:8" x14ac:dyDescent="0.3">
      <c r="E149">
        <v>82</v>
      </c>
    </row>
    <row r="150" spans="1:8" x14ac:dyDescent="0.3">
      <c r="E150">
        <v>96</v>
      </c>
    </row>
    <row r="151" spans="1:8" x14ac:dyDescent="0.3">
      <c r="E151">
        <v>101</v>
      </c>
    </row>
    <row r="153" spans="1:8" x14ac:dyDescent="0.3">
      <c r="A153">
        <v>15</v>
      </c>
      <c r="B153" t="s">
        <v>1009</v>
      </c>
    </row>
    <row r="155" spans="1:8" x14ac:dyDescent="0.3">
      <c r="B155" t="s">
        <v>135</v>
      </c>
      <c r="C155">
        <v>5</v>
      </c>
    </row>
    <row r="156" spans="1:8" x14ac:dyDescent="0.3">
      <c r="B156" t="s">
        <v>136</v>
      </c>
      <c r="C156">
        <v>6</v>
      </c>
      <c r="F156" t="s">
        <v>1012</v>
      </c>
      <c r="H156">
        <f>(5+6+6)/24</f>
        <v>0.70833333333333337</v>
      </c>
    </row>
    <row r="157" spans="1:8" x14ac:dyDescent="0.3">
      <c r="B157" t="s">
        <v>1010</v>
      </c>
      <c r="C157">
        <v>6</v>
      </c>
    </row>
    <row r="158" spans="1:8" x14ac:dyDescent="0.3">
      <c r="B158" t="s">
        <v>1011</v>
      </c>
      <c r="C158">
        <v>7</v>
      </c>
    </row>
    <row r="159" spans="1:8" x14ac:dyDescent="0.3">
      <c r="C159">
        <f>SUM(C155:C158)</f>
        <v>24</v>
      </c>
    </row>
    <row r="160" spans="1:8" ht="15" thickBot="1" x14ac:dyDescent="0.35"/>
    <row r="161" spans="1:9" ht="15" thickBot="1" x14ac:dyDescent="0.35">
      <c r="A161">
        <v>16</v>
      </c>
      <c r="D161" s="128">
        <v>1</v>
      </c>
      <c r="E161" s="89">
        <v>2</v>
      </c>
      <c r="F161" s="89">
        <v>3</v>
      </c>
      <c r="G161" s="89">
        <v>4</v>
      </c>
      <c r="H161" s="89">
        <v>5</v>
      </c>
      <c r="I161" s="90">
        <v>6</v>
      </c>
    </row>
    <row r="162" spans="1:9" x14ac:dyDescent="0.3">
      <c r="C162" s="98">
        <v>1</v>
      </c>
      <c r="D162">
        <v>2</v>
      </c>
      <c r="E162">
        <v>3</v>
      </c>
      <c r="F162">
        <v>4</v>
      </c>
      <c r="G162">
        <v>5</v>
      </c>
      <c r="H162">
        <v>6</v>
      </c>
      <c r="I162">
        <v>7</v>
      </c>
    </row>
    <row r="163" spans="1:9" x14ac:dyDescent="0.3">
      <c r="C163" s="99">
        <v>2</v>
      </c>
      <c r="D163">
        <v>3</v>
      </c>
      <c r="E163">
        <v>4</v>
      </c>
      <c r="F163">
        <v>5</v>
      </c>
      <c r="G163">
        <v>6</v>
      </c>
      <c r="H163">
        <v>7</v>
      </c>
      <c r="I163">
        <v>8</v>
      </c>
    </row>
    <row r="164" spans="1:9" x14ac:dyDescent="0.3">
      <c r="C164" s="99">
        <v>3</v>
      </c>
      <c r="D164">
        <v>4</v>
      </c>
      <c r="E164">
        <v>5</v>
      </c>
      <c r="F164">
        <v>6</v>
      </c>
      <c r="G164">
        <v>7</v>
      </c>
      <c r="H164">
        <v>8</v>
      </c>
      <c r="I164">
        <v>9</v>
      </c>
    </row>
    <row r="165" spans="1:9" x14ac:dyDescent="0.3">
      <c r="C165" s="99">
        <v>4</v>
      </c>
      <c r="D165">
        <v>5</v>
      </c>
      <c r="E165">
        <v>6</v>
      </c>
      <c r="F165">
        <v>7</v>
      </c>
      <c r="G165">
        <v>8</v>
      </c>
      <c r="H165">
        <v>9</v>
      </c>
      <c r="I165">
        <v>10</v>
      </c>
    </row>
    <row r="166" spans="1:9" x14ac:dyDescent="0.3">
      <c r="C166" s="99">
        <v>5</v>
      </c>
      <c r="D166">
        <v>6</v>
      </c>
      <c r="E166">
        <v>7</v>
      </c>
      <c r="F166">
        <v>8</v>
      </c>
      <c r="G166">
        <v>9</v>
      </c>
      <c r="H166">
        <v>10</v>
      </c>
      <c r="I166">
        <v>11</v>
      </c>
    </row>
    <row r="167" spans="1:9" ht="15" thickBot="1" x14ac:dyDescent="0.35">
      <c r="C167" s="100">
        <v>6</v>
      </c>
      <c r="D167">
        <v>7</v>
      </c>
      <c r="E167">
        <v>8</v>
      </c>
      <c r="F167">
        <v>9</v>
      </c>
      <c r="G167">
        <v>10</v>
      </c>
      <c r="H167">
        <v>11</v>
      </c>
      <c r="I167">
        <v>12</v>
      </c>
    </row>
    <row r="169" spans="1:9" x14ac:dyDescent="0.3">
      <c r="A169" t="s">
        <v>277</v>
      </c>
      <c r="B169" t="s">
        <v>1013</v>
      </c>
      <c r="C169">
        <f>0/36</f>
        <v>0</v>
      </c>
    </row>
    <row r="170" spans="1:9" x14ac:dyDescent="0.3">
      <c r="A170" t="s">
        <v>278</v>
      </c>
      <c r="B170" t="s">
        <v>1014</v>
      </c>
      <c r="C170">
        <f>3/36</f>
        <v>8.3333333333333329E-2</v>
      </c>
    </row>
    <row r="171" spans="1:9" x14ac:dyDescent="0.3">
      <c r="A171" t="s">
        <v>279</v>
      </c>
      <c r="B171" t="s">
        <v>1015</v>
      </c>
      <c r="C171">
        <f>36/36</f>
        <v>1</v>
      </c>
    </row>
    <row r="172" spans="1:9" ht="15" thickBot="1" x14ac:dyDescent="0.35"/>
    <row r="173" spans="1:9" ht="15" thickBot="1" x14ac:dyDescent="0.35">
      <c r="A173">
        <v>17</v>
      </c>
      <c r="B173" s="149" t="s">
        <v>1016</v>
      </c>
      <c r="C173" s="90" t="s">
        <v>30</v>
      </c>
    </row>
    <row r="174" spans="1:9" x14ac:dyDescent="0.3">
      <c r="B174" s="99">
        <v>0</v>
      </c>
      <c r="C174" s="95">
        <v>4</v>
      </c>
    </row>
    <row r="175" spans="1:9" x14ac:dyDescent="0.3">
      <c r="B175" s="99">
        <v>1</v>
      </c>
      <c r="C175" s="95">
        <v>3</v>
      </c>
    </row>
    <row r="176" spans="1:9" x14ac:dyDescent="0.3">
      <c r="B176" s="99">
        <v>2</v>
      </c>
      <c r="C176" s="95">
        <v>5</v>
      </c>
    </row>
    <row r="177" spans="1:4" x14ac:dyDescent="0.3">
      <c r="B177" s="99">
        <v>3</v>
      </c>
      <c r="C177" s="95">
        <v>2</v>
      </c>
    </row>
    <row r="178" spans="1:4" x14ac:dyDescent="0.3">
      <c r="B178" s="99">
        <v>4</v>
      </c>
      <c r="C178" s="95">
        <v>4</v>
      </c>
    </row>
    <row r="179" spans="1:4" x14ac:dyDescent="0.3">
      <c r="B179" s="99">
        <v>5</v>
      </c>
      <c r="C179" s="95">
        <v>1</v>
      </c>
    </row>
    <row r="180" spans="1:4" ht="15" thickBot="1" x14ac:dyDescent="0.35">
      <c r="B180" s="100">
        <v>6</v>
      </c>
      <c r="C180" s="97">
        <v>1</v>
      </c>
    </row>
    <row r="181" spans="1:4" ht="15" thickBot="1" x14ac:dyDescent="0.35">
      <c r="B181" s="149" t="s">
        <v>50</v>
      </c>
      <c r="C181" s="90">
        <f>SUM(C174:C180)</f>
        <v>20</v>
      </c>
    </row>
    <row r="184" spans="1:4" x14ac:dyDescent="0.3">
      <c r="B184" t="s">
        <v>1017</v>
      </c>
      <c r="C184">
        <f>SUM(C177:C180)/C181</f>
        <v>0.4</v>
      </c>
    </row>
    <row r="186" spans="1:4" x14ac:dyDescent="0.3">
      <c r="A186">
        <v>18</v>
      </c>
      <c r="B186" t="s">
        <v>1018</v>
      </c>
      <c r="D186">
        <f>3/20</f>
        <v>0.15</v>
      </c>
    </row>
    <row r="188" spans="1:4" x14ac:dyDescent="0.3">
      <c r="B188" t="s">
        <v>1019</v>
      </c>
      <c r="D188">
        <f>POISSON(1,0.15,TRUE)</f>
        <v>0.98981417288881646</v>
      </c>
    </row>
    <row r="190" spans="1:4" x14ac:dyDescent="0.3">
      <c r="A190">
        <v>19</v>
      </c>
      <c r="B190" t="s">
        <v>1020</v>
      </c>
      <c r="D190">
        <f>300/60</f>
        <v>5</v>
      </c>
    </row>
    <row r="192" spans="1:4" x14ac:dyDescent="0.3">
      <c r="A192" t="s">
        <v>277</v>
      </c>
      <c r="B192" t="s">
        <v>1021</v>
      </c>
      <c r="D192">
        <f>POISSON(0,5,FALSE)</f>
        <v>6.737946999085467E-3</v>
      </c>
    </row>
    <row r="193" spans="1:8" x14ac:dyDescent="0.3">
      <c r="A193" t="s">
        <v>278</v>
      </c>
      <c r="B193" t="s">
        <v>1022</v>
      </c>
      <c r="E193">
        <f>5*2</f>
        <v>10</v>
      </c>
    </row>
    <row r="194" spans="1:8" x14ac:dyDescent="0.3">
      <c r="A194" t="s">
        <v>279</v>
      </c>
      <c r="B194" t="s">
        <v>1023</v>
      </c>
      <c r="E194">
        <f>POISSON(10,10,FALSE)</f>
        <v>0.1251100357211333</v>
      </c>
    </row>
    <row r="196" spans="1:8" x14ac:dyDescent="0.3">
      <c r="A196">
        <v>20</v>
      </c>
      <c r="B196" t="s">
        <v>691</v>
      </c>
      <c r="C196">
        <v>5</v>
      </c>
    </row>
    <row r="197" spans="1:8" x14ac:dyDescent="0.3">
      <c r="B197" t="s">
        <v>985</v>
      </c>
      <c r="C197">
        <v>300</v>
      </c>
    </row>
    <row r="198" spans="1:8" x14ac:dyDescent="0.3">
      <c r="B198" t="s">
        <v>1024</v>
      </c>
      <c r="C198">
        <v>0.01</v>
      </c>
    </row>
    <row r="200" spans="1:8" x14ac:dyDescent="0.3">
      <c r="B200" t="s">
        <v>1025</v>
      </c>
      <c r="D200">
        <f>BINOMDIST(5,300,0.01,FALSE)</f>
        <v>0.10098526924610232</v>
      </c>
    </row>
    <row r="202" spans="1:8" x14ac:dyDescent="0.3">
      <c r="A202">
        <v>21</v>
      </c>
      <c r="B202">
        <f>COMBIN(6,5)*COMBIN(6,5)*COMBIN(6,5)</f>
        <v>216</v>
      </c>
      <c r="F202" t="s">
        <v>1026</v>
      </c>
      <c r="G202" t="s">
        <v>1027</v>
      </c>
      <c r="H202" t="s">
        <v>1028</v>
      </c>
    </row>
    <row r="203" spans="1:8" x14ac:dyDescent="0.3">
      <c r="F203">
        <v>1</v>
      </c>
      <c r="G203">
        <v>1</v>
      </c>
      <c r="H203">
        <v>1</v>
      </c>
    </row>
    <row r="204" spans="1:8" x14ac:dyDescent="0.3">
      <c r="F204">
        <v>1</v>
      </c>
      <c r="G204">
        <v>1</v>
      </c>
      <c r="H204">
        <v>2</v>
      </c>
    </row>
    <row r="205" spans="1:8" x14ac:dyDescent="0.3">
      <c r="F205">
        <v>1</v>
      </c>
      <c r="G205">
        <v>1</v>
      </c>
      <c r="H205">
        <v>3</v>
      </c>
    </row>
    <row r="206" spans="1:8" x14ac:dyDescent="0.3">
      <c r="F206">
        <v>1</v>
      </c>
      <c r="G206">
        <v>1</v>
      </c>
      <c r="H206">
        <v>4</v>
      </c>
    </row>
    <row r="207" spans="1:8" x14ac:dyDescent="0.3">
      <c r="F207">
        <v>1</v>
      </c>
      <c r="G207">
        <v>1</v>
      </c>
      <c r="H207">
        <v>5</v>
      </c>
    </row>
    <row r="208" spans="1:8" x14ac:dyDescent="0.3">
      <c r="F208">
        <v>1</v>
      </c>
      <c r="G208">
        <v>1</v>
      </c>
      <c r="H208">
        <v>6</v>
      </c>
    </row>
    <row r="209" spans="6:8" x14ac:dyDescent="0.3">
      <c r="F209">
        <v>1</v>
      </c>
      <c r="G209">
        <v>2</v>
      </c>
      <c r="H209">
        <v>1</v>
      </c>
    </row>
    <row r="210" spans="6:8" x14ac:dyDescent="0.3">
      <c r="F210">
        <v>1</v>
      </c>
      <c r="G210">
        <v>2</v>
      </c>
      <c r="H210">
        <v>2</v>
      </c>
    </row>
    <row r="211" spans="6:8" x14ac:dyDescent="0.3">
      <c r="F211">
        <v>1</v>
      </c>
      <c r="G211">
        <v>2</v>
      </c>
      <c r="H211">
        <v>3</v>
      </c>
    </row>
    <row r="212" spans="6:8" x14ac:dyDescent="0.3">
      <c r="F212">
        <v>1</v>
      </c>
      <c r="G212">
        <v>2</v>
      </c>
      <c r="H212">
        <v>4</v>
      </c>
    </row>
    <row r="213" spans="6:8" x14ac:dyDescent="0.3">
      <c r="F213">
        <v>1</v>
      </c>
      <c r="G213">
        <v>2</v>
      </c>
      <c r="H213">
        <v>5</v>
      </c>
    </row>
    <row r="214" spans="6:8" x14ac:dyDescent="0.3">
      <c r="F214">
        <v>1</v>
      </c>
      <c r="G214">
        <v>2</v>
      </c>
      <c r="H214">
        <v>6</v>
      </c>
    </row>
    <row r="215" spans="6:8" x14ac:dyDescent="0.3">
      <c r="F215">
        <v>1</v>
      </c>
      <c r="G215">
        <v>3</v>
      </c>
      <c r="H215">
        <v>1</v>
      </c>
    </row>
    <row r="216" spans="6:8" x14ac:dyDescent="0.3">
      <c r="F216">
        <v>1</v>
      </c>
      <c r="G216">
        <v>3</v>
      </c>
      <c r="H216">
        <v>2</v>
      </c>
    </row>
    <row r="217" spans="6:8" x14ac:dyDescent="0.3">
      <c r="F217">
        <v>1</v>
      </c>
      <c r="G217">
        <v>3</v>
      </c>
      <c r="H217">
        <v>3</v>
      </c>
    </row>
    <row r="218" spans="6:8" x14ac:dyDescent="0.3">
      <c r="F218">
        <v>1</v>
      </c>
      <c r="G218">
        <v>3</v>
      </c>
      <c r="H218">
        <v>4</v>
      </c>
    </row>
    <row r="219" spans="6:8" x14ac:dyDescent="0.3">
      <c r="F219">
        <v>1</v>
      </c>
      <c r="G219">
        <v>3</v>
      </c>
      <c r="H219">
        <v>5</v>
      </c>
    </row>
    <row r="220" spans="6:8" x14ac:dyDescent="0.3">
      <c r="F220">
        <v>1</v>
      </c>
      <c r="G220">
        <v>3</v>
      </c>
      <c r="H220">
        <v>6</v>
      </c>
    </row>
    <row r="221" spans="6:8" x14ac:dyDescent="0.3">
      <c r="F221">
        <v>1</v>
      </c>
      <c r="G221">
        <v>4</v>
      </c>
      <c r="H221">
        <v>1</v>
      </c>
    </row>
    <row r="222" spans="6:8" x14ac:dyDescent="0.3">
      <c r="F222">
        <v>1</v>
      </c>
      <c r="G222">
        <v>4</v>
      </c>
      <c r="H222">
        <v>2</v>
      </c>
    </row>
    <row r="223" spans="6:8" x14ac:dyDescent="0.3">
      <c r="F223">
        <v>1</v>
      </c>
      <c r="G223">
        <v>4</v>
      </c>
      <c r="H223">
        <v>3</v>
      </c>
    </row>
    <row r="224" spans="6:8" x14ac:dyDescent="0.3">
      <c r="F224">
        <v>1</v>
      </c>
      <c r="G224">
        <v>4</v>
      </c>
      <c r="H224">
        <v>4</v>
      </c>
    </row>
    <row r="225" spans="6:8" x14ac:dyDescent="0.3">
      <c r="F225">
        <v>1</v>
      </c>
      <c r="G225">
        <v>4</v>
      </c>
      <c r="H225">
        <v>5</v>
      </c>
    </row>
    <row r="226" spans="6:8" x14ac:dyDescent="0.3">
      <c r="F226">
        <v>1</v>
      </c>
      <c r="G226">
        <v>4</v>
      </c>
      <c r="H226">
        <v>6</v>
      </c>
    </row>
    <row r="227" spans="6:8" x14ac:dyDescent="0.3">
      <c r="F227">
        <v>1</v>
      </c>
      <c r="G227">
        <v>5</v>
      </c>
      <c r="H227">
        <v>1</v>
      </c>
    </row>
    <row r="228" spans="6:8" x14ac:dyDescent="0.3">
      <c r="F228">
        <v>1</v>
      </c>
      <c r="G228">
        <v>5</v>
      </c>
      <c r="H228">
        <v>2</v>
      </c>
    </row>
    <row r="229" spans="6:8" x14ac:dyDescent="0.3">
      <c r="F229">
        <v>1</v>
      </c>
      <c r="G229">
        <v>5</v>
      </c>
      <c r="H229">
        <v>3</v>
      </c>
    </row>
    <row r="230" spans="6:8" x14ac:dyDescent="0.3">
      <c r="F230">
        <v>1</v>
      </c>
      <c r="G230">
        <v>5</v>
      </c>
      <c r="H230">
        <v>4</v>
      </c>
    </row>
    <row r="231" spans="6:8" x14ac:dyDescent="0.3">
      <c r="F231">
        <v>1</v>
      </c>
      <c r="G231">
        <v>5</v>
      </c>
      <c r="H231">
        <v>5</v>
      </c>
    </row>
    <row r="232" spans="6:8" x14ac:dyDescent="0.3">
      <c r="F232">
        <v>1</v>
      </c>
      <c r="G232">
        <v>5</v>
      </c>
      <c r="H232">
        <v>6</v>
      </c>
    </row>
    <row r="233" spans="6:8" x14ac:dyDescent="0.3">
      <c r="F233">
        <v>1</v>
      </c>
      <c r="G233">
        <v>6</v>
      </c>
      <c r="H233">
        <v>1</v>
      </c>
    </row>
    <row r="234" spans="6:8" x14ac:dyDescent="0.3">
      <c r="F234">
        <v>1</v>
      </c>
      <c r="G234">
        <v>6</v>
      </c>
      <c r="H234">
        <v>2</v>
      </c>
    </row>
    <row r="235" spans="6:8" x14ac:dyDescent="0.3">
      <c r="F235">
        <v>1</v>
      </c>
      <c r="G235">
        <v>6</v>
      </c>
      <c r="H235">
        <v>3</v>
      </c>
    </row>
    <row r="236" spans="6:8" x14ac:dyDescent="0.3">
      <c r="F236">
        <v>1</v>
      </c>
      <c r="G236">
        <v>6</v>
      </c>
      <c r="H236">
        <v>4</v>
      </c>
    </row>
    <row r="237" spans="6:8" x14ac:dyDescent="0.3">
      <c r="F237">
        <v>1</v>
      </c>
      <c r="G237">
        <v>6</v>
      </c>
      <c r="H237">
        <v>5</v>
      </c>
    </row>
    <row r="238" spans="6:8" x14ac:dyDescent="0.3">
      <c r="F238">
        <v>1</v>
      </c>
      <c r="G238">
        <v>6</v>
      </c>
      <c r="H238">
        <v>6</v>
      </c>
    </row>
    <row r="239" spans="6:8" x14ac:dyDescent="0.3">
      <c r="F239">
        <v>2</v>
      </c>
      <c r="G239">
        <v>1</v>
      </c>
      <c r="H239">
        <v>1</v>
      </c>
    </row>
    <row r="240" spans="6:8" x14ac:dyDescent="0.3">
      <c r="F240">
        <v>2</v>
      </c>
      <c r="G240">
        <v>1</v>
      </c>
      <c r="H240">
        <v>2</v>
      </c>
    </row>
    <row r="241" spans="6:8" x14ac:dyDescent="0.3">
      <c r="F241">
        <v>2</v>
      </c>
      <c r="G241">
        <v>1</v>
      </c>
      <c r="H241">
        <v>3</v>
      </c>
    </row>
    <row r="242" spans="6:8" x14ac:dyDescent="0.3">
      <c r="F242">
        <v>2</v>
      </c>
      <c r="G242">
        <v>1</v>
      </c>
      <c r="H242">
        <v>4</v>
      </c>
    </row>
    <row r="243" spans="6:8" x14ac:dyDescent="0.3">
      <c r="F243">
        <v>2</v>
      </c>
      <c r="G243">
        <v>1</v>
      </c>
      <c r="H243">
        <v>5</v>
      </c>
    </row>
    <row r="244" spans="6:8" x14ac:dyDescent="0.3">
      <c r="F244">
        <v>2</v>
      </c>
      <c r="G244">
        <v>1</v>
      </c>
      <c r="H244">
        <v>6</v>
      </c>
    </row>
    <row r="245" spans="6:8" x14ac:dyDescent="0.3">
      <c r="F245">
        <v>2</v>
      </c>
      <c r="G245">
        <v>2</v>
      </c>
      <c r="H245">
        <v>1</v>
      </c>
    </row>
    <row r="246" spans="6:8" x14ac:dyDescent="0.3">
      <c r="F246">
        <v>2</v>
      </c>
      <c r="G246">
        <v>2</v>
      </c>
      <c r="H246">
        <v>2</v>
      </c>
    </row>
    <row r="247" spans="6:8" x14ac:dyDescent="0.3">
      <c r="F247">
        <v>2</v>
      </c>
      <c r="G247">
        <v>2</v>
      </c>
      <c r="H247">
        <v>3</v>
      </c>
    </row>
    <row r="248" spans="6:8" x14ac:dyDescent="0.3">
      <c r="F248">
        <v>2</v>
      </c>
      <c r="G248">
        <v>2</v>
      </c>
      <c r="H248">
        <v>4</v>
      </c>
    </row>
    <row r="249" spans="6:8" x14ac:dyDescent="0.3">
      <c r="F249">
        <v>2</v>
      </c>
      <c r="G249">
        <v>2</v>
      </c>
      <c r="H249">
        <v>5</v>
      </c>
    </row>
    <row r="250" spans="6:8" x14ac:dyDescent="0.3">
      <c r="F250">
        <v>2</v>
      </c>
      <c r="G250">
        <v>2</v>
      </c>
      <c r="H250">
        <v>6</v>
      </c>
    </row>
    <row r="251" spans="6:8" x14ac:dyDescent="0.3">
      <c r="F251">
        <v>2</v>
      </c>
      <c r="G251">
        <v>3</v>
      </c>
      <c r="H251">
        <v>1</v>
      </c>
    </row>
    <row r="252" spans="6:8" x14ac:dyDescent="0.3">
      <c r="F252">
        <v>2</v>
      </c>
      <c r="G252">
        <v>3</v>
      </c>
      <c r="H252">
        <v>2</v>
      </c>
    </row>
    <row r="253" spans="6:8" x14ac:dyDescent="0.3">
      <c r="F253">
        <v>2</v>
      </c>
      <c r="G253">
        <v>3</v>
      </c>
      <c r="H253">
        <v>3</v>
      </c>
    </row>
    <row r="254" spans="6:8" x14ac:dyDescent="0.3">
      <c r="F254">
        <v>2</v>
      </c>
      <c r="G254">
        <v>3</v>
      </c>
      <c r="H254">
        <v>4</v>
      </c>
    </row>
    <row r="255" spans="6:8" x14ac:dyDescent="0.3">
      <c r="F255">
        <v>2</v>
      </c>
      <c r="G255">
        <v>3</v>
      </c>
      <c r="H255">
        <v>5</v>
      </c>
    </row>
    <row r="256" spans="6:8" x14ac:dyDescent="0.3">
      <c r="F256">
        <v>2</v>
      </c>
      <c r="G256">
        <v>3</v>
      </c>
      <c r="H256">
        <v>6</v>
      </c>
    </row>
    <row r="257" spans="6:8" x14ac:dyDescent="0.3">
      <c r="F257">
        <v>2</v>
      </c>
      <c r="G257">
        <v>4</v>
      </c>
      <c r="H257">
        <v>1</v>
      </c>
    </row>
    <row r="258" spans="6:8" x14ac:dyDescent="0.3">
      <c r="F258">
        <v>2</v>
      </c>
      <c r="G258">
        <v>4</v>
      </c>
      <c r="H258">
        <v>2</v>
      </c>
    </row>
    <row r="259" spans="6:8" x14ac:dyDescent="0.3">
      <c r="F259">
        <v>2</v>
      </c>
      <c r="G259">
        <v>4</v>
      </c>
      <c r="H259">
        <v>3</v>
      </c>
    </row>
    <row r="260" spans="6:8" x14ac:dyDescent="0.3">
      <c r="F260">
        <v>2</v>
      </c>
      <c r="G260">
        <v>4</v>
      </c>
      <c r="H260">
        <v>4</v>
      </c>
    </row>
    <row r="261" spans="6:8" x14ac:dyDescent="0.3">
      <c r="F261">
        <v>2</v>
      </c>
      <c r="G261">
        <v>4</v>
      </c>
      <c r="H261">
        <v>5</v>
      </c>
    </row>
    <row r="262" spans="6:8" x14ac:dyDescent="0.3">
      <c r="F262">
        <v>2</v>
      </c>
      <c r="G262">
        <v>4</v>
      </c>
      <c r="H262">
        <v>6</v>
      </c>
    </row>
    <row r="263" spans="6:8" x14ac:dyDescent="0.3">
      <c r="F263">
        <v>2</v>
      </c>
      <c r="G263">
        <v>5</v>
      </c>
      <c r="H263">
        <v>1</v>
      </c>
    </row>
    <row r="264" spans="6:8" x14ac:dyDescent="0.3">
      <c r="F264">
        <v>2</v>
      </c>
      <c r="G264">
        <v>5</v>
      </c>
      <c r="H264">
        <v>2</v>
      </c>
    </row>
    <row r="265" spans="6:8" x14ac:dyDescent="0.3">
      <c r="F265">
        <v>2</v>
      </c>
      <c r="G265">
        <v>5</v>
      </c>
      <c r="H265">
        <v>3</v>
      </c>
    </row>
    <row r="266" spans="6:8" x14ac:dyDescent="0.3">
      <c r="F266">
        <v>2</v>
      </c>
      <c r="G266">
        <v>5</v>
      </c>
      <c r="H266">
        <v>4</v>
      </c>
    </row>
    <row r="267" spans="6:8" x14ac:dyDescent="0.3">
      <c r="F267">
        <v>2</v>
      </c>
      <c r="G267">
        <v>5</v>
      </c>
      <c r="H267">
        <v>5</v>
      </c>
    </row>
    <row r="268" spans="6:8" x14ac:dyDescent="0.3">
      <c r="F268">
        <v>2</v>
      </c>
      <c r="G268">
        <v>5</v>
      </c>
      <c r="H268">
        <v>6</v>
      </c>
    </row>
    <row r="269" spans="6:8" x14ac:dyDescent="0.3">
      <c r="F269">
        <v>2</v>
      </c>
      <c r="G269">
        <v>6</v>
      </c>
      <c r="H269">
        <v>1</v>
      </c>
    </row>
    <row r="270" spans="6:8" x14ac:dyDescent="0.3">
      <c r="F270">
        <v>2</v>
      </c>
      <c r="G270">
        <v>6</v>
      </c>
      <c r="H270">
        <v>2</v>
      </c>
    </row>
    <row r="271" spans="6:8" x14ac:dyDescent="0.3">
      <c r="F271">
        <v>2</v>
      </c>
      <c r="G271">
        <v>6</v>
      </c>
      <c r="H271">
        <v>3</v>
      </c>
    </row>
    <row r="272" spans="6:8" x14ac:dyDescent="0.3">
      <c r="F272">
        <v>2</v>
      </c>
      <c r="G272">
        <v>6</v>
      </c>
      <c r="H272">
        <v>4</v>
      </c>
    </row>
    <row r="273" spans="6:8" x14ac:dyDescent="0.3">
      <c r="F273">
        <v>2</v>
      </c>
      <c r="G273">
        <v>6</v>
      </c>
      <c r="H273">
        <v>5</v>
      </c>
    </row>
    <row r="274" spans="6:8" x14ac:dyDescent="0.3">
      <c r="F274">
        <v>2</v>
      </c>
      <c r="G274">
        <v>6</v>
      </c>
      <c r="H274">
        <v>6</v>
      </c>
    </row>
    <row r="275" spans="6:8" x14ac:dyDescent="0.3">
      <c r="F275">
        <v>3</v>
      </c>
      <c r="G275">
        <v>1</v>
      </c>
      <c r="H275">
        <v>1</v>
      </c>
    </row>
    <row r="276" spans="6:8" x14ac:dyDescent="0.3">
      <c r="F276">
        <v>3</v>
      </c>
      <c r="G276">
        <v>1</v>
      </c>
      <c r="H276">
        <v>2</v>
      </c>
    </row>
    <row r="277" spans="6:8" x14ac:dyDescent="0.3">
      <c r="F277">
        <v>3</v>
      </c>
      <c r="G277">
        <v>1</v>
      </c>
      <c r="H277">
        <v>3</v>
      </c>
    </row>
    <row r="278" spans="6:8" x14ac:dyDescent="0.3">
      <c r="F278">
        <v>3</v>
      </c>
      <c r="G278">
        <v>1</v>
      </c>
      <c r="H278">
        <v>4</v>
      </c>
    </row>
    <row r="279" spans="6:8" x14ac:dyDescent="0.3">
      <c r="F279">
        <v>3</v>
      </c>
      <c r="G279">
        <v>1</v>
      </c>
      <c r="H279">
        <v>5</v>
      </c>
    </row>
    <row r="280" spans="6:8" x14ac:dyDescent="0.3">
      <c r="F280">
        <v>3</v>
      </c>
      <c r="G280">
        <v>1</v>
      </c>
      <c r="H280">
        <v>6</v>
      </c>
    </row>
    <row r="281" spans="6:8" x14ac:dyDescent="0.3">
      <c r="F281">
        <v>3</v>
      </c>
      <c r="G281">
        <v>2</v>
      </c>
      <c r="H281">
        <v>1</v>
      </c>
    </row>
    <row r="282" spans="6:8" x14ac:dyDescent="0.3">
      <c r="F282">
        <v>3</v>
      </c>
      <c r="G282">
        <v>2</v>
      </c>
      <c r="H282">
        <v>2</v>
      </c>
    </row>
    <row r="283" spans="6:8" x14ac:dyDescent="0.3">
      <c r="F283">
        <v>3</v>
      </c>
      <c r="G283">
        <v>2</v>
      </c>
      <c r="H283">
        <v>3</v>
      </c>
    </row>
    <row r="284" spans="6:8" x14ac:dyDescent="0.3">
      <c r="F284">
        <v>3</v>
      </c>
      <c r="G284">
        <v>2</v>
      </c>
      <c r="H284">
        <v>4</v>
      </c>
    </row>
    <row r="285" spans="6:8" x14ac:dyDescent="0.3">
      <c r="F285">
        <v>3</v>
      </c>
      <c r="G285">
        <v>2</v>
      </c>
      <c r="H285">
        <v>5</v>
      </c>
    </row>
    <row r="286" spans="6:8" x14ac:dyDescent="0.3">
      <c r="F286">
        <v>3</v>
      </c>
      <c r="G286">
        <v>2</v>
      </c>
      <c r="H286">
        <v>6</v>
      </c>
    </row>
    <row r="287" spans="6:8" x14ac:dyDescent="0.3">
      <c r="F287">
        <v>3</v>
      </c>
      <c r="G287">
        <v>3</v>
      </c>
      <c r="H287">
        <v>1</v>
      </c>
    </row>
    <row r="288" spans="6:8" x14ac:dyDescent="0.3">
      <c r="F288">
        <v>3</v>
      </c>
      <c r="G288">
        <v>3</v>
      </c>
      <c r="H288">
        <v>2</v>
      </c>
    </row>
    <row r="289" spans="6:8" x14ac:dyDescent="0.3">
      <c r="F289">
        <v>3</v>
      </c>
      <c r="G289">
        <v>3</v>
      </c>
      <c r="H289">
        <v>3</v>
      </c>
    </row>
    <row r="290" spans="6:8" x14ac:dyDescent="0.3">
      <c r="F290">
        <v>3</v>
      </c>
      <c r="G290">
        <v>3</v>
      </c>
      <c r="H290">
        <v>4</v>
      </c>
    </row>
    <row r="291" spans="6:8" x14ac:dyDescent="0.3">
      <c r="F291">
        <v>3</v>
      </c>
      <c r="G291">
        <v>3</v>
      </c>
      <c r="H291">
        <v>5</v>
      </c>
    </row>
    <row r="292" spans="6:8" x14ac:dyDescent="0.3">
      <c r="F292">
        <v>3</v>
      </c>
      <c r="G292">
        <v>3</v>
      </c>
      <c r="H292">
        <v>6</v>
      </c>
    </row>
    <row r="293" spans="6:8" x14ac:dyDescent="0.3">
      <c r="F293">
        <v>3</v>
      </c>
      <c r="G293">
        <v>4</v>
      </c>
      <c r="H293">
        <v>1</v>
      </c>
    </row>
    <row r="294" spans="6:8" x14ac:dyDescent="0.3">
      <c r="F294">
        <v>3</v>
      </c>
      <c r="G294">
        <v>4</v>
      </c>
      <c r="H294">
        <v>2</v>
      </c>
    </row>
    <row r="295" spans="6:8" x14ac:dyDescent="0.3">
      <c r="F295">
        <v>3</v>
      </c>
      <c r="G295">
        <v>4</v>
      </c>
      <c r="H295">
        <v>3</v>
      </c>
    </row>
    <row r="296" spans="6:8" x14ac:dyDescent="0.3">
      <c r="F296">
        <v>3</v>
      </c>
      <c r="G296">
        <v>4</v>
      </c>
      <c r="H296">
        <v>4</v>
      </c>
    </row>
    <row r="297" spans="6:8" x14ac:dyDescent="0.3">
      <c r="F297">
        <v>3</v>
      </c>
      <c r="G297">
        <v>4</v>
      </c>
      <c r="H297">
        <v>5</v>
      </c>
    </row>
    <row r="298" spans="6:8" x14ac:dyDescent="0.3">
      <c r="F298">
        <v>3</v>
      </c>
      <c r="G298">
        <v>4</v>
      </c>
      <c r="H298">
        <v>6</v>
      </c>
    </row>
    <row r="299" spans="6:8" x14ac:dyDescent="0.3">
      <c r="F299">
        <v>3</v>
      </c>
      <c r="G299">
        <v>5</v>
      </c>
      <c r="H299">
        <v>1</v>
      </c>
    </row>
    <row r="300" spans="6:8" x14ac:dyDescent="0.3">
      <c r="F300">
        <v>3</v>
      </c>
      <c r="G300">
        <v>5</v>
      </c>
      <c r="H300">
        <v>2</v>
      </c>
    </row>
    <row r="301" spans="6:8" x14ac:dyDescent="0.3">
      <c r="F301">
        <v>3</v>
      </c>
      <c r="G301">
        <v>5</v>
      </c>
      <c r="H301">
        <v>3</v>
      </c>
    </row>
    <row r="302" spans="6:8" x14ac:dyDescent="0.3">
      <c r="F302">
        <v>3</v>
      </c>
      <c r="G302">
        <v>5</v>
      </c>
      <c r="H302">
        <v>4</v>
      </c>
    </row>
    <row r="303" spans="6:8" x14ac:dyDescent="0.3">
      <c r="F303">
        <v>3</v>
      </c>
      <c r="G303">
        <v>5</v>
      </c>
      <c r="H303">
        <v>5</v>
      </c>
    </row>
    <row r="304" spans="6:8" x14ac:dyDescent="0.3">
      <c r="F304">
        <v>3</v>
      </c>
      <c r="G304">
        <v>5</v>
      </c>
      <c r="H304">
        <v>6</v>
      </c>
    </row>
    <row r="305" spans="6:8" x14ac:dyDescent="0.3">
      <c r="F305">
        <v>3</v>
      </c>
      <c r="G305">
        <v>6</v>
      </c>
      <c r="H305">
        <v>1</v>
      </c>
    </row>
    <row r="306" spans="6:8" x14ac:dyDescent="0.3">
      <c r="F306">
        <v>3</v>
      </c>
      <c r="G306">
        <v>6</v>
      </c>
      <c r="H306">
        <v>2</v>
      </c>
    </row>
    <row r="307" spans="6:8" x14ac:dyDescent="0.3">
      <c r="F307">
        <v>3</v>
      </c>
      <c r="G307">
        <v>6</v>
      </c>
      <c r="H307">
        <v>3</v>
      </c>
    </row>
    <row r="308" spans="6:8" x14ac:dyDescent="0.3">
      <c r="F308">
        <v>3</v>
      </c>
      <c r="G308">
        <v>6</v>
      </c>
      <c r="H308">
        <v>4</v>
      </c>
    </row>
    <row r="309" spans="6:8" x14ac:dyDescent="0.3">
      <c r="F309">
        <v>3</v>
      </c>
      <c r="G309">
        <v>6</v>
      </c>
      <c r="H309">
        <v>5</v>
      </c>
    </row>
    <row r="310" spans="6:8" x14ac:dyDescent="0.3">
      <c r="F310">
        <v>3</v>
      </c>
      <c r="G310">
        <v>6</v>
      </c>
      <c r="H310">
        <v>6</v>
      </c>
    </row>
    <row r="311" spans="6:8" x14ac:dyDescent="0.3">
      <c r="F311">
        <v>4</v>
      </c>
      <c r="G311">
        <v>1</v>
      </c>
      <c r="H311">
        <v>1</v>
      </c>
    </row>
    <row r="312" spans="6:8" x14ac:dyDescent="0.3">
      <c r="F312">
        <v>4</v>
      </c>
      <c r="G312">
        <v>1</v>
      </c>
      <c r="H312">
        <v>2</v>
      </c>
    </row>
    <row r="313" spans="6:8" x14ac:dyDescent="0.3">
      <c r="F313">
        <v>4</v>
      </c>
      <c r="G313">
        <v>1</v>
      </c>
      <c r="H313">
        <v>3</v>
      </c>
    </row>
    <row r="314" spans="6:8" x14ac:dyDescent="0.3">
      <c r="F314">
        <v>4</v>
      </c>
      <c r="G314">
        <v>1</v>
      </c>
      <c r="H314">
        <v>4</v>
      </c>
    </row>
    <row r="315" spans="6:8" x14ac:dyDescent="0.3">
      <c r="F315">
        <v>4</v>
      </c>
      <c r="G315">
        <v>1</v>
      </c>
      <c r="H315">
        <v>5</v>
      </c>
    </row>
    <row r="316" spans="6:8" x14ac:dyDescent="0.3">
      <c r="F316">
        <v>4</v>
      </c>
      <c r="G316">
        <v>1</v>
      </c>
      <c r="H316">
        <v>6</v>
      </c>
    </row>
    <row r="317" spans="6:8" x14ac:dyDescent="0.3">
      <c r="F317">
        <v>4</v>
      </c>
      <c r="G317">
        <v>2</v>
      </c>
      <c r="H317">
        <v>1</v>
      </c>
    </row>
    <row r="318" spans="6:8" x14ac:dyDescent="0.3">
      <c r="F318">
        <v>4</v>
      </c>
      <c r="G318">
        <v>2</v>
      </c>
      <c r="H318">
        <v>2</v>
      </c>
    </row>
    <row r="319" spans="6:8" x14ac:dyDescent="0.3">
      <c r="F319">
        <v>4</v>
      </c>
      <c r="G319">
        <v>2</v>
      </c>
      <c r="H319">
        <v>3</v>
      </c>
    </row>
    <row r="320" spans="6:8" x14ac:dyDescent="0.3">
      <c r="F320">
        <v>4</v>
      </c>
      <c r="G320">
        <v>2</v>
      </c>
      <c r="H320">
        <v>4</v>
      </c>
    </row>
    <row r="321" spans="6:8" x14ac:dyDescent="0.3">
      <c r="F321">
        <v>4</v>
      </c>
      <c r="G321">
        <v>2</v>
      </c>
      <c r="H321">
        <v>5</v>
      </c>
    </row>
    <row r="322" spans="6:8" x14ac:dyDescent="0.3">
      <c r="F322">
        <v>4</v>
      </c>
      <c r="G322">
        <v>2</v>
      </c>
      <c r="H322">
        <v>6</v>
      </c>
    </row>
    <row r="323" spans="6:8" x14ac:dyDescent="0.3">
      <c r="F323">
        <v>4</v>
      </c>
      <c r="G323">
        <v>3</v>
      </c>
      <c r="H323">
        <v>1</v>
      </c>
    </row>
    <row r="324" spans="6:8" x14ac:dyDescent="0.3">
      <c r="F324">
        <v>4</v>
      </c>
      <c r="G324">
        <v>3</v>
      </c>
      <c r="H324">
        <v>2</v>
      </c>
    </row>
    <row r="325" spans="6:8" x14ac:dyDescent="0.3">
      <c r="F325">
        <v>4</v>
      </c>
      <c r="G325">
        <v>3</v>
      </c>
      <c r="H325">
        <v>3</v>
      </c>
    </row>
    <row r="326" spans="6:8" x14ac:dyDescent="0.3">
      <c r="F326">
        <v>4</v>
      </c>
      <c r="G326">
        <v>3</v>
      </c>
      <c r="H326">
        <v>4</v>
      </c>
    </row>
    <row r="327" spans="6:8" x14ac:dyDescent="0.3">
      <c r="F327">
        <v>4</v>
      </c>
      <c r="G327">
        <v>3</v>
      </c>
      <c r="H327">
        <v>5</v>
      </c>
    </row>
    <row r="328" spans="6:8" x14ac:dyDescent="0.3">
      <c r="F328">
        <v>4</v>
      </c>
      <c r="G328">
        <v>3</v>
      </c>
      <c r="H328">
        <v>6</v>
      </c>
    </row>
    <row r="329" spans="6:8" x14ac:dyDescent="0.3">
      <c r="F329">
        <v>4</v>
      </c>
      <c r="G329">
        <v>4</v>
      </c>
      <c r="H329">
        <v>1</v>
      </c>
    </row>
    <row r="330" spans="6:8" x14ac:dyDescent="0.3">
      <c r="F330">
        <v>4</v>
      </c>
      <c r="G330">
        <v>4</v>
      </c>
      <c r="H330">
        <v>2</v>
      </c>
    </row>
    <row r="331" spans="6:8" x14ac:dyDescent="0.3">
      <c r="F331">
        <v>4</v>
      </c>
      <c r="G331">
        <v>4</v>
      </c>
      <c r="H331">
        <v>3</v>
      </c>
    </row>
    <row r="332" spans="6:8" x14ac:dyDescent="0.3">
      <c r="F332">
        <v>4</v>
      </c>
      <c r="G332">
        <v>4</v>
      </c>
      <c r="H332">
        <v>4</v>
      </c>
    </row>
    <row r="333" spans="6:8" x14ac:dyDescent="0.3">
      <c r="F333">
        <v>4</v>
      </c>
      <c r="G333">
        <v>4</v>
      </c>
      <c r="H333">
        <v>5</v>
      </c>
    </row>
    <row r="334" spans="6:8" x14ac:dyDescent="0.3">
      <c r="F334">
        <v>4</v>
      </c>
      <c r="G334">
        <v>4</v>
      </c>
      <c r="H334">
        <v>6</v>
      </c>
    </row>
    <row r="335" spans="6:8" x14ac:dyDescent="0.3">
      <c r="F335">
        <v>4</v>
      </c>
      <c r="G335">
        <v>5</v>
      </c>
      <c r="H335">
        <v>1</v>
      </c>
    </row>
    <row r="336" spans="6:8" x14ac:dyDescent="0.3">
      <c r="F336">
        <v>4</v>
      </c>
      <c r="G336">
        <v>5</v>
      </c>
      <c r="H336">
        <v>2</v>
      </c>
    </row>
    <row r="337" spans="6:8" x14ac:dyDescent="0.3">
      <c r="F337">
        <v>4</v>
      </c>
      <c r="G337">
        <v>5</v>
      </c>
      <c r="H337">
        <v>3</v>
      </c>
    </row>
    <row r="338" spans="6:8" x14ac:dyDescent="0.3">
      <c r="F338">
        <v>4</v>
      </c>
      <c r="G338">
        <v>5</v>
      </c>
      <c r="H338">
        <v>4</v>
      </c>
    </row>
    <row r="339" spans="6:8" x14ac:dyDescent="0.3">
      <c r="F339">
        <v>4</v>
      </c>
      <c r="G339">
        <v>5</v>
      </c>
      <c r="H339">
        <v>5</v>
      </c>
    </row>
    <row r="340" spans="6:8" x14ac:dyDescent="0.3">
      <c r="F340">
        <v>4</v>
      </c>
      <c r="G340">
        <v>5</v>
      </c>
      <c r="H340">
        <v>6</v>
      </c>
    </row>
    <row r="341" spans="6:8" x14ac:dyDescent="0.3">
      <c r="F341">
        <v>4</v>
      </c>
      <c r="G341">
        <v>6</v>
      </c>
      <c r="H341">
        <v>1</v>
      </c>
    </row>
    <row r="342" spans="6:8" x14ac:dyDescent="0.3">
      <c r="F342">
        <v>4</v>
      </c>
      <c r="G342">
        <v>6</v>
      </c>
      <c r="H342">
        <v>2</v>
      </c>
    </row>
    <row r="343" spans="6:8" x14ac:dyDescent="0.3">
      <c r="F343">
        <v>4</v>
      </c>
      <c r="G343">
        <v>6</v>
      </c>
      <c r="H343">
        <v>3</v>
      </c>
    </row>
    <row r="344" spans="6:8" x14ac:dyDescent="0.3">
      <c r="F344">
        <v>4</v>
      </c>
      <c r="G344">
        <v>6</v>
      </c>
      <c r="H344">
        <v>4</v>
      </c>
    </row>
    <row r="345" spans="6:8" x14ac:dyDescent="0.3">
      <c r="F345">
        <v>4</v>
      </c>
      <c r="G345">
        <v>6</v>
      </c>
      <c r="H345">
        <v>5</v>
      </c>
    </row>
    <row r="346" spans="6:8" x14ac:dyDescent="0.3">
      <c r="F346">
        <v>4</v>
      </c>
      <c r="G346">
        <v>6</v>
      </c>
      <c r="H346">
        <v>6</v>
      </c>
    </row>
    <row r="347" spans="6:8" x14ac:dyDescent="0.3">
      <c r="F347">
        <v>5</v>
      </c>
      <c r="G347">
        <v>1</v>
      </c>
      <c r="H347">
        <v>1</v>
      </c>
    </row>
    <row r="348" spans="6:8" x14ac:dyDescent="0.3">
      <c r="F348">
        <v>5</v>
      </c>
      <c r="G348">
        <v>1</v>
      </c>
      <c r="H348">
        <v>2</v>
      </c>
    </row>
    <row r="349" spans="6:8" x14ac:dyDescent="0.3">
      <c r="F349">
        <v>5</v>
      </c>
      <c r="G349">
        <v>1</v>
      </c>
      <c r="H349">
        <v>3</v>
      </c>
    </row>
    <row r="350" spans="6:8" x14ac:dyDescent="0.3">
      <c r="F350">
        <v>5</v>
      </c>
      <c r="G350">
        <v>1</v>
      </c>
      <c r="H350">
        <v>4</v>
      </c>
    </row>
    <row r="351" spans="6:8" x14ac:dyDescent="0.3">
      <c r="F351">
        <v>5</v>
      </c>
      <c r="G351">
        <v>1</v>
      </c>
      <c r="H351">
        <v>5</v>
      </c>
    </row>
    <row r="352" spans="6:8" x14ac:dyDescent="0.3">
      <c r="F352">
        <v>5</v>
      </c>
      <c r="G352">
        <v>1</v>
      </c>
      <c r="H352">
        <v>6</v>
      </c>
    </row>
    <row r="353" spans="6:8" x14ac:dyDescent="0.3">
      <c r="F353">
        <v>5</v>
      </c>
      <c r="G353">
        <v>2</v>
      </c>
      <c r="H353">
        <v>1</v>
      </c>
    </row>
    <row r="354" spans="6:8" x14ac:dyDescent="0.3">
      <c r="F354">
        <v>5</v>
      </c>
      <c r="G354">
        <v>2</v>
      </c>
      <c r="H354">
        <v>2</v>
      </c>
    </row>
    <row r="355" spans="6:8" x14ac:dyDescent="0.3">
      <c r="F355">
        <v>5</v>
      </c>
      <c r="G355">
        <v>2</v>
      </c>
      <c r="H355">
        <v>3</v>
      </c>
    </row>
    <row r="356" spans="6:8" x14ac:dyDescent="0.3">
      <c r="F356">
        <v>5</v>
      </c>
      <c r="G356">
        <v>2</v>
      </c>
      <c r="H356">
        <v>4</v>
      </c>
    </row>
    <row r="357" spans="6:8" x14ac:dyDescent="0.3">
      <c r="F357">
        <v>5</v>
      </c>
      <c r="G357">
        <v>2</v>
      </c>
      <c r="H357">
        <v>5</v>
      </c>
    </row>
    <row r="358" spans="6:8" x14ac:dyDescent="0.3">
      <c r="F358">
        <v>5</v>
      </c>
      <c r="G358">
        <v>2</v>
      </c>
      <c r="H358">
        <v>6</v>
      </c>
    </row>
    <row r="359" spans="6:8" x14ac:dyDescent="0.3">
      <c r="F359">
        <v>5</v>
      </c>
      <c r="G359">
        <v>3</v>
      </c>
      <c r="H359">
        <v>1</v>
      </c>
    </row>
    <row r="360" spans="6:8" x14ac:dyDescent="0.3">
      <c r="F360">
        <v>5</v>
      </c>
      <c r="G360">
        <v>3</v>
      </c>
      <c r="H360">
        <v>2</v>
      </c>
    </row>
    <row r="361" spans="6:8" x14ac:dyDescent="0.3">
      <c r="F361">
        <v>5</v>
      </c>
      <c r="G361">
        <v>3</v>
      </c>
      <c r="H361">
        <v>3</v>
      </c>
    </row>
    <row r="362" spans="6:8" x14ac:dyDescent="0.3">
      <c r="F362">
        <v>5</v>
      </c>
      <c r="G362">
        <v>3</v>
      </c>
      <c r="H362">
        <v>4</v>
      </c>
    </row>
    <row r="363" spans="6:8" x14ac:dyDescent="0.3">
      <c r="F363">
        <v>5</v>
      </c>
      <c r="G363">
        <v>3</v>
      </c>
      <c r="H363">
        <v>5</v>
      </c>
    </row>
    <row r="364" spans="6:8" x14ac:dyDescent="0.3">
      <c r="F364">
        <v>5</v>
      </c>
      <c r="G364">
        <v>3</v>
      </c>
      <c r="H364">
        <v>6</v>
      </c>
    </row>
    <row r="365" spans="6:8" x14ac:dyDescent="0.3">
      <c r="F365">
        <v>5</v>
      </c>
      <c r="G365">
        <v>4</v>
      </c>
      <c r="H365">
        <v>1</v>
      </c>
    </row>
    <row r="366" spans="6:8" x14ac:dyDescent="0.3">
      <c r="F366">
        <v>5</v>
      </c>
      <c r="G366">
        <v>4</v>
      </c>
      <c r="H366">
        <v>2</v>
      </c>
    </row>
    <row r="367" spans="6:8" x14ac:dyDescent="0.3">
      <c r="F367">
        <v>5</v>
      </c>
      <c r="G367">
        <v>4</v>
      </c>
      <c r="H367">
        <v>3</v>
      </c>
    </row>
    <row r="368" spans="6:8" x14ac:dyDescent="0.3">
      <c r="F368">
        <v>5</v>
      </c>
      <c r="G368">
        <v>4</v>
      </c>
      <c r="H368">
        <v>4</v>
      </c>
    </row>
    <row r="369" spans="6:8" x14ac:dyDescent="0.3">
      <c r="F369">
        <v>5</v>
      </c>
      <c r="G369">
        <v>4</v>
      </c>
      <c r="H369">
        <v>5</v>
      </c>
    </row>
    <row r="370" spans="6:8" x14ac:dyDescent="0.3">
      <c r="F370">
        <v>5</v>
      </c>
      <c r="G370">
        <v>4</v>
      </c>
      <c r="H370">
        <v>6</v>
      </c>
    </row>
    <row r="371" spans="6:8" x14ac:dyDescent="0.3">
      <c r="F371">
        <v>5</v>
      </c>
      <c r="G371">
        <v>5</v>
      </c>
      <c r="H371">
        <v>1</v>
      </c>
    </row>
    <row r="372" spans="6:8" x14ac:dyDescent="0.3">
      <c r="F372">
        <v>5</v>
      </c>
      <c r="G372">
        <v>5</v>
      </c>
      <c r="H372">
        <v>2</v>
      </c>
    </row>
    <row r="373" spans="6:8" x14ac:dyDescent="0.3">
      <c r="F373">
        <v>5</v>
      </c>
      <c r="G373">
        <v>5</v>
      </c>
      <c r="H373">
        <v>3</v>
      </c>
    </row>
    <row r="374" spans="6:8" x14ac:dyDescent="0.3">
      <c r="F374">
        <v>5</v>
      </c>
      <c r="G374">
        <v>5</v>
      </c>
      <c r="H374">
        <v>4</v>
      </c>
    </row>
    <row r="375" spans="6:8" x14ac:dyDescent="0.3">
      <c r="F375">
        <v>5</v>
      </c>
      <c r="G375">
        <v>5</v>
      </c>
      <c r="H375">
        <v>5</v>
      </c>
    </row>
    <row r="376" spans="6:8" x14ac:dyDescent="0.3">
      <c r="F376">
        <v>5</v>
      </c>
      <c r="G376">
        <v>5</v>
      </c>
      <c r="H376">
        <v>6</v>
      </c>
    </row>
    <row r="377" spans="6:8" x14ac:dyDescent="0.3">
      <c r="F377">
        <v>5</v>
      </c>
      <c r="G377">
        <v>6</v>
      </c>
      <c r="H377">
        <v>1</v>
      </c>
    </row>
    <row r="378" spans="6:8" x14ac:dyDescent="0.3">
      <c r="F378">
        <v>5</v>
      </c>
      <c r="G378">
        <v>6</v>
      </c>
      <c r="H378">
        <v>2</v>
      </c>
    </row>
    <row r="379" spans="6:8" x14ac:dyDescent="0.3">
      <c r="F379">
        <v>5</v>
      </c>
      <c r="G379">
        <v>6</v>
      </c>
      <c r="H379">
        <v>3</v>
      </c>
    </row>
    <row r="380" spans="6:8" x14ac:dyDescent="0.3">
      <c r="F380">
        <v>5</v>
      </c>
      <c r="G380">
        <v>6</v>
      </c>
      <c r="H380">
        <v>4</v>
      </c>
    </row>
    <row r="381" spans="6:8" x14ac:dyDescent="0.3">
      <c r="F381">
        <v>5</v>
      </c>
      <c r="G381">
        <v>6</v>
      </c>
      <c r="H381">
        <v>5</v>
      </c>
    </row>
    <row r="382" spans="6:8" x14ac:dyDescent="0.3">
      <c r="F382">
        <v>5</v>
      </c>
      <c r="G382">
        <v>6</v>
      </c>
      <c r="H382">
        <v>6</v>
      </c>
    </row>
    <row r="383" spans="6:8" x14ac:dyDescent="0.3">
      <c r="F383">
        <v>6</v>
      </c>
      <c r="G383">
        <v>1</v>
      </c>
      <c r="H383">
        <v>1</v>
      </c>
    </row>
    <row r="384" spans="6:8" x14ac:dyDescent="0.3">
      <c r="F384">
        <v>6</v>
      </c>
      <c r="G384">
        <v>1</v>
      </c>
      <c r="H384">
        <v>2</v>
      </c>
    </row>
    <row r="385" spans="6:8" x14ac:dyDescent="0.3">
      <c r="F385">
        <v>6</v>
      </c>
      <c r="G385">
        <v>1</v>
      </c>
      <c r="H385">
        <v>3</v>
      </c>
    </row>
    <row r="386" spans="6:8" x14ac:dyDescent="0.3">
      <c r="F386">
        <v>6</v>
      </c>
      <c r="G386">
        <v>1</v>
      </c>
      <c r="H386">
        <v>4</v>
      </c>
    </row>
    <row r="387" spans="6:8" x14ac:dyDescent="0.3">
      <c r="F387">
        <v>6</v>
      </c>
      <c r="G387">
        <v>1</v>
      </c>
      <c r="H387">
        <v>5</v>
      </c>
    </row>
    <row r="388" spans="6:8" x14ac:dyDescent="0.3">
      <c r="F388">
        <v>6</v>
      </c>
      <c r="G388">
        <v>1</v>
      </c>
      <c r="H388">
        <v>6</v>
      </c>
    </row>
    <row r="389" spans="6:8" x14ac:dyDescent="0.3">
      <c r="F389">
        <v>6</v>
      </c>
      <c r="G389">
        <v>2</v>
      </c>
      <c r="H389">
        <v>1</v>
      </c>
    </row>
    <row r="390" spans="6:8" x14ac:dyDescent="0.3">
      <c r="F390">
        <v>6</v>
      </c>
      <c r="G390">
        <v>2</v>
      </c>
      <c r="H390">
        <v>2</v>
      </c>
    </row>
    <row r="391" spans="6:8" x14ac:dyDescent="0.3">
      <c r="F391">
        <v>6</v>
      </c>
      <c r="G391">
        <v>2</v>
      </c>
      <c r="H391">
        <v>3</v>
      </c>
    </row>
    <row r="392" spans="6:8" x14ac:dyDescent="0.3">
      <c r="F392">
        <v>6</v>
      </c>
      <c r="G392">
        <v>2</v>
      </c>
      <c r="H392">
        <v>4</v>
      </c>
    </row>
    <row r="393" spans="6:8" x14ac:dyDescent="0.3">
      <c r="F393">
        <v>6</v>
      </c>
      <c r="G393">
        <v>2</v>
      </c>
      <c r="H393">
        <v>5</v>
      </c>
    </row>
    <row r="394" spans="6:8" x14ac:dyDescent="0.3">
      <c r="F394">
        <v>6</v>
      </c>
      <c r="G394">
        <v>2</v>
      </c>
      <c r="H394">
        <v>6</v>
      </c>
    </row>
    <row r="395" spans="6:8" x14ac:dyDescent="0.3">
      <c r="F395">
        <v>6</v>
      </c>
      <c r="G395">
        <v>3</v>
      </c>
      <c r="H395">
        <v>1</v>
      </c>
    </row>
    <row r="396" spans="6:8" x14ac:dyDescent="0.3">
      <c r="F396">
        <v>6</v>
      </c>
      <c r="G396">
        <v>3</v>
      </c>
      <c r="H396">
        <v>2</v>
      </c>
    </row>
    <row r="397" spans="6:8" x14ac:dyDescent="0.3">
      <c r="F397">
        <v>6</v>
      </c>
      <c r="G397">
        <v>3</v>
      </c>
      <c r="H397">
        <v>3</v>
      </c>
    </row>
    <row r="398" spans="6:8" x14ac:dyDescent="0.3">
      <c r="F398">
        <v>6</v>
      </c>
      <c r="G398">
        <v>3</v>
      </c>
      <c r="H398">
        <v>4</v>
      </c>
    </row>
    <row r="399" spans="6:8" x14ac:dyDescent="0.3">
      <c r="F399">
        <v>6</v>
      </c>
      <c r="G399">
        <v>3</v>
      </c>
      <c r="H399">
        <v>5</v>
      </c>
    </row>
    <row r="400" spans="6:8" x14ac:dyDescent="0.3">
      <c r="F400">
        <v>6</v>
      </c>
      <c r="G400">
        <v>3</v>
      </c>
      <c r="H400">
        <v>6</v>
      </c>
    </row>
    <row r="401" spans="6:8" x14ac:dyDescent="0.3">
      <c r="F401">
        <v>6</v>
      </c>
      <c r="G401">
        <v>4</v>
      </c>
      <c r="H401">
        <v>1</v>
      </c>
    </row>
    <row r="402" spans="6:8" x14ac:dyDescent="0.3">
      <c r="F402">
        <v>6</v>
      </c>
      <c r="G402">
        <v>4</v>
      </c>
      <c r="H402">
        <v>2</v>
      </c>
    </row>
    <row r="403" spans="6:8" x14ac:dyDescent="0.3">
      <c r="F403">
        <v>6</v>
      </c>
      <c r="G403">
        <v>4</v>
      </c>
      <c r="H403">
        <v>3</v>
      </c>
    </row>
    <row r="404" spans="6:8" x14ac:dyDescent="0.3">
      <c r="F404">
        <v>6</v>
      </c>
      <c r="G404">
        <v>4</v>
      </c>
      <c r="H404">
        <v>4</v>
      </c>
    </row>
    <row r="405" spans="6:8" x14ac:dyDescent="0.3">
      <c r="F405">
        <v>6</v>
      </c>
      <c r="G405">
        <v>4</v>
      </c>
      <c r="H405">
        <v>5</v>
      </c>
    </row>
    <row r="406" spans="6:8" x14ac:dyDescent="0.3">
      <c r="F406">
        <v>6</v>
      </c>
      <c r="G406">
        <v>4</v>
      </c>
      <c r="H406">
        <v>6</v>
      </c>
    </row>
    <row r="407" spans="6:8" x14ac:dyDescent="0.3">
      <c r="F407">
        <v>6</v>
      </c>
      <c r="G407">
        <v>5</v>
      </c>
      <c r="H407">
        <v>1</v>
      </c>
    </row>
    <row r="408" spans="6:8" x14ac:dyDescent="0.3">
      <c r="F408">
        <v>6</v>
      </c>
      <c r="G408">
        <v>5</v>
      </c>
      <c r="H408">
        <v>2</v>
      </c>
    </row>
    <row r="409" spans="6:8" x14ac:dyDescent="0.3">
      <c r="F409">
        <v>6</v>
      </c>
      <c r="G409">
        <v>5</v>
      </c>
      <c r="H409">
        <v>3</v>
      </c>
    </row>
    <row r="410" spans="6:8" x14ac:dyDescent="0.3">
      <c r="F410">
        <v>6</v>
      </c>
      <c r="G410">
        <v>5</v>
      </c>
      <c r="H410">
        <v>4</v>
      </c>
    </row>
    <row r="411" spans="6:8" x14ac:dyDescent="0.3">
      <c r="F411">
        <v>6</v>
      </c>
      <c r="G411">
        <v>5</v>
      </c>
      <c r="H411">
        <v>5</v>
      </c>
    </row>
    <row r="412" spans="6:8" x14ac:dyDescent="0.3">
      <c r="F412">
        <v>6</v>
      </c>
      <c r="G412">
        <v>5</v>
      </c>
      <c r="H412">
        <v>6</v>
      </c>
    </row>
    <row r="413" spans="6:8" x14ac:dyDescent="0.3">
      <c r="F413">
        <v>6</v>
      </c>
      <c r="G413">
        <v>6</v>
      </c>
      <c r="H413">
        <v>1</v>
      </c>
    </row>
    <row r="414" spans="6:8" x14ac:dyDescent="0.3">
      <c r="F414">
        <v>6</v>
      </c>
      <c r="G414">
        <v>6</v>
      </c>
      <c r="H414">
        <v>2</v>
      </c>
    </row>
    <row r="415" spans="6:8" x14ac:dyDescent="0.3">
      <c r="F415">
        <v>6</v>
      </c>
      <c r="G415">
        <v>6</v>
      </c>
      <c r="H415">
        <v>3</v>
      </c>
    </row>
    <row r="416" spans="6:8" x14ac:dyDescent="0.3">
      <c r="F416">
        <v>6</v>
      </c>
      <c r="G416">
        <v>6</v>
      </c>
      <c r="H416">
        <v>4</v>
      </c>
    </row>
    <row r="417" spans="1:8" x14ac:dyDescent="0.3">
      <c r="F417">
        <v>6</v>
      </c>
      <c r="G417">
        <v>6</v>
      </c>
      <c r="H417">
        <v>5</v>
      </c>
    </row>
    <row r="418" spans="1:8" x14ac:dyDescent="0.3">
      <c r="F418">
        <v>6</v>
      </c>
      <c r="G418">
        <v>6</v>
      </c>
      <c r="H418">
        <v>6</v>
      </c>
    </row>
    <row r="420" spans="1:8" x14ac:dyDescent="0.3">
      <c r="A420">
        <v>22</v>
      </c>
      <c r="B420" t="s">
        <v>1029</v>
      </c>
      <c r="C420">
        <v>0.75</v>
      </c>
    </row>
    <row r="421" spans="1:8" x14ac:dyDescent="0.3">
      <c r="B421" t="s">
        <v>1033</v>
      </c>
      <c r="C421">
        <f>1-C420</f>
        <v>0.25</v>
      </c>
    </row>
    <row r="422" spans="1:8" x14ac:dyDescent="0.3">
      <c r="B422" t="s">
        <v>1030</v>
      </c>
      <c r="C422">
        <v>6</v>
      </c>
    </row>
    <row r="423" spans="1:8" x14ac:dyDescent="0.3">
      <c r="B423" t="s">
        <v>1031</v>
      </c>
      <c r="C423">
        <v>4</v>
      </c>
    </row>
    <row r="424" spans="1:8" x14ac:dyDescent="0.3">
      <c r="B424" t="s">
        <v>1032</v>
      </c>
      <c r="C424">
        <v>2</v>
      </c>
    </row>
    <row r="426" spans="1:8" x14ac:dyDescent="0.3">
      <c r="B426">
        <f>BINOMDIST(4,6,0.25,FALSE)</f>
        <v>3.2958984375000007E-2</v>
      </c>
    </row>
    <row r="428" spans="1:8" x14ac:dyDescent="0.3">
      <c r="B428">
        <f>BINOMDIST(2,6,0.75,FALSE)</f>
        <v>3.2958984375000007E-2</v>
      </c>
    </row>
    <row r="430" spans="1:8" x14ac:dyDescent="0.3">
      <c r="A430">
        <v>23</v>
      </c>
      <c r="B430">
        <f>BINOMDIST(7,10,0.8,FALSE)</f>
        <v>0.20132659199999994</v>
      </c>
    </row>
    <row r="432" spans="1:8" x14ac:dyDescent="0.3">
      <c r="A432">
        <v>24</v>
      </c>
      <c r="B432" t="s">
        <v>1034</v>
      </c>
      <c r="D432">
        <f>4/5</f>
        <v>0.8</v>
      </c>
    </row>
    <row r="433" spans="1:6" x14ac:dyDescent="0.3">
      <c r="A433" t="s">
        <v>277</v>
      </c>
      <c r="B433" t="s">
        <v>1035</v>
      </c>
      <c r="D433">
        <f>1-BINOMDIST(2,4,0.8,TRUE)</f>
        <v>0.81920000000000004</v>
      </c>
    </row>
    <row r="434" spans="1:6" x14ac:dyDescent="0.3">
      <c r="A434" t="s">
        <v>278</v>
      </c>
      <c r="B434" t="s">
        <v>1036</v>
      </c>
      <c r="F434">
        <f>BINOMDIST(1,4,0.8,TRUE)</f>
        <v>2.7199999999999988E-2</v>
      </c>
    </row>
    <row r="436" spans="1:6" x14ac:dyDescent="0.3">
      <c r="A436">
        <v>25</v>
      </c>
      <c r="B436" t="s">
        <v>1037</v>
      </c>
      <c r="C436">
        <v>0.12</v>
      </c>
    </row>
    <row r="437" spans="1:6" x14ac:dyDescent="0.3">
      <c r="B437" t="s">
        <v>1038</v>
      </c>
      <c r="C437">
        <v>10</v>
      </c>
    </row>
    <row r="438" spans="1:6" x14ac:dyDescent="0.3">
      <c r="A438" t="s">
        <v>277</v>
      </c>
      <c r="B438" t="s">
        <v>1039</v>
      </c>
      <c r="C438">
        <f>BINOMDIST(2,10,0.12, TRUE)</f>
        <v>0.89131820627802449</v>
      </c>
    </row>
    <row r="439" spans="1:6" x14ac:dyDescent="0.3">
      <c r="A439" t="s">
        <v>278</v>
      </c>
      <c r="B439" t="s">
        <v>1040</v>
      </c>
      <c r="C439">
        <f>1-BINOMDIST(1,10,0.12,TRUE)</f>
        <v>0.34172496579595868</v>
      </c>
    </row>
    <row r="441" spans="1:6" x14ac:dyDescent="0.3">
      <c r="B441" t="s">
        <v>1041</v>
      </c>
      <c r="C441" t="s">
        <v>257</v>
      </c>
    </row>
    <row r="442" spans="1:6" x14ac:dyDescent="0.3">
      <c r="B442">
        <v>0</v>
      </c>
      <c r="C442">
        <f>BINOMDIST(B442,10,0.12,FALSE)</f>
        <v>0.2785009760094021</v>
      </c>
    </row>
    <row r="443" spans="1:6" x14ac:dyDescent="0.3">
      <c r="B443">
        <v>1</v>
      </c>
      <c r="C443">
        <f t="shared" ref="C443:C452" si="0">BINOMDIST(B443,10,0.12,FALSE)</f>
        <v>0.37977405819463927</v>
      </c>
    </row>
    <row r="444" spans="1:6" x14ac:dyDescent="0.3">
      <c r="B444">
        <v>2</v>
      </c>
      <c r="C444">
        <f t="shared" si="0"/>
        <v>0.2330431720739832</v>
      </c>
    </row>
    <row r="445" spans="1:6" x14ac:dyDescent="0.3">
      <c r="B445">
        <v>3</v>
      </c>
      <c r="C445">
        <f t="shared" si="0"/>
        <v>8.4742971663266609E-2</v>
      </c>
    </row>
    <row r="446" spans="1:6" x14ac:dyDescent="0.3">
      <c r="B446">
        <v>4</v>
      </c>
      <c r="C446">
        <f t="shared" si="0"/>
        <v>2.0222754601461338E-2</v>
      </c>
    </row>
    <row r="447" spans="1:6" x14ac:dyDescent="0.3">
      <c r="B447">
        <v>5</v>
      </c>
      <c r="C447">
        <f t="shared" si="0"/>
        <v>3.3091780256936758E-3</v>
      </c>
    </row>
    <row r="448" spans="1:6" x14ac:dyDescent="0.3">
      <c r="B448">
        <v>6</v>
      </c>
      <c r="C448">
        <f t="shared" si="0"/>
        <v>3.7604295746519029E-4</v>
      </c>
    </row>
    <row r="449" spans="1:3" x14ac:dyDescent="0.3">
      <c r="B449">
        <v>7</v>
      </c>
      <c r="C449">
        <f t="shared" si="0"/>
        <v>2.9302048633651165E-5</v>
      </c>
    </row>
    <row r="450" spans="1:3" x14ac:dyDescent="0.3">
      <c r="B450">
        <v>8</v>
      </c>
      <c r="C450">
        <f t="shared" si="0"/>
        <v>1.4984002142208021E-6</v>
      </c>
    </row>
    <row r="451" spans="1:3" x14ac:dyDescent="0.3">
      <c r="B451">
        <v>9</v>
      </c>
      <c r="C451">
        <f t="shared" si="0"/>
        <v>4.5406067097600114E-8</v>
      </c>
    </row>
    <row r="452" spans="1:3" x14ac:dyDescent="0.3">
      <c r="B452">
        <v>10</v>
      </c>
      <c r="C452">
        <f t="shared" si="0"/>
        <v>6.1917364223999923E-10</v>
      </c>
    </row>
    <row r="454" spans="1:3" x14ac:dyDescent="0.3">
      <c r="A454">
        <v>31</v>
      </c>
      <c r="B454">
        <f>NEGBINOMDIST(15,10,0.5)</f>
        <v>3.8966655731201165E-2</v>
      </c>
    </row>
  </sheetData>
  <pageMargins left="0.7" right="0.7" top="0.75" bottom="0.75" header="0.3" footer="0.3"/>
  <pageSetup orientation="portrait" r:id="rId1"/>
  <ignoredErrors>
    <ignoredError sqref="C184" formulaRange="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N609"/>
  <sheetViews>
    <sheetView topLeftCell="A596" zoomScale="110" zoomScaleNormal="110" workbookViewId="0">
      <selection activeCell="H612" sqref="H612"/>
    </sheetView>
  </sheetViews>
  <sheetFormatPr defaultRowHeight="14.4" x14ac:dyDescent="0.3"/>
  <cols>
    <col min="1" max="12" width="16.6640625" customWidth="1"/>
    <col min="13" max="29" width="15.6640625" customWidth="1"/>
  </cols>
  <sheetData>
    <row r="4" spans="2:7" x14ac:dyDescent="0.3">
      <c r="B4" t="s">
        <v>744</v>
      </c>
    </row>
    <row r="6" spans="2:7" x14ac:dyDescent="0.3">
      <c r="B6" t="s">
        <v>745</v>
      </c>
      <c r="F6" t="s">
        <v>717</v>
      </c>
      <c r="G6" t="s">
        <v>747</v>
      </c>
    </row>
    <row r="8" spans="2:7" x14ac:dyDescent="0.3">
      <c r="B8" t="s">
        <v>746</v>
      </c>
      <c r="G8" t="s">
        <v>748</v>
      </c>
    </row>
    <row r="10" spans="2:7" x14ac:dyDescent="0.3">
      <c r="E10">
        <v>2</v>
      </c>
      <c r="G10">
        <v>2</v>
      </c>
    </row>
    <row r="11" spans="2:7" x14ac:dyDescent="0.3">
      <c r="E11">
        <v>1000</v>
      </c>
      <c r="G11">
        <v>100</v>
      </c>
    </row>
    <row r="14" spans="2:7" x14ac:dyDescent="0.3">
      <c r="B14" t="s">
        <v>751</v>
      </c>
      <c r="D14">
        <v>500</v>
      </c>
    </row>
    <row r="15" spans="2:7" x14ac:dyDescent="0.3">
      <c r="B15" t="s">
        <v>749</v>
      </c>
      <c r="D15">
        <v>40000</v>
      </c>
    </row>
    <row r="16" spans="2:7" x14ac:dyDescent="0.3">
      <c r="B16" t="s">
        <v>225</v>
      </c>
      <c r="D16">
        <v>6000</v>
      </c>
    </row>
    <row r="18" spans="2:8" x14ac:dyDescent="0.3">
      <c r="B18">
        <f>40000-6000</f>
        <v>34000</v>
      </c>
      <c r="D18">
        <f>40000+6000</f>
        <v>46000</v>
      </c>
    </row>
    <row r="20" spans="2:8" x14ac:dyDescent="0.3">
      <c r="B20" t="s">
        <v>750</v>
      </c>
      <c r="D20">
        <f>(30000-40000)/6000</f>
        <v>-1.6666666666666667</v>
      </c>
      <c r="F20">
        <f>0.0485</f>
        <v>4.8500000000000001E-2</v>
      </c>
      <c r="H20" s="127">
        <f>NORMDIST(30000,40000,6000,TRUE)</f>
        <v>4.7790352272814703E-2</v>
      </c>
    </row>
    <row r="42" spans="1:2" x14ac:dyDescent="0.3">
      <c r="A42" s="72" t="s">
        <v>752</v>
      </c>
    </row>
    <row r="43" spans="1:2" x14ac:dyDescent="0.3">
      <c r="A43" t="s">
        <v>753</v>
      </c>
    </row>
    <row r="46" spans="1:2" x14ac:dyDescent="0.3">
      <c r="B46">
        <f>(6000-6066)</f>
        <v>-66</v>
      </c>
    </row>
    <row r="47" spans="1:2" x14ac:dyDescent="0.3">
      <c r="B47">
        <f>(2875)/(SQRT(40))</f>
        <v>454.57741364920452</v>
      </c>
    </row>
    <row r="49" spans="1:14" x14ac:dyDescent="0.3">
      <c r="A49" t="s">
        <v>720</v>
      </c>
      <c r="B49" s="54">
        <f>B46/B47</f>
        <v>-0.14518979170164387</v>
      </c>
    </row>
    <row r="51" spans="1:14" x14ac:dyDescent="0.3">
      <c r="B51">
        <v>0.44040000000000001</v>
      </c>
    </row>
    <row r="60" spans="1:14" x14ac:dyDescent="0.3">
      <c r="B60" t="s">
        <v>754</v>
      </c>
      <c r="N60" t="s">
        <v>756</v>
      </c>
    </row>
    <row r="62" spans="1:14" x14ac:dyDescent="0.3">
      <c r="B62" t="s">
        <v>755</v>
      </c>
      <c r="N62" t="s">
        <v>757</v>
      </c>
    </row>
    <row r="65" spans="1:6" x14ac:dyDescent="0.3">
      <c r="A65" t="s">
        <v>758</v>
      </c>
    </row>
    <row r="66" spans="1:6" x14ac:dyDescent="0.3">
      <c r="A66" t="s">
        <v>759</v>
      </c>
    </row>
    <row r="69" spans="1:6" x14ac:dyDescent="0.3">
      <c r="B69" t="s">
        <v>760</v>
      </c>
      <c r="D69">
        <v>20000</v>
      </c>
    </row>
    <row r="70" spans="1:6" x14ac:dyDescent="0.3">
      <c r="B70" t="s">
        <v>761</v>
      </c>
      <c r="D70">
        <v>4000</v>
      </c>
      <c r="F70" t="s">
        <v>764</v>
      </c>
    </row>
    <row r="71" spans="1:6" x14ac:dyDescent="0.3">
      <c r="B71" t="s">
        <v>751</v>
      </c>
      <c r="D71" t="s">
        <v>762</v>
      </c>
    </row>
    <row r="72" spans="1:6" x14ac:dyDescent="0.3">
      <c r="B72" t="s">
        <v>712</v>
      </c>
      <c r="D72" t="s">
        <v>771</v>
      </c>
      <c r="F72" t="s">
        <v>763</v>
      </c>
    </row>
    <row r="73" spans="1:6" x14ac:dyDescent="0.3">
      <c r="B73" t="s">
        <v>774</v>
      </c>
      <c r="D73">
        <v>0.05</v>
      </c>
    </row>
    <row r="74" spans="1:6" x14ac:dyDescent="0.3">
      <c r="B74" t="s">
        <v>720</v>
      </c>
      <c r="D74">
        <f>19800-20000</f>
        <v>-200</v>
      </c>
      <c r="F74" t="s">
        <v>766</v>
      </c>
    </row>
    <row r="75" spans="1:6" x14ac:dyDescent="0.3">
      <c r="D75">
        <f>4000/SQRT(25)</f>
        <v>800</v>
      </c>
    </row>
    <row r="76" spans="1:6" x14ac:dyDescent="0.3">
      <c r="B76" t="s">
        <v>720</v>
      </c>
      <c r="D76">
        <f>D74/D75</f>
        <v>-0.25</v>
      </c>
    </row>
    <row r="78" spans="1:6" x14ac:dyDescent="0.3">
      <c r="C78" t="s">
        <v>257</v>
      </c>
      <c r="D78">
        <v>0.40129999999999999</v>
      </c>
      <c r="E78" t="s">
        <v>765</v>
      </c>
    </row>
    <row r="80" spans="1:6" x14ac:dyDescent="0.3">
      <c r="A80" t="s">
        <v>767</v>
      </c>
    </row>
    <row r="81" spans="1:6" x14ac:dyDescent="0.3">
      <c r="A81" t="s">
        <v>768</v>
      </c>
    </row>
    <row r="84" spans="1:6" x14ac:dyDescent="0.3">
      <c r="B84" t="s">
        <v>760</v>
      </c>
      <c r="D84">
        <v>20000</v>
      </c>
    </row>
    <row r="85" spans="1:6" x14ac:dyDescent="0.3">
      <c r="B85" t="s">
        <v>761</v>
      </c>
      <c r="D85">
        <v>4000</v>
      </c>
      <c r="F85" t="s">
        <v>764</v>
      </c>
    </row>
    <row r="86" spans="1:6" x14ac:dyDescent="0.3">
      <c r="B86" t="s">
        <v>751</v>
      </c>
      <c r="D86" t="s">
        <v>769</v>
      </c>
    </row>
    <row r="87" spans="1:6" x14ac:dyDescent="0.3">
      <c r="B87" t="s">
        <v>712</v>
      </c>
      <c r="D87" t="s">
        <v>770</v>
      </c>
      <c r="F87" t="s">
        <v>763</v>
      </c>
    </row>
    <row r="88" spans="1:6" x14ac:dyDescent="0.3">
      <c r="B88" t="s">
        <v>774</v>
      </c>
      <c r="D88">
        <v>0.05</v>
      </c>
    </row>
    <row r="89" spans="1:6" x14ac:dyDescent="0.3">
      <c r="B89" t="s">
        <v>720</v>
      </c>
      <c r="D89">
        <f>18000-20000</f>
        <v>-2000</v>
      </c>
      <c r="F89" t="s">
        <v>773</v>
      </c>
    </row>
    <row r="90" spans="1:6" x14ac:dyDescent="0.3">
      <c r="D90">
        <f>4000/SQRT(20)</f>
        <v>894.42719099991587</v>
      </c>
    </row>
    <row r="91" spans="1:6" x14ac:dyDescent="0.3">
      <c r="B91" t="s">
        <v>720</v>
      </c>
      <c r="D91" s="54">
        <f>D89/D90</f>
        <v>-2.2360679774997898</v>
      </c>
    </row>
    <row r="93" spans="1:6" x14ac:dyDescent="0.3">
      <c r="C93" t="s">
        <v>257</v>
      </c>
      <c r="D93">
        <v>1.2500000000000001E-2</v>
      </c>
      <c r="E93" t="s">
        <v>772</v>
      </c>
    </row>
    <row r="96" spans="1:6" x14ac:dyDescent="0.3">
      <c r="A96">
        <v>1</v>
      </c>
      <c r="B96" t="s">
        <v>775</v>
      </c>
    </row>
    <row r="97" spans="1:13" x14ac:dyDescent="0.3">
      <c r="B97" t="s">
        <v>776</v>
      </c>
    </row>
    <row r="99" spans="1:13" x14ac:dyDescent="0.3">
      <c r="B99" t="s">
        <v>780</v>
      </c>
    </row>
    <row r="101" spans="1:13" x14ac:dyDescent="0.3">
      <c r="B101" t="s">
        <v>781</v>
      </c>
    </row>
    <row r="104" spans="1:13" x14ac:dyDescent="0.3">
      <c r="A104">
        <v>2</v>
      </c>
      <c r="B104" t="s">
        <v>778</v>
      </c>
    </row>
    <row r="105" spans="1:13" x14ac:dyDescent="0.3">
      <c r="B105" t="s">
        <v>779</v>
      </c>
    </row>
    <row r="107" spans="1:13" x14ac:dyDescent="0.3">
      <c r="B107" t="s">
        <v>782</v>
      </c>
      <c r="M107">
        <f>15/50</f>
        <v>0.3</v>
      </c>
    </row>
    <row r="109" spans="1:13" x14ac:dyDescent="0.3">
      <c r="B109" t="s">
        <v>783</v>
      </c>
    </row>
    <row r="111" spans="1:13" x14ac:dyDescent="0.3">
      <c r="A111">
        <v>3</v>
      </c>
      <c r="B111" t="s">
        <v>777</v>
      </c>
    </row>
    <row r="113" spans="1:2" x14ac:dyDescent="0.3">
      <c r="B113" t="s">
        <v>784</v>
      </c>
    </row>
    <row r="115" spans="1:2" x14ac:dyDescent="0.3">
      <c r="B115" t="s">
        <v>785</v>
      </c>
    </row>
    <row r="118" spans="1:2" x14ac:dyDescent="0.3">
      <c r="A118" s="72" t="s">
        <v>787</v>
      </c>
    </row>
    <row r="119" spans="1:2" x14ac:dyDescent="0.3">
      <c r="A119" s="72" t="s">
        <v>788</v>
      </c>
    </row>
    <row r="120" spans="1:2" x14ac:dyDescent="0.3">
      <c r="A120" t="s">
        <v>789</v>
      </c>
    </row>
    <row r="121" spans="1:2" x14ac:dyDescent="0.3">
      <c r="A121" t="s">
        <v>790</v>
      </c>
    </row>
    <row r="122" spans="1:2" x14ac:dyDescent="0.3">
      <c r="A122" t="s">
        <v>791</v>
      </c>
    </row>
    <row r="123" spans="1:2" x14ac:dyDescent="0.3">
      <c r="A123" t="s">
        <v>786</v>
      </c>
    </row>
    <row r="125" spans="1:2" x14ac:dyDescent="0.3">
      <c r="B125" t="s">
        <v>794</v>
      </c>
    </row>
    <row r="127" spans="1:2" x14ac:dyDescent="0.3">
      <c r="B127" t="s">
        <v>795</v>
      </c>
    </row>
    <row r="129" spans="2:5" x14ac:dyDescent="0.3">
      <c r="B129" t="s">
        <v>760</v>
      </c>
      <c r="D129">
        <v>40</v>
      </c>
    </row>
    <row r="130" spans="2:5" x14ac:dyDescent="0.3">
      <c r="B130" t="s">
        <v>761</v>
      </c>
      <c r="D130">
        <v>10</v>
      </c>
    </row>
    <row r="131" spans="2:5" x14ac:dyDescent="0.3">
      <c r="B131" t="s">
        <v>751</v>
      </c>
      <c r="D131">
        <v>30</v>
      </c>
    </row>
    <row r="132" spans="2:5" x14ac:dyDescent="0.3">
      <c r="B132" t="s">
        <v>712</v>
      </c>
      <c r="D132" t="s">
        <v>792</v>
      </c>
    </row>
    <row r="133" spans="2:5" x14ac:dyDescent="0.3">
      <c r="B133" t="s">
        <v>774</v>
      </c>
      <c r="D133">
        <v>0.05</v>
      </c>
    </row>
    <row r="134" spans="2:5" x14ac:dyDescent="0.3">
      <c r="B134" t="s">
        <v>720</v>
      </c>
      <c r="D134">
        <f>38-40</f>
        <v>-2</v>
      </c>
    </row>
    <row r="135" spans="2:5" x14ac:dyDescent="0.3">
      <c r="D135">
        <f>10/SQRT(30)</f>
        <v>1.8257418583505538</v>
      </c>
    </row>
    <row r="136" spans="2:5" x14ac:dyDescent="0.3">
      <c r="B136" t="s">
        <v>720</v>
      </c>
      <c r="D136" s="54">
        <f>D134/D135</f>
        <v>-1.0954451150103321</v>
      </c>
    </row>
    <row r="138" spans="2:5" x14ac:dyDescent="0.3">
      <c r="C138" t="s">
        <v>257</v>
      </c>
      <c r="D138">
        <v>0.13569999999999999</v>
      </c>
      <c r="E138" t="s">
        <v>793</v>
      </c>
    </row>
    <row r="140" spans="2:5" x14ac:dyDescent="0.3">
      <c r="B140" t="s">
        <v>796</v>
      </c>
    </row>
    <row r="143" spans="2:5" x14ac:dyDescent="0.3">
      <c r="B143" t="s">
        <v>798</v>
      </c>
    </row>
    <row r="144" spans="2:5" x14ac:dyDescent="0.3">
      <c r="B144" t="s">
        <v>799</v>
      </c>
    </row>
    <row r="146" spans="2:5" x14ac:dyDescent="0.3">
      <c r="B146" t="s">
        <v>760</v>
      </c>
      <c r="D146">
        <v>3.25</v>
      </c>
    </row>
    <row r="147" spans="2:5" x14ac:dyDescent="0.3">
      <c r="B147" t="s">
        <v>761</v>
      </c>
      <c r="D147">
        <v>0.6</v>
      </c>
    </row>
    <row r="148" spans="2:5" x14ac:dyDescent="0.3">
      <c r="B148" t="s">
        <v>712</v>
      </c>
      <c r="D148" t="s">
        <v>800</v>
      </c>
    </row>
    <row r="150" spans="2:5" x14ac:dyDescent="0.3">
      <c r="B150" t="s">
        <v>801</v>
      </c>
      <c r="D150">
        <f>(2.75-3.25)/0.6</f>
        <v>-0.83333333333333337</v>
      </c>
      <c r="E150">
        <v>0.20330000000000001</v>
      </c>
    </row>
    <row r="152" spans="2:5" x14ac:dyDescent="0.3">
      <c r="B152" t="s">
        <v>802</v>
      </c>
      <c r="D152">
        <f>(3.69-3.25)/0.6</f>
        <v>0.73333333333333328</v>
      </c>
      <c r="E152">
        <v>0.76729999999999998</v>
      </c>
    </row>
    <row r="154" spans="2:5" x14ac:dyDescent="0.3">
      <c r="C154" t="s">
        <v>803</v>
      </c>
      <c r="E154">
        <f>E152-E150</f>
        <v>0.56399999999999995</v>
      </c>
    </row>
    <row r="158" spans="2:5" x14ac:dyDescent="0.3">
      <c r="B158" t="s">
        <v>797</v>
      </c>
    </row>
    <row r="161" spans="1:4" x14ac:dyDescent="0.3">
      <c r="B161" t="s">
        <v>809</v>
      </c>
    </row>
    <row r="162" spans="1:4" x14ac:dyDescent="0.3">
      <c r="B162" t="s">
        <v>810</v>
      </c>
    </row>
    <row r="163" spans="1:4" x14ac:dyDescent="0.3">
      <c r="A163" t="s">
        <v>277</v>
      </c>
      <c r="B163" t="s">
        <v>804</v>
      </c>
    </row>
    <row r="164" spans="1:4" x14ac:dyDescent="0.3">
      <c r="A164" t="s">
        <v>278</v>
      </c>
      <c r="B164" t="s">
        <v>805</v>
      </c>
    </row>
    <row r="165" spans="1:4" x14ac:dyDescent="0.3">
      <c r="A165" t="s">
        <v>279</v>
      </c>
      <c r="B165" t="s">
        <v>806</v>
      </c>
    </row>
    <row r="166" spans="1:4" x14ac:dyDescent="0.3">
      <c r="A166" t="s">
        <v>808</v>
      </c>
      <c r="B166" t="s">
        <v>807</v>
      </c>
    </row>
    <row r="168" spans="1:4" x14ac:dyDescent="0.3">
      <c r="A168" t="s">
        <v>277</v>
      </c>
      <c r="B168" t="s">
        <v>812</v>
      </c>
      <c r="D168">
        <v>20.05</v>
      </c>
    </row>
    <row r="169" spans="1:4" x14ac:dyDescent="0.3">
      <c r="B169" t="s">
        <v>813</v>
      </c>
      <c r="D169">
        <v>0.02</v>
      </c>
    </row>
    <row r="170" spans="1:4" x14ac:dyDescent="0.3">
      <c r="B170" t="s">
        <v>811</v>
      </c>
      <c r="D170">
        <v>100</v>
      </c>
    </row>
    <row r="171" spans="1:4" x14ac:dyDescent="0.3">
      <c r="B171" t="s">
        <v>712</v>
      </c>
      <c r="D171" t="s">
        <v>814</v>
      </c>
    </row>
    <row r="173" spans="1:4" x14ac:dyDescent="0.3">
      <c r="B173" t="s">
        <v>815</v>
      </c>
      <c r="D173">
        <f>20.03-20.05</f>
        <v>-1.9999999999999574E-2</v>
      </c>
    </row>
    <row r="174" spans="1:4" x14ac:dyDescent="0.3">
      <c r="D174">
        <f>0.02/SQRT(100)</f>
        <v>2E-3</v>
      </c>
    </row>
    <row r="175" spans="1:4" x14ac:dyDescent="0.3">
      <c r="D175">
        <f>D173/D174</f>
        <v>-9.9999999999997868</v>
      </c>
    </row>
    <row r="177" spans="2:4" x14ac:dyDescent="0.3">
      <c r="B177" t="s">
        <v>816</v>
      </c>
      <c r="D177">
        <f>20.08-20.05</f>
        <v>2.9999999999997584E-2</v>
      </c>
    </row>
    <row r="178" spans="2:4" x14ac:dyDescent="0.3">
      <c r="D178">
        <f>0.02/SQRT(100)</f>
        <v>2E-3</v>
      </c>
    </row>
    <row r="179" spans="2:4" x14ac:dyDescent="0.3">
      <c r="D179">
        <f>D177/D178</f>
        <v>14.999999999998792</v>
      </c>
    </row>
    <row r="181" spans="2:4" x14ac:dyDescent="0.3">
      <c r="C181" t="s">
        <v>817</v>
      </c>
    </row>
    <row r="183" spans="2:4" x14ac:dyDescent="0.3">
      <c r="B183" t="s">
        <v>818</v>
      </c>
    </row>
    <row r="184" spans="2:4" x14ac:dyDescent="0.3">
      <c r="B184" t="s">
        <v>820</v>
      </c>
    </row>
    <row r="185" spans="2:4" x14ac:dyDescent="0.3">
      <c r="B185" t="s">
        <v>819</v>
      </c>
    </row>
    <row r="186" spans="2:4" x14ac:dyDescent="0.3">
      <c r="B186" t="s">
        <v>821</v>
      </c>
    </row>
    <row r="188" spans="2:4" x14ac:dyDescent="0.3">
      <c r="B188" t="s">
        <v>822</v>
      </c>
    </row>
    <row r="190" spans="2:4" x14ac:dyDescent="0.3">
      <c r="B190" t="s">
        <v>823</v>
      </c>
    </row>
    <row r="192" spans="2:4" x14ac:dyDescent="0.3">
      <c r="B192" t="s">
        <v>824</v>
      </c>
      <c r="D192">
        <v>50</v>
      </c>
    </row>
    <row r="193" spans="1:4" x14ac:dyDescent="0.3">
      <c r="B193" t="s">
        <v>761</v>
      </c>
      <c r="D193">
        <v>12</v>
      </c>
    </row>
    <row r="194" spans="1:4" x14ac:dyDescent="0.3">
      <c r="B194" t="s">
        <v>825</v>
      </c>
      <c r="D194">
        <v>53</v>
      </c>
    </row>
    <row r="195" spans="1:4" x14ac:dyDescent="0.3">
      <c r="B195" t="s">
        <v>813</v>
      </c>
      <c r="D195">
        <v>2.5</v>
      </c>
    </row>
    <row r="196" spans="1:4" x14ac:dyDescent="0.3">
      <c r="B196" t="s">
        <v>811</v>
      </c>
      <c r="D196">
        <v>35</v>
      </c>
    </row>
    <row r="198" spans="1:4" x14ac:dyDescent="0.3">
      <c r="D198">
        <f>53-50</f>
        <v>3</v>
      </c>
    </row>
    <row r="199" spans="1:4" x14ac:dyDescent="0.3">
      <c r="D199">
        <f>12/SQRT(35)</f>
        <v>2.0283702113484399</v>
      </c>
    </row>
    <row r="200" spans="1:4" x14ac:dyDescent="0.3">
      <c r="C200" t="s">
        <v>720</v>
      </c>
      <c r="D200" s="54">
        <f>D198/D199</f>
        <v>1.479019945774904</v>
      </c>
    </row>
    <row r="202" spans="1:4" x14ac:dyDescent="0.3">
      <c r="A202" t="s">
        <v>826</v>
      </c>
      <c r="D202">
        <v>0.93059999999999998</v>
      </c>
    </row>
    <row r="204" spans="1:4" x14ac:dyDescent="0.3">
      <c r="A204" t="s">
        <v>826</v>
      </c>
      <c r="D204">
        <f>1-D202</f>
        <v>6.9400000000000017E-2</v>
      </c>
    </row>
    <row r="206" spans="1:4" x14ac:dyDescent="0.3">
      <c r="C206" t="s">
        <v>827</v>
      </c>
    </row>
    <row r="208" spans="1:4" x14ac:dyDescent="0.3">
      <c r="B208" t="s">
        <v>828</v>
      </c>
    </row>
    <row r="210" spans="1:14" x14ac:dyDescent="0.3">
      <c r="A210" s="213" t="s">
        <v>850</v>
      </c>
      <c r="B210" s="213"/>
      <c r="C210" s="213"/>
      <c r="D210" s="213"/>
      <c r="E210" s="213"/>
      <c r="F210" s="213"/>
      <c r="G210" s="213"/>
      <c r="H210" s="213"/>
      <c r="I210" s="213"/>
      <c r="J210" s="213"/>
      <c r="K210" s="213"/>
      <c r="L210" s="213"/>
      <c r="M210" s="213"/>
      <c r="N210" s="213"/>
    </row>
    <row r="211" spans="1:14" ht="15" thickBot="1" x14ac:dyDescent="0.35"/>
    <row r="212" spans="1:14" ht="15" thickBot="1" x14ac:dyDescent="0.35">
      <c r="B212" s="128" t="s">
        <v>829</v>
      </c>
      <c r="C212" s="89" t="s">
        <v>831</v>
      </c>
      <c r="D212" s="89" t="s">
        <v>830</v>
      </c>
      <c r="E212" s="90" t="s">
        <v>832</v>
      </c>
    </row>
    <row r="213" spans="1:14" x14ac:dyDescent="0.3">
      <c r="B213" s="93">
        <v>1</v>
      </c>
      <c r="C213" s="94">
        <v>5</v>
      </c>
      <c r="D213" s="94">
        <v>1</v>
      </c>
      <c r="E213" s="95">
        <v>4</v>
      </c>
    </row>
    <row r="214" spans="1:14" x14ac:dyDescent="0.3">
      <c r="B214" s="93">
        <v>2</v>
      </c>
      <c r="C214" s="94">
        <v>9</v>
      </c>
      <c r="D214" s="94">
        <v>2</v>
      </c>
      <c r="E214" s="95">
        <v>7</v>
      </c>
    </row>
    <row r="215" spans="1:14" x14ac:dyDescent="0.3">
      <c r="B215" s="93">
        <v>3</v>
      </c>
      <c r="C215" s="94">
        <v>4</v>
      </c>
      <c r="D215" s="94">
        <v>3</v>
      </c>
      <c r="E215" s="95">
        <v>3</v>
      </c>
      <c r="G215" t="s">
        <v>833</v>
      </c>
    </row>
    <row r="216" spans="1:14" ht="15" thickBot="1" x14ac:dyDescent="0.35">
      <c r="B216" s="93">
        <v>4</v>
      </c>
      <c r="C216" s="94">
        <v>8</v>
      </c>
      <c r="D216" s="94">
        <v>4</v>
      </c>
      <c r="E216" s="95">
        <v>7</v>
      </c>
    </row>
    <row r="217" spans="1:14" x14ac:dyDescent="0.3">
      <c r="B217" s="93">
        <v>5</v>
      </c>
      <c r="C217" s="94">
        <v>7</v>
      </c>
      <c r="D217" s="94">
        <v>5</v>
      </c>
      <c r="E217" s="95">
        <v>5</v>
      </c>
      <c r="G217" s="43"/>
      <c r="H217" s="43" t="s">
        <v>834</v>
      </c>
      <c r="I217" s="43" t="s">
        <v>835</v>
      </c>
    </row>
    <row r="218" spans="1:14" x14ac:dyDescent="0.3">
      <c r="B218" s="93">
        <v>6</v>
      </c>
      <c r="C218" s="94">
        <v>11</v>
      </c>
      <c r="D218" s="94">
        <v>6</v>
      </c>
      <c r="E218" s="95">
        <v>9</v>
      </c>
      <c r="G218" s="39" t="s">
        <v>53</v>
      </c>
      <c r="H218" s="39">
        <v>7.5</v>
      </c>
      <c r="I218" s="39">
        <v>5.9</v>
      </c>
    </row>
    <row r="219" spans="1:14" x14ac:dyDescent="0.3">
      <c r="B219" s="93">
        <v>7</v>
      </c>
      <c r="C219" s="94">
        <v>10</v>
      </c>
      <c r="D219" s="94">
        <v>7</v>
      </c>
      <c r="E219" s="95">
        <v>8</v>
      </c>
      <c r="G219" s="39" t="s">
        <v>142</v>
      </c>
      <c r="H219" s="39">
        <v>4.7222222222222223</v>
      </c>
      <c r="I219" s="39">
        <v>3.6555555555555532</v>
      </c>
      <c r="K219">
        <f>(H219-I219)/H219</f>
        <v>0.22588235294117698</v>
      </c>
      <c r="L219" t="s">
        <v>848</v>
      </c>
      <c r="M219" t="s">
        <v>847</v>
      </c>
    </row>
    <row r="220" spans="1:14" x14ac:dyDescent="0.3">
      <c r="B220" s="93">
        <v>8</v>
      </c>
      <c r="C220" s="94">
        <v>8</v>
      </c>
      <c r="D220" s="94">
        <v>8</v>
      </c>
      <c r="E220" s="95">
        <v>6</v>
      </c>
      <c r="G220" s="39" t="s">
        <v>36</v>
      </c>
      <c r="H220" s="39">
        <v>10</v>
      </c>
      <c r="I220" s="39">
        <v>10</v>
      </c>
    </row>
    <row r="221" spans="1:14" x14ac:dyDescent="0.3">
      <c r="B221" s="93">
        <v>9</v>
      </c>
      <c r="C221" s="94">
        <v>6</v>
      </c>
      <c r="D221" s="94">
        <v>9</v>
      </c>
      <c r="E221" s="95">
        <v>4</v>
      </c>
      <c r="G221" s="39" t="s">
        <v>836</v>
      </c>
      <c r="H221" s="39">
        <v>4.1888888888888882</v>
      </c>
      <c r="I221" s="39"/>
    </row>
    <row r="222" spans="1:14" ht="15" thickBot="1" x14ac:dyDescent="0.35">
      <c r="B222" s="103">
        <v>10</v>
      </c>
      <c r="C222" s="96">
        <v>7</v>
      </c>
      <c r="D222" s="96">
        <v>10</v>
      </c>
      <c r="E222" s="97">
        <v>6</v>
      </c>
      <c r="G222" s="39" t="s">
        <v>837</v>
      </c>
      <c r="H222" s="39">
        <v>0</v>
      </c>
      <c r="I222" s="39"/>
    </row>
    <row r="223" spans="1:14" x14ac:dyDescent="0.3">
      <c r="G223" s="39" t="s">
        <v>838</v>
      </c>
      <c r="H223" s="39">
        <v>18</v>
      </c>
      <c r="I223" s="39"/>
    </row>
    <row r="224" spans="1:14" x14ac:dyDescent="0.3">
      <c r="G224" s="39" t="s">
        <v>839</v>
      </c>
      <c r="H224" s="39">
        <v>1.7480568977501512</v>
      </c>
      <c r="I224" s="39"/>
    </row>
    <row r="225" spans="2:10" x14ac:dyDescent="0.3">
      <c r="G225" s="39" t="s">
        <v>840</v>
      </c>
      <c r="H225" s="39">
        <v>4.87449226014929E-2</v>
      </c>
      <c r="I225" s="39"/>
      <c r="J225" t="s">
        <v>772</v>
      </c>
    </row>
    <row r="226" spans="2:10" x14ac:dyDescent="0.3">
      <c r="G226" s="39" t="s">
        <v>841</v>
      </c>
      <c r="H226" s="39">
        <v>1.7340635923093939</v>
      </c>
      <c r="I226" s="39"/>
    </row>
    <row r="227" spans="2:10" x14ac:dyDescent="0.3">
      <c r="G227" s="39" t="s">
        <v>842</v>
      </c>
      <c r="H227" s="39">
        <v>9.74898452029858E-2</v>
      </c>
      <c r="I227" s="39"/>
    </row>
    <row r="228" spans="2:10" ht="15" thickBot="1" x14ac:dyDescent="0.35">
      <c r="G228" s="41" t="s">
        <v>843</v>
      </c>
      <c r="H228" s="41">
        <v>2.1009220368611805</v>
      </c>
      <c r="I228" s="41"/>
    </row>
    <row r="230" spans="2:10" x14ac:dyDescent="0.3">
      <c r="B230" t="s">
        <v>844</v>
      </c>
    </row>
    <row r="232" spans="2:10" x14ac:dyDescent="0.3">
      <c r="B232" t="s">
        <v>845</v>
      </c>
    </row>
    <row r="234" spans="2:10" x14ac:dyDescent="0.3">
      <c r="B234" t="s">
        <v>846</v>
      </c>
    </row>
    <row r="238" spans="2:10" x14ac:dyDescent="0.3">
      <c r="G238" t="s">
        <v>849</v>
      </c>
    </row>
    <row r="239" spans="2:10" ht="15" thickBot="1" x14ac:dyDescent="0.35"/>
    <row r="240" spans="2:10" x14ac:dyDescent="0.3">
      <c r="G240" s="43"/>
      <c r="H240" s="43" t="s">
        <v>834</v>
      </c>
      <c r="I240" s="43" t="s">
        <v>835</v>
      </c>
    </row>
    <row r="241" spans="1:12" x14ac:dyDescent="0.3">
      <c r="G241" s="39" t="s">
        <v>53</v>
      </c>
      <c r="H241" s="39">
        <v>7.5</v>
      </c>
      <c r="I241" s="39">
        <v>5.9</v>
      </c>
    </row>
    <row r="242" spans="1:12" x14ac:dyDescent="0.3">
      <c r="G242" s="39" t="s">
        <v>142</v>
      </c>
      <c r="H242" s="39">
        <v>4.7222222222222223</v>
      </c>
      <c r="I242" s="39">
        <v>3.6555555555555532</v>
      </c>
    </row>
    <row r="243" spans="1:12" x14ac:dyDescent="0.3">
      <c r="G243" s="39" t="s">
        <v>36</v>
      </c>
      <c r="H243" s="39">
        <v>10</v>
      </c>
      <c r="I243" s="39">
        <v>10</v>
      </c>
    </row>
    <row r="244" spans="1:12" x14ac:dyDescent="0.3">
      <c r="G244" s="39" t="s">
        <v>837</v>
      </c>
      <c r="H244" s="39">
        <v>0</v>
      </c>
      <c r="I244" s="39"/>
    </row>
    <row r="245" spans="1:12" x14ac:dyDescent="0.3">
      <c r="G245" s="39" t="s">
        <v>838</v>
      </c>
      <c r="H245" s="39">
        <v>18</v>
      </c>
      <c r="I245" s="39"/>
    </row>
    <row r="246" spans="1:12" x14ac:dyDescent="0.3">
      <c r="G246" s="39" t="s">
        <v>839</v>
      </c>
      <c r="H246" s="39">
        <v>1.7480568977501514</v>
      </c>
      <c r="I246" s="39"/>
    </row>
    <row r="247" spans="1:12" x14ac:dyDescent="0.3">
      <c r="G247" s="39" t="s">
        <v>840</v>
      </c>
      <c r="H247" s="39">
        <v>4.87449226014929E-2</v>
      </c>
      <c r="I247" s="39"/>
    </row>
    <row r="248" spans="1:12" x14ac:dyDescent="0.3">
      <c r="G248" s="39" t="s">
        <v>841</v>
      </c>
      <c r="H248" s="39">
        <v>1.7340635923093939</v>
      </c>
      <c r="I248" s="39"/>
    </row>
    <row r="249" spans="1:12" x14ac:dyDescent="0.3">
      <c r="G249" s="39" t="s">
        <v>842</v>
      </c>
      <c r="H249" s="39">
        <v>9.74898452029858E-2</v>
      </c>
      <c r="I249" s="39"/>
    </row>
    <row r="250" spans="1:12" ht="15" thickBot="1" x14ac:dyDescent="0.35">
      <c r="G250" s="41" t="s">
        <v>843</v>
      </c>
      <c r="H250" s="41">
        <v>2.1009220368611805</v>
      </c>
      <c r="I250" s="41"/>
    </row>
    <row r="252" spans="1:12" x14ac:dyDescent="0.3">
      <c r="A252" s="213" t="s">
        <v>851</v>
      </c>
      <c r="B252" s="213"/>
      <c r="C252" s="213"/>
      <c r="D252" s="213"/>
      <c r="E252" s="213"/>
      <c r="F252" s="213"/>
      <c r="G252" s="213"/>
      <c r="H252" s="213"/>
      <c r="I252" s="213"/>
      <c r="J252" s="213"/>
      <c r="K252" s="213"/>
      <c r="L252" s="213"/>
    </row>
    <row r="254" spans="1:12" x14ac:dyDescent="0.3">
      <c r="B254" t="s">
        <v>855</v>
      </c>
      <c r="C254" t="s">
        <v>856</v>
      </c>
      <c r="D254" t="s">
        <v>857</v>
      </c>
    </row>
    <row r="255" spans="1:12" x14ac:dyDescent="0.3">
      <c r="B255">
        <v>1</v>
      </c>
      <c r="C255">
        <v>1</v>
      </c>
      <c r="D255">
        <v>3</v>
      </c>
    </row>
    <row r="256" spans="1:12" x14ac:dyDescent="0.3">
      <c r="B256">
        <v>2</v>
      </c>
      <c r="C256">
        <v>0</v>
      </c>
      <c r="D256">
        <v>2</v>
      </c>
    </row>
    <row r="257" spans="2:4" x14ac:dyDescent="0.3">
      <c r="B257">
        <v>3</v>
      </c>
      <c r="C257">
        <v>2</v>
      </c>
      <c r="D257">
        <v>3</v>
      </c>
    </row>
    <row r="258" spans="2:4" x14ac:dyDescent="0.3">
      <c r="B258">
        <v>4</v>
      </c>
      <c r="C258">
        <v>3</v>
      </c>
      <c r="D258">
        <v>4</v>
      </c>
    </row>
    <row r="259" spans="2:4" x14ac:dyDescent="0.3">
      <c r="B259">
        <v>5</v>
      </c>
      <c r="C259">
        <v>2</v>
      </c>
      <c r="D259">
        <v>2</v>
      </c>
    </row>
    <row r="260" spans="2:4" x14ac:dyDescent="0.3">
      <c r="B260">
        <v>6</v>
      </c>
      <c r="C260">
        <v>1</v>
      </c>
      <c r="D260">
        <v>2</v>
      </c>
    </row>
    <row r="261" spans="2:4" x14ac:dyDescent="0.3">
      <c r="B261">
        <v>7</v>
      </c>
      <c r="C261">
        <v>3</v>
      </c>
      <c r="D261">
        <v>4</v>
      </c>
    </row>
    <row r="262" spans="2:4" x14ac:dyDescent="0.3">
      <c r="B262">
        <v>8</v>
      </c>
      <c r="C262">
        <v>2</v>
      </c>
      <c r="D262">
        <v>3</v>
      </c>
    </row>
    <row r="263" spans="2:4" x14ac:dyDescent="0.3">
      <c r="B263">
        <v>9</v>
      </c>
      <c r="C263">
        <v>0</v>
      </c>
      <c r="D263">
        <v>1</v>
      </c>
    </row>
    <row r="264" spans="2:4" x14ac:dyDescent="0.3">
      <c r="B264">
        <v>10</v>
      </c>
      <c r="C264">
        <v>2</v>
      </c>
      <c r="D264">
        <v>3</v>
      </c>
    </row>
    <row r="275" spans="1:12" x14ac:dyDescent="0.3">
      <c r="A275" s="213" t="s">
        <v>907</v>
      </c>
      <c r="B275" s="213"/>
      <c r="C275" s="213"/>
      <c r="D275" s="213"/>
      <c r="E275" s="213"/>
      <c r="F275" s="213"/>
      <c r="G275" s="213"/>
      <c r="H275" s="213"/>
      <c r="I275" s="213"/>
      <c r="J275" s="213"/>
      <c r="K275" s="213"/>
      <c r="L275" s="213"/>
    </row>
    <row r="276" spans="1:12" ht="15" thickBot="1" x14ac:dyDescent="0.35"/>
    <row r="277" spans="1:12" ht="15" thickBot="1" x14ac:dyDescent="0.35">
      <c r="B277" s="137"/>
      <c r="C277" s="138" t="s">
        <v>858</v>
      </c>
      <c r="D277" s="138" t="s">
        <v>859</v>
      </c>
      <c r="E277" s="139" t="s">
        <v>860</v>
      </c>
    </row>
    <row r="278" spans="1:12" x14ac:dyDescent="0.3">
      <c r="B278" s="140" t="s">
        <v>861</v>
      </c>
      <c r="C278" s="99">
        <v>980</v>
      </c>
      <c r="D278" s="99">
        <v>1123</v>
      </c>
      <c r="E278" s="95">
        <v>1084</v>
      </c>
      <c r="G278" t="s">
        <v>883</v>
      </c>
    </row>
    <row r="279" spans="1:12" x14ac:dyDescent="0.3">
      <c r="B279" s="140" t="s">
        <v>862</v>
      </c>
      <c r="C279" s="99">
        <v>776</v>
      </c>
      <c r="D279" s="99">
        <v>1357</v>
      </c>
      <c r="E279" s="95">
        <v>1025</v>
      </c>
      <c r="G279" t="s">
        <v>884</v>
      </c>
    </row>
    <row r="280" spans="1:12" x14ac:dyDescent="0.3">
      <c r="B280" s="140" t="s">
        <v>863</v>
      </c>
      <c r="C280" s="99">
        <v>923</v>
      </c>
      <c r="D280" s="99">
        <v>1152</v>
      </c>
      <c r="E280" s="95">
        <v>1114</v>
      </c>
    </row>
    <row r="281" spans="1:12" x14ac:dyDescent="0.3">
      <c r="B281" s="140" t="s">
        <v>864</v>
      </c>
      <c r="C281" s="99">
        <v>1498</v>
      </c>
      <c r="D281" s="99">
        <v>921</v>
      </c>
      <c r="E281" s="95">
        <v>1182</v>
      </c>
    </row>
    <row r="282" spans="1:12" ht="15" thickBot="1" x14ac:dyDescent="0.35">
      <c r="B282" s="141" t="s">
        <v>865</v>
      </c>
      <c r="C282" s="100">
        <v>999</v>
      </c>
      <c r="D282" s="100">
        <v>959</v>
      </c>
      <c r="E282" s="97">
        <v>1022</v>
      </c>
    </row>
    <row r="340" spans="2:5" ht="15" thickBot="1" x14ac:dyDescent="0.35"/>
    <row r="341" spans="2:5" ht="15" thickBot="1" x14ac:dyDescent="0.35">
      <c r="B341" s="137"/>
      <c r="C341" s="138" t="s">
        <v>858</v>
      </c>
      <c r="D341" s="138" t="s">
        <v>859</v>
      </c>
      <c r="E341" s="139" t="s">
        <v>860</v>
      </c>
    </row>
    <row r="342" spans="2:5" x14ac:dyDescent="0.3">
      <c r="B342" s="140" t="s">
        <v>861</v>
      </c>
      <c r="C342" s="99">
        <v>980</v>
      </c>
      <c r="D342" s="99">
        <v>1123</v>
      </c>
      <c r="E342" s="95">
        <v>1084</v>
      </c>
    </row>
    <row r="343" spans="2:5" x14ac:dyDescent="0.3">
      <c r="B343" s="140" t="s">
        <v>862</v>
      </c>
      <c r="C343" s="99">
        <v>776</v>
      </c>
      <c r="D343" s="99">
        <v>1357</v>
      </c>
      <c r="E343" s="95">
        <v>1025</v>
      </c>
    </row>
    <row r="344" spans="2:5" x14ac:dyDescent="0.3">
      <c r="B344" s="140" t="s">
        <v>863</v>
      </c>
      <c r="C344" s="99">
        <v>923</v>
      </c>
      <c r="D344" s="99">
        <v>1152</v>
      </c>
      <c r="E344" s="95">
        <v>1114</v>
      </c>
    </row>
    <row r="345" spans="2:5" x14ac:dyDescent="0.3">
      <c r="B345" s="140" t="s">
        <v>864</v>
      </c>
      <c r="C345" s="99">
        <v>1498</v>
      </c>
      <c r="D345" s="99">
        <v>921</v>
      </c>
      <c r="E345" s="95">
        <v>1182</v>
      </c>
    </row>
    <row r="346" spans="2:5" ht="15" thickBot="1" x14ac:dyDescent="0.35">
      <c r="B346" s="141" t="s">
        <v>865</v>
      </c>
      <c r="C346" s="100">
        <v>999</v>
      </c>
      <c r="D346" s="100">
        <v>959</v>
      </c>
      <c r="E346" s="97">
        <v>1022</v>
      </c>
    </row>
    <row r="348" spans="2:5" ht="15" thickBot="1" x14ac:dyDescent="0.35"/>
    <row r="349" spans="2:5" ht="15" thickBot="1" x14ac:dyDescent="0.35">
      <c r="B349" s="138" t="s">
        <v>858</v>
      </c>
    </row>
    <row r="350" spans="2:5" x14ac:dyDescent="0.3">
      <c r="B350" s="99">
        <v>980</v>
      </c>
      <c r="C350">
        <f>B350-B$356</f>
        <v>-55.200000000000045</v>
      </c>
      <c r="D350">
        <f>C350^2</f>
        <v>3047.040000000005</v>
      </c>
    </row>
    <row r="351" spans="2:5" x14ac:dyDescent="0.3">
      <c r="B351" s="99">
        <v>776</v>
      </c>
      <c r="C351">
        <f>B351-B$356</f>
        <v>-259.20000000000005</v>
      </c>
      <c r="D351">
        <f>C351^2</f>
        <v>67184.640000000029</v>
      </c>
    </row>
    <row r="352" spans="2:5" x14ac:dyDescent="0.3">
      <c r="B352" s="99">
        <v>923</v>
      </c>
      <c r="C352">
        <f>B352-B$356</f>
        <v>-112.20000000000005</v>
      </c>
      <c r="D352">
        <f>C352^2</f>
        <v>12588.840000000011</v>
      </c>
    </row>
    <row r="353" spans="1:4" x14ac:dyDescent="0.3">
      <c r="B353" s="99">
        <v>1498</v>
      </c>
      <c r="C353">
        <f>B353-B$356</f>
        <v>462.79999999999995</v>
      </c>
      <c r="D353">
        <f>C353^2</f>
        <v>214183.83999999997</v>
      </c>
    </row>
    <row r="354" spans="1:4" ht="15" thickBot="1" x14ac:dyDescent="0.35">
      <c r="B354" s="100">
        <v>999</v>
      </c>
      <c r="C354">
        <f>B354-B$356</f>
        <v>-36.200000000000045</v>
      </c>
      <c r="D354">
        <f>C354^2</f>
        <v>1310.4400000000032</v>
      </c>
    </row>
    <row r="356" spans="1:4" x14ac:dyDescent="0.3">
      <c r="A356" t="s">
        <v>62</v>
      </c>
      <c r="B356">
        <f>AVERAGE(B350:B354)</f>
        <v>1035.2</v>
      </c>
      <c r="D356">
        <f>SUM(D350:D354)</f>
        <v>298314.8</v>
      </c>
    </row>
    <row r="357" spans="1:4" ht="15" thickBot="1" x14ac:dyDescent="0.35"/>
    <row r="358" spans="1:4" ht="15" thickBot="1" x14ac:dyDescent="0.35">
      <c r="B358" s="138" t="s">
        <v>859</v>
      </c>
    </row>
    <row r="359" spans="1:4" x14ac:dyDescent="0.3">
      <c r="B359" s="99">
        <v>1123</v>
      </c>
      <c r="C359">
        <f>B359-B$365</f>
        <v>20.599999999999909</v>
      </c>
      <c r="D359">
        <f>C359^2</f>
        <v>424.35999999999626</v>
      </c>
    </row>
    <row r="360" spans="1:4" x14ac:dyDescent="0.3">
      <c r="B360" s="99">
        <v>1357</v>
      </c>
      <c r="C360">
        <f>B360-B$365</f>
        <v>254.59999999999991</v>
      </c>
      <c r="D360">
        <f>C360^2</f>
        <v>64821.159999999953</v>
      </c>
    </row>
    <row r="361" spans="1:4" x14ac:dyDescent="0.3">
      <c r="B361" s="99">
        <v>1152</v>
      </c>
      <c r="C361">
        <f>B361-B$365</f>
        <v>49.599999999999909</v>
      </c>
      <c r="D361">
        <f>C361^2</f>
        <v>2460.1599999999908</v>
      </c>
    </row>
    <row r="362" spans="1:4" x14ac:dyDescent="0.3">
      <c r="B362" s="99">
        <v>921</v>
      </c>
      <c r="C362">
        <f>B362-B$365</f>
        <v>-181.40000000000009</v>
      </c>
      <c r="D362">
        <f>C362^2</f>
        <v>32905.960000000036</v>
      </c>
    </row>
    <row r="363" spans="1:4" ht="15" thickBot="1" x14ac:dyDescent="0.35">
      <c r="B363" s="100">
        <v>959</v>
      </c>
      <c r="C363">
        <f>B363-B$365</f>
        <v>-143.40000000000009</v>
      </c>
      <c r="D363">
        <f>C363^2</f>
        <v>20563.560000000027</v>
      </c>
    </row>
    <row r="365" spans="1:4" x14ac:dyDescent="0.3">
      <c r="A365" t="s">
        <v>62</v>
      </c>
      <c r="B365">
        <f>AVERAGE(B359:B363)</f>
        <v>1102.4000000000001</v>
      </c>
      <c r="D365">
        <f>SUM(D359:D363)</f>
        <v>121175.2</v>
      </c>
    </row>
    <row r="366" spans="1:4" ht="15" thickBot="1" x14ac:dyDescent="0.35"/>
    <row r="367" spans="1:4" ht="15" thickBot="1" x14ac:dyDescent="0.35">
      <c r="B367" s="138" t="s">
        <v>860</v>
      </c>
    </row>
    <row r="368" spans="1:4" x14ac:dyDescent="0.3">
      <c r="B368" s="99">
        <v>1084</v>
      </c>
      <c r="C368">
        <f>B368-B$374</f>
        <v>-1.4000000000000909</v>
      </c>
      <c r="D368">
        <f>C368^2</f>
        <v>1.9600000000002546</v>
      </c>
    </row>
    <row r="369" spans="1:6" x14ac:dyDescent="0.3">
      <c r="B369" s="99">
        <v>1025</v>
      </c>
      <c r="C369">
        <f>B369-B$374</f>
        <v>-60.400000000000091</v>
      </c>
      <c r="D369">
        <f>C369^2</f>
        <v>3648.1600000000108</v>
      </c>
      <c r="F369">
        <v>17819.2</v>
      </c>
    </row>
    <row r="370" spans="1:6" x14ac:dyDescent="0.3">
      <c r="B370" s="99">
        <v>1114</v>
      </c>
      <c r="C370">
        <f>B370-B$374</f>
        <v>28.599999999999909</v>
      </c>
      <c r="D370">
        <f>C370^2</f>
        <v>817.95999999999481</v>
      </c>
    </row>
    <row r="371" spans="1:6" x14ac:dyDescent="0.3">
      <c r="B371" s="99">
        <v>1182</v>
      </c>
      <c r="C371">
        <f>B371-B$374</f>
        <v>96.599999999999909</v>
      </c>
      <c r="D371">
        <f>C371^2</f>
        <v>9331.5599999999831</v>
      </c>
    </row>
    <row r="372" spans="1:6" ht="15" thickBot="1" x14ac:dyDescent="0.35">
      <c r="B372" s="100">
        <v>1022</v>
      </c>
      <c r="C372">
        <f>B372-B$374</f>
        <v>-63.400000000000091</v>
      </c>
      <c r="D372">
        <f>C372^2</f>
        <v>4019.5600000000113</v>
      </c>
    </row>
    <row r="374" spans="1:6" x14ac:dyDescent="0.3">
      <c r="A374" t="s">
        <v>62</v>
      </c>
      <c r="B374">
        <f>AVERAGE(B368:B372)</f>
        <v>1085.4000000000001</v>
      </c>
      <c r="D374">
        <f>SUM(D368:D372)</f>
        <v>17819.2</v>
      </c>
    </row>
    <row r="376" spans="1:6" x14ac:dyDescent="0.3">
      <c r="B376" t="s">
        <v>867</v>
      </c>
      <c r="D376" s="53">
        <f>D356+D365+D374</f>
        <v>437309.2</v>
      </c>
    </row>
    <row r="378" spans="1:6" ht="15" thickBot="1" x14ac:dyDescent="0.35"/>
    <row r="379" spans="1:6" ht="15" thickBot="1" x14ac:dyDescent="0.35">
      <c r="B379" s="137"/>
      <c r="C379" s="138" t="s">
        <v>858</v>
      </c>
      <c r="D379" s="138" t="s">
        <v>859</v>
      </c>
      <c r="E379" s="139" t="s">
        <v>860</v>
      </c>
    </row>
    <row r="380" spans="1:6" x14ac:dyDescent="0.3">
      <c r="B380" s="140" t="s">
        <v>861</v>
      </c>
      <c r="C380" s="99">
        <v>980</v>
      </c>
      <c r="D380" s="99">
        <v>1123</v>
      </c>
      <c r="E380" s="95">
        <v>1084</v>
      </c>
    </row>
    <row r="381" spans="1:6" x14ac:dyDescent="0.3">
      <c r="B381" s="140" t="s">
        <v>862</v>
      </c>
      <c r="C381" s="99">
        <v>776</v>
      </c>
      <c r="D381" s="99">
        <v>1357</v>
      </c>
      <c r="E381" s="95">
        <v>1025</v>
      </c>
    </row>
    <row r="382" spans="1:6" x14ac:dyDescent="0.3">
      <c r="B382" s="140" t="s">
        <v>863</v>
      </c>
      <c r="C382" s="99">
        <v>923</v>
      </c>
      <c r="D382" s="99">
        <v>1152</v>
      </c>
      <c r="E382" s="95">
        <v>1114</v>
      </c>
    </row>
    <row r="383" spans="1:6" x14ac:dyDescent="0.3">
      <c r="B383" s="140" t="s">
        <v>864</v>
      </c>
      <c r="C383" s="99">
        <v>1498</v>
      </c>
      <c r="D383" s="99">
        <v>921</v>
      </c>
      <c r="E383" s="95">
        <v>1182</v>
      </c>
    </row>
    <row r="384" spans="1:6" ht="15" thickBot="1" x14ac:dyDescent="0.35">
      <c r="B384" s="141" t="s">
        <v>865</v>
      </c>
      <c r="C384" s="100">
        <v>999</v>
      </c>
      <c r="D384" s="100">
        <v>959</v>
      </c>
      <c r="E384" s="97">
        <v>1022</v>
      </c>
    </row>
    <row r="386" spans="2:5" x14ac:dyDescent="0.3">
      <c r="B386" t="s">
        <v>868</v>
      </c>
      <c r="C386" s="211">
        <f>AVERAGE(C380:E384)</f>
        <v>1074.3333333333333</v>
      </c>
      <c r="D386" s="211"/>
      <c r="E386" s="211"/>
    </row>
    <row r="387" spans="2:5" x14ac:dyDescent="0.3">
      <c r="B387" t="s">
        <v>869</v>
      </c>
      <c r="C387">
        <f>AVERAGE(C380:C384)</f>
        <v>1035.2</v>
      </c>
      <c r="D387">
        <f>AVERAGE(D380:D384)</f>
        <v>1102.4000000000001</v>
      </c>
      <c r="E387">
        <f>AVERAGE(E380:E384)</f>
        <v>1085.4000000000001</v>
      </c>
    </row>
    <row r="388" spans="2:5" x14ac:dyDescent="0.3">
      <c r="B388" t="s">
        <v>870</v>
      </c>
      <c r="C388">
        <f>AVERAGE(C380:E384)</f>
        <v>1074.3333333333333</v>
      </c>
      <c r="D388">
        <f>AVERAGE(C380:E384)</f>
        <v>1074.3333333333333</v>
      </c>
      <c r="E388">
        <f>AVERAGE(C380:E384)</f>
        <v>1074.3333333333333</v>
      </c>
    </row>
    <row r="389" spans="2:5" x14ac:dyDescent="0.3">
      <c r="B389" t="s">
        <v>871</v>
      </c>
      <c r="C389">
        <f>C387-C388</f>
        <v>-39.133333333333212</v>
      </c>
      <c r="D389">
        <f>D387-D388</f>
        <v>28.066666666666833</v>
      </c>
      <c r="E389">
        <f>E387-E388</f>
        <v>11.066666666666833</v>
      </c>
    </row>
    <row r="390" spans="2:5" x14ac:dyDescent="0.3">
      <c r="B390" t="s">
        <v>872</v>
      </c>
      <c r="C390">
        <f>C389^2</f>
        <v>1531.4177777777684</v>
      </c>
      <c r="D390">
        <f>D389^2</f>
        <v>787.73777777778719</v>
      </c>
      <c r="E390">
        <f>E389^2</f>
        <v>122.47111111111481</v>
      </c>
    </row>
    <row r="391" spans="2:5" x14ac:dyDescent="0.3">
      <c r="B391" t="s">
        <v>811</v>
      </c>
      <c r="C391">
        <v>5</v>
      </c>
      <c r="D391">
        <v>5</v>
      </c>
      <c r="E391">
        <v>5</v>
      </c>
    </row>
    <row r="392" spans="2:5" x14ac:dyDescent="0.3">
      <c r="B392" t="s">
        <v>873</v>
      </c>
      <c r="C392" s="53">
        <f>C390*C391+D390*D391+E390*E391</f>
        <v>12208.133333333351</v>
      </c>
    </row>
    <row r="394" spans="2:5" x14ac:dyDescent="0.3">
      <c r="D394" s="53"/>
    </row>
    <row r="396" spans="2:5" x14ac:dyDescent="0.3">
      <c r="B396" t="s">
        <v>874</v>
      </c>
      <c r="D396">
        <v>12208</v>
      </c>
    </row>
    <row r="397" spans="2:5" x14ac:dyDescent="0.3">
      <c r="B397" t="s">
        <v>875</v>
      </c>
      <c r="D397">
        <v>3</v>
      </c>
    </row>
    <row r="398" spans="2:5" x14ac:dyDescent="0.3">
      <c r="B398" t="s">
        <v>889</v>
      </c>
      <c r="D398" s="54">
        <f>3-1</f>
        <v>2</v>
      </c>
    </row>
    <row r="399" spans="2:5" x14ac:dyDescent="0.3">
      <c r="D399" s="54"/>
    </row>
    <row r="400" spans="2:5" x14ac:dyDescent="0.3">
      <c r="B400" t="s">
        <v>876</v>
      </c>
      <c r="D400">
        <f>12208/(3-1)</f>
        <v>6104</v>
      </c>
    </row>
    <row r="402" spans="1:4" x14ac:dyDescent="0.3">
      <c r="B402" t="s">
        <v>877</v>
      </c>
      <c r="D402">
        <v>437309</v>
      </c>
    </row>
    <row r="403" spans="1:4" x14ac:dyDescent="0.3">
      <c r="B403" t="s">
        <v>878</v>
      </c>
      <c r="D403">
        <v>15</v>
      </c>
    </row>
    <row r="404" spans="1:4" x14ac:dyDescent="0.3">
      <c r="D404">
        <f>15-3</f>
        <v>12</v>
      </c>
    </row>
    <row r="405" spans="1:4" x14ac:dyDescent="0.3">
      <c r="B405" t="s">
        <v>879</v>
      </c>
      <c r="D405">
        <f>437309/ (15-3)</f>
        <v>36442.416666666664</v>
      </c>
    </row>
    <row r="407" spans="1:4" x14ac:dyDescent="0.3">
      <c r="C407" t="s">
        <v>880</v>
      </c>
      <c r="D407" t="s">
        <v>881</v>
      </c>
    </row>
    <row r="409" spans="1:4" x14ac:dyDescent="0.3">
      <c r="C409" t="s">
        <v>880</v>
      </c>
      <c r="D409">
        <f>D400/D405</f>
        <v>0.16749712445890663</v>
      </c>
    </row>
    <row r="411" spans="1:4" x14ac:dyDescent="0.3">
      <c r="C411" t="s">
        <v>882</v>
      </c>
      <c r="D411">
        <v>3.89</v>
      </c>
    </row>
    <row r="414" spans="1:4" x14ac:dyDescent="0.3">
      <c r="A414" t="s">
        <v>883</v>
      </c>
    </row>
    <row r="415" spans="1:4" x14ac:dyDescent="0.3">
      <c r="A415" t="s">
        <v>884</v>
      </c>
    </row>
    <row r="417" spans="1:6" x14ac:dyDescent="0.3">
      <c r="A417" t="s">
        <v>885</v>
      </c>
    </row>
    <row r="419" spans="1:6" x14ac:dyDescent="0.3">
      <c r="A419" t="s">
        <v>886</v>
      </c>
    </row>
    <row r="421" spans="1:6" x14ac:dyDescent="0.3">
      <c r="A421" t="s">
        <v>887</v>
      </c>
    </row>
    <row r="422" spans="1:6" x14ac:dyDescent="0.3">
      <c r="A422" t="s">
        <v>888</v>
      </c>
    </row>
    <row r="424" spans="1:6" x14ac:dyDescent="0.3">
      <c r="B424" t="s">
        <v>891</v>
      </c>
    </row>
    <row r="426" spans="1:6" ht="15" thickBot="1" x14ac:dyDescent="0.35">
      <c r="B426" t="s">
        <v>892</v>
      </c>
    </row>
    <row r="427" spans="1:6" x14ac:dyDescent="0.3">
      <c r="B427" s="43" t="s">
        <v>893</v>
      </c>
      <c r="C427" s="43" t="s">
        <v>155</v>
      </c>
      <c r="D427" s="43" t="s">
        <v>61</v>
      </c>
      <c r="E427" s="43" t="s">
        <v>62</v>
      </c>
      <c r="F427" s="43" t="s">
        <v>142</v>
      </c>
    </row>
    <row r="428" spans="1:6" x14ac:dyDescent="0.3">
      <c r="B428" s="39" t="s">
        <v>858</v>
      </c>
      <c r="C428" s="39">
        <v>5</v>
      </c>
      <c r="D428" s="39">
        <v>5176</v>
      </c>
      <c r="E428" s="39">
        <v>1035.2</v>
      </c>
      <c r="F428" s="39">
        <v>74578.699999999953</v>
      </c>
    </row>
    <row r="429" spans="1:6" x14ac:dyDescent="0.3">
      <c r="B429" s="39" t="s">
        <v>859</v>
      </c>
      <c r="C429" s="39">
        <v>5</v>
      </c>
      <c r="D429" s="39">
        <v>5512</v>
      </c>
      <c r="E429" s="39">
        <v>1102.4000000000001</v>
      </c>
      <c r="F429" s="39">
        <v>30293.800000000047</v>
      </c>
    </row>
    <row r="430" spans="1:6" ht="15" thickBot="1" x14ac:dyDescent="0.35">
      <c r="B430" s="41" t="s">
        <v>860</v>
      </c>
      <c r="C430" s="41">
        <v>5</v>
      </c>
      <c r="D430" s="41">
        <v>5427</v>
      </c>
      <c r="E430" s="41">
        <v>1085.4000000000001</v>
      </c>
      <c r="F430" s="41">
        <v>4454.8000000000466</v>
      </c>
    </row>
    <row r="433" spans="2:8" ht="15" thickBot="1" x14ac:dyDescent="0.35">
      <c r="B433" t="s">
        <v>866</v>
      </c>
    </row>
    <row r="434" spans="2:8" x14ac:dyDescent="0.3">
      <c r="B434" s="43" t="s">
        <v>894</v>
      </c>
      <c r="C434" s="43" t="s">
        <v>895</v>
      </c>
      <c r="D434" s="43" t="s">
        <v>838</v>
      </c>
      <c r="E434" s="43" t="s">
        <v>896</v>
      </c>
      <c r="F434" s="43" t="s">
        <v>208</v>
      </c>
      <c r="G434" s="43" t="s">
        <v>897</v>
      </c>
      <c r="H434" s="43" t="s">
        <v>898</v>
      </c>
    </row>
    <row r="435" spans="2:8" x14ac:dyDescent="0.3">
      <c r="B435" s="39" t="s">
        <v>899</v>
      </c>
      <c r="C435" s="39">
        <v>12208.133333333302</v>
      </c>
      <c r="D435" s="39">
        <v>2</v>
      </c>
      <c r="E435" s="39">
        <v>6104.0666666666511</v>
      </c>
      <c r="F435" s="39">
        <v>0.16749887722462689</v>
      </c>
      <c r="G435" s="39">
        <v>0.84772116774432205</v>
      </c>
      <c r="H435" s="39">
        <v>3.8852938347033836</v>
      </c>
    </row>
    <row r="436" spans="2:8" x14ac:dyDescent="0.3">
      <c r="B436" s="39" t="s">
        <v>900</v>
      </c>
      <c r="C436" s="39">
        <v>437309.2</v>
      </c>
      <c r="D436" s="39">
        <v>12</v>
      </c>
      <c r="E436" s="39">
        <v>36442.433333333334</v>
      </c>
      <c r="F436" s="39"/>
      <c r="G436" s="39"/>
      <c r="H436" s="39"/>
    </row>
    <row r="437" spans="2:8" x14ac:dyDescent="0.3">
      <c r="B437" s="39"/>
      <c r="C437" s="39"/>
      <c r="D437" s="39"/>
      <c r="E437" s="39"/>
      <c r="F437" s="39"/>
      <c r="G437" s="39"/>
      <c r="H437" s="39"/>
    </row>
    <row r="438" spans="2:8" ht="15" thickBot="1" x14ac:dyDescent="0.35">
      <c r="B438" s="41" t="s">
        <v>50</v>
      </c>
      <c r="C438" s="41">
        <v>449517.33333333331</v>
      </c>
      <c r="D438" s="41">
        <v>14</v>
      </c>
      <c r="E438" s="41"/>
      <c r="F438" s="41"/>
      <c r="G438" s="41"/>
      <c r="H438" s="41"/>
    </row>
    <row r="441" spans="2:8" x14ac:dyDescent="0.3">
      <c r="B441" t="s">
        <v>901</v>
      </c>
    </row>
    <row r="443" spans="2:8" x14ac:dyDescent="0.3">
      <c r="B443" t="s">
        <v>902</v>
      </c>
      <c r="C443" t="s">
        <v>903</v>
      </c>
    </row>
    <row r="444" spans="2:8" x14ac:dyDescent="0.3">
      <c r="B444" t="s">
        <v>904</v>
      </c>
      <c r="C444" t="s">
        <v>905</v>
      </c>
    </row>
    <row r="446" spans="2:8" x14ac:dyDescent="0.3">
      <c r="B446" t="s">
        <v>906</v>
      </c>
    </row>
    <row r="449" spans="1:12" x14ac:dyDescent="0.3">
      <c r="A449" s="213" t="s">
        <v>908</v>
      </c>
      <c r="B449" s="213"/>
      <c r="C449" s="213"/>
      <c r="D449" s="213"/>
      <c r="E449" s="213"/>
      <c r="F449" s="213"/>
      <c r="G449" s="213"/>
      <c r="H449" s="213"/>
      <c r="I449" s="213"/>
      <c r="J449" s="213"/>
      <c r="K449" s="213"/>
      <c r="L449" s="213"/>
    </row>
    <row r="451" spans="1:12" ht="15" thickBot="1" x14ac:dyDescent="0.35"/>
    <row r="452" spans="1:12" ht="15" thickBot="1" x14ac:dyDescent="0.35">
      <c r="B452" s="214" t="s">
        <v>910</v>
      </c>
      <c r="C452" s="215"/>
      <c r="D452" s="215"/>
      <c r="E452" s="216"/>
    </row>
    <row r="453" spans="1:12" ht="15" thickBot="1" x14ac:dyDescent="0.35">
      <c r="B453" s="143" t="s">
        <v>890</v>
      </c>
      <c r="C453" s="143" t="s">
        <v>858</v>
      </c>
      <c r="D453" s="144" t="s">
        <v>859</v>
      </c>
      <c r="E453" s="143" t="s">
        <v>860</v>
      </c>
    </row>
    <row r="454" spans="1:12" x14ac:dyDescent="0.3">
      <c r="B454" s="145">
        <v>0.1</v>
      </c>
      <c r="C454" s="142">
        <v>133</v>
      </c>
      <c r="D454" s="107">
        <v>84</v>
      </c>
      <c r="E454" s="142">
        <v>94</v>
      </c>
    </row>
    <row r="455" spans="1:12" x14ac:dyDescent="0.3">
      <c r="B455" s="146"/>
      <c r="C455" s="112">
        <v>107</v>
      </c>
      <c r="D455" s="129">
        <v>114</v>
      </c>
      <c r="E455" s="112">
        <v>123</v>
      </c>
    </row>
    <row r="456" spans="1:12" x14ac:dyDescent="0.3">
      <c r="B456" s="146"/>
      <c r="C456" s="112">
        <v>114</v>
      </c>
      <c r="D456" s="129">
        <v>138</v>
      </c>
      <c r="E456" s="112">
        <v>108</v>
      </c>
    </row>
    <row r="457" spans="1:12" ht="15" thickBot="1" x14ac:dyDescent="0.35">
      <c r="B457" s="146"/>
      <c r="C457" s="112">
        <v>150</v>
      </c>
      <c r="D457" s="129">
        <v>155</v>
      </c>
      <c r="E457" s="112">
        <v>148</v>
      </c>
    </row>
    <row r="458" spans="1:12" ht="15" thickBot="1" x14ac:dyDescent="0.35">
      <c r="B458" s="147"/>
      <c r="C458" s="113">
        <v>85</v>
      </c>
      <c r="D458" s="130">
        <v>78</v>
      </c>
      <c r="E458" s="113">
        <v>93</v>
      </c>
      <c r="G458" s="149"/>
    </row>
    <row r="459" spans="1:12" x14ac:dyDescent="0.3">
      <c r="B459" s="145">
        <v>0.2</v>
      </c>
      <c r="C459" s="142">
        <v>130</v>
      </c>
      <c r="D459" s="107">
        <v>138</v>
      </c>
      <c r="E459" s="142">
        <v>120</v>
      </c>
    </row>
    <row r="460" spans="1:12" x14ac:dyDescent="0.3">
      <c r="B460" s="146"/>
      <c r="C460" s="112">
        <v>86</v>
      </c>
      <c r="D460" s="129">
        <v>119</v>
      </c>
      <c r="E460" s="112">
        <v>127</v>
      </c>
    </row>
    <row r="461" spans="1:12" x14ac:dyDescent="0.3">
      <c r="B461" s="146"/>
      <c r="C461" s="112">
        <v>130</v>
      </c>
      <c r="D461" s="129">
        <v>146</v>
      </c>
      <c r="E461" s="112">
        <v>150</v>
      </c>
    </row>
    <row r="462" spans="1:12" x14ac:dyDescent="0.3">
      <c r="B462" s="146"/>
      <c r="C462" s="112">
        <v>112</v>
      </c>
      <c r="D462" s="129">
        <v>158</v>
      </c>
      <c r="E462" s="112">
        <v>106</v>
      </c>
    </row>
    <row r="463" spans="1:12" ht="15" thickBot="1" x14ac:dyDescent="0.35">
      <c r="B463" s="147"/>
      <c r="C463" s="113">
        <v>125</v>
      </c>
      <c r="D463" s="130">
        <v>137</v>
      </c>
      <c r="E463" s="113">
        <v>127</v>
      </c>
    </row>
    <row r="464" spans="1:12" ht="15" thickBot="1" x14ac:dyDescent="0.35"/>
    <row r="465" spans="2:6" ht="15" thickBot="1" x14ac:dyDescent="0.35">
      <c r="B465" s="214" t="s">
        <v>909</v>
      </c>
      <c r="C465" s="215"/>
      <c r="D465" s="215"/>
      <c r="E465" s="216"/>
    </row>
    <row r="466" spans="2:6" ht="15" thickBot="1" x14ac:dyDescent="0.35">
      <c r="B466" s="143" t="s">
        <v>890</v>
      </c>
      <c r="C466" s="143" t="s">
        <v>858</v>
      </c>
      <c r="D466" s="144" t="s">
        <v>859</v>
      </c>
      <c r="E466" s="143" t="s">
        <v>860</v>
      </c>
    </row>
    <row r="467" spans="2:6" ht="15" thickBot="1" x14ac:dyDescent="0.35">
      <c r="B467" s="145">
        <v>0.1</v>
      </c>
      <c r="C467" s="142">
        <v>133</v>
      </c>
      <c r="D467" s="107">
        <v>84</v>
      </c>
      <c r="E467" s="142">
        <v>94</v>
      </c>
    </row>
    <row r="468" spans="2:6" ht="15" thickBot="1" x14ac:dyDescent="0.35">
      <c r="B468" s="148">
        <v>0.2</v>
      </c>
      <c r="C468" s="111">
        <v>130</v>
      </c>
      <c r="D468" s="110">
        <v>138</v>
      </c>
      <c r="E468" s="111">
        <v>120</v>
      </c>
    </row>
    <row r="471" spans="2:6" x14ac:dyDescent="0.3">
      <c r="B471" t="s">
        <v>911</v>
      </c>
    </row>
    <row r="472" spans="2:6" ht="15" thickBot="1" x14ac:dyDescent="0.35"/>
    <row r="473" spans="2:6" x14ac:dyDescent="0.3">
      <c r="B473" s="43" t="s">
        <v>892</v>
      </c>
      <c r="C473" s="43" t="s">
        <v>155</v>
      </c>
      <c r="D473" s="43" t="s">
        <v>61</v>
      </c>
      <c r="E473" s="43" t="s">
        <v>62</v>
      </c>
      <c r="F473" s="43" t="s">
        <v>142</v>
      </c>
    </row>
    <row r="474" spans="2:6" x14ac:dyDescent="0.3">
      <c r="B474" s="39">
        <v>133</v>
      </c>
      <c r="C474" s="39">
        <v>2</v>
      </c>
      <c r="D474" s="39">
        <v>178</v>
      </c>
      <c r="E474" s="39">
        <v>89</v>
      </c>
      <c r="F474" s="39">
        <v>50</v>
      </c>
    </row>
    <row r="475" spans="2:6" x14ac:dyDescent="0.3">
      <c r="B475" s="39">
        <v>130</v>
      </c>
      <c r="C475" s="39">
        <v>2</v>
      </c>
      <c r="D475" s="39">
        <v>258</v>
      </c>
      <c r="E475" s="39">
        <v>129</v>
      </c>
      <c r="F475" s="39">
        <v>162</v>
      </c>
    </row>
    <row r="476" spans="2:6" x14ac:dyDescent="0.3">
      <c r="B476" s="39"/>
      <c r="C476" s="39"/>
      <c r="D476" s="39"/>
      <c r="E476" s="39"/>
      <c r="F476" s="39"/>
    </row>
    <row r="477" spans="2:6" x14ac:dyDescent="0.3">
      <c r="B477" s="39" t="s">
        <v>859</v>
      </c>
      <c r="C477" s="39">
        <v>2</v>
      </c>
      <c r="D477" s="39">
        <v>222</v>
      </c>
      <c r="E477" s="39">
        <v>111</v>
      </c>
      <c r="F477" s="39">
        <v>1458</v>
      </c>
    </row>
    <row r="478" spans="2:6" ht="15" thickBot="1" x14ac:dyDescent="0.35">
      <c r="B478" s="41" t="s">
        <v>860</v>
      </c>
      <c r="C478" s="41">
        <v>2</v>
      </c>
      <c r="D478" s="41">
        <v>214</v>
      </c>
      <c r="E478" s="41">
        <v>107</v>
      </c>
      <c r="F478" s="41">
        <v>338</v>
      </c>
    </row>
    <row r="481" spans="2:8" ht="15" thickBot="1" x14ac:dyDescent="0.35">
      <c r="B481" t="s">
        <v>866</v>
      </c>
    </row>
    <row r="482" spans="2:8" x14ac:dyDescent="0.3">
      <c r="B482" s="43" t="s">
        <v>894</v>
      </c>
      <c r="C482" s="43" t="s">
        <v>895</v>
      </c>
      <c r="D482" s="43" t="s">
        <v>838</v>
      </c>
      <c r="E482" s="43" t="s">
        <v>896</v>
      </c>
      <c r="F482" s="43" t="s">
        <v>208</v>
      </c>
      <c r="G482" s="43" t="s">
        <v>897</v>
      </c>
      <c r="H482" s="43" t="s">
        <v>898</v>
      </c>
    </row>
    <row r="483" spans="2:8" x14ac:dyDescent="0.3">
      <c r="B483" s="39" t="s">
        <v>912</v>
      </c>
      <c r="C483" s="39">
        <v>1600</v>
      </c>
      <c r="D483" s="39">
        <v>1</v>
      </c>
      <c r="E483" s="39">
        <v>1600</v>
      </c>
      <c r="F483" s="39">
        <v>8.1632653061224492</v>
      </c>
      <c r="G483" s="39">
        <v>0.21433384684296306</v>
      </c>
      <c r="H483" s="39">
        <v>161.44763874199344</v>
      </c>
    </row>
    <row r="484" spans="2:8" x14ac:dyDescent="0.3">
      <c r="B484" s="39" t="s">
        <v>913</v>
      </c>
      <c r="C484" s="39">
        <v>16</v>
      </c>
      <c r="D484" s="39">
        <v>1</v>
      </c>
      <c r="E484" s="39">
        <v>16</v>
      </c>
      <c r="F484" s="39">
        <v>8.1632653061224483E-2</v>
      </c>
      <c r="G484" s="39">
        <v>0.8228289344799472</v>
      </c>
      <c r="H484" s="39">
        <v>161.44763874199344</v>
      </c>
    </row>
    <row r="485" spans="2:8" x14ac:dyDescent="0.3">
      <c r="B485" s="39" t="s">
        <v>914</v>
      </c>
      <c r="C485" s="39">
        <v>196</v>
      </c>
      <c r="D485" s="39">
        <v>1</v>
      </c>
      <c r="E485" s="39">
        <v>196</v>
      </c>
      <c r="F485" s="39"/>
      <c r="G485" s="39"/>
      <c r="H485" s="39"/>
    </row>
    <row r="486" spans="2:8" x14ac:dyDescent="0.3">
      <c r="B486" s="39"/>
      <c r="C486" s="39"/>
      <c r="D486" s="39"/>
      <c r="E486" s="39"/>
      <c r="F486" s="39"/>
      <c r="G486" s="39"/>
      <c r="H486" s="39"/>
    </row>
    <row r="487" spans="2:8" ht="15" thickBot="1" x14ac:dyDescent="0.35">
      <c r="B487" s="41" t="s">
        <v>50</v>
      </c>
      <c r="C487" s="41">
        <v>1812</v>
      </c>
      <c r="D487" s="41">
        <v>3</v>
      </c>
      <c r="E487" s="41"/>
      <c r="F487" s="41"/>
      <c r="G487" s="41"/>
      <c r="H487" s="41"/>
    </row>
    <row r="490" spans="2:8" x14ac:dyDescent="0.3">
      <c r="B490" t="s">
        <v>915</v>
      </c>
    </row>
    <row r="492" spans="2:8" x14ac:dyDescent="0.3">
      <c r="B492" t="s">
        <v>892</v>
      </c>
      <c r="C492" t="s">
        <v>858</v>
      </c>
      <c r="D492" t="s">
        <v>859</v>
      </c>
      <c r="E492" t="s">
        <v>860</v>
      </c>
      <c r="F492" t="s">
        <v>50</v>
      </c>
    </row>
    <row r="493" spans="2:8" ht="15" thickBot="1" x14ac:dyDescent="0.35">
      <c r="B493" s="150">
        <v>0.1</v>
      </c>
      <c r="C493" s="150"/>
      <c r="D493" s="150"/>
      <c r="E493" s="150"/>
      <c r="F493" s="150"/>
    </row>
    <row r="494" spans="2:8" x14ac:dyDescent="0.3">
      <c r="B494" s="39" t="s">
        <v>155</v>
      </c>
      <c r="C494" s="39">
        <v>5</v>
      </c>
      <c r="D494" s="39">
        <v>5</v>
      </c>
      <c r="E494" s="39">
        <v>5</v>
      </c>
      <c r="F494" s="39">
        <v>15</v>
      </c>
    </row>
    <row r="495" spans="2:8" x14ac:dyDescent="0.3">
      <c r="B495" s="39" t="s">
        <v>61</v>
      </c>
      <c r="C495" s="39">
        <v>589</v>
      </c>
      <c r="D495" s="39">
        <v>569</v>
      </c>
      <c r="E495" s="39">
        <v>566</v>
      </c>
      <c r="F495" s="39">
        <v>1724</v>
      </c>
    </row>
    <row r="496" spans="2:8" x14ac:dyDescent="0.3">
      <c r="B496" s="39" t="s">
        <v>62</v>
      </c>
      <c r="C496" s="39">
        <v>117.8</v>
      </c>
      <c r="D496" s="39">
        <v>113.8</v>
      </c>
      <c r="E496" s="39">
        <v>113.2</v>
      </c>
      <c r="F496" s="39">
        <v>114.93333333333334</v>
      </c>
    </row>
    <row r="497" spans="2:8" x14ac:dyDescent="0.3">
      <c r="B497" s="39" t="s">
        <v>142</v>
      </c>
      <c r="C497" s="39">
        <v>618.70000000000073</v>
      </c>
      <c r="D497" s="39">
        <v>1113.2000000000007</v>
      </c>
      <c r="E497" s="39">
        <v>527.70000000000073</v>
      </c>
      <c r="F497" s="39">
        <v>650.0666666666657</v>
      </c>
    </row>
    <row r="498" spans="2:8" x14ac:dyDescent="0.3">
      <c r="B498" s="39"/>
      <c r="C498" s="39"/>
      <c r="D498" s="39"/>
      <c r="E498" s="39"/>
      <c r="F498" s="39"/>
    </row>
    <row r="499" spans="2:8" ht="15" thickBot="1" x14ac:dyDescent="0.35">
      <c r="B499" s="150">
        <v>0.2</v>
      </c>
      <c r="C499" s="150"/>
      <c r="D499" s="150"/>
      <c r="E499" s="150"/>
      <c r="F499" s="150"/>
    </row>
    <row r="500" spans="2:8" x14ac:dyDescent="0.3">
      <c r="B500" s="39" t="s">
        <v>155</v>
      </c>
      <c r="C500" s="39">
        <v>5</v>
      </c>
      <c r="D500" s="39">
        <v>5</v>
      </c>
      <c r="E500" s="39">
        <v>5</v>
      </c>
      <c r="F500" s="39">
        <v>15</v>
      </c>
    </row>
    <row r="501" spans="2:8" x14ac:dyDescent="0.3">
      <c r="B501" s="39" t="s">
        <v>61</v>
      </c>
      <c r="C501" s="39">
        <v>583</v>
      </c>
      <c r="D501" s="39">
        <v>698</v>
      </c>
      <c r="E501" s="39">
        <v>630</v>
      </c>
      <c r="F501" s="39">
        <v>1911</v>
      </c>
    </row>
    <row r="502" spans="2:8" x14ac:dyDescent="0.3">
      <c r="B502" s="39" t="s">
        <v>62</v>
      </c>
      <c r="C502" s="39">
        <v>116.6</v>
      </c>
      <c r="D502" s="39">
        <v>139.6</v>
      </c>
      <c r="E502" s="39">
        <v>126</v>
      </c>
      <c r="F502" s="39">
        <v>127.4</v>
      </c>
    </row>
    <row r="503" spans="2:8" x14ac:dyDescent="0.3">
      <c r="B503" s="39" t="s">
        <v>142</v>
      </c>
      <c r="C503" s="39">
        <v>346.79999999999927</v>
      </c>
      <c r="D503" s="39">
        <v>203.29999999999927</v>
      </c>
      <c r="E503" s="39">
        <v>253.5</v>
      </c>
      <c r="F503" s="39">
        <v>325.11428571428615</v>
      </c>
    </row>
    <row r="504" spans="2:8" x14ac:dyDescent="0.3">
      <c r="B504" s="39"/>
      <c r="C504" s="39"/>
      <c r="D504" s="39"/>
      <c r="E504" s="39"/>
      <c r="F504" s="39"/>
    </row>
    <row r="505" spans="2:8" ht="15" thickBot="1" x14ac:dyDescent="0.35">
      <c r="B505" s="150" t="s">
        <v>50</v>
      </c>
      <c r="C505" s="150"/>
      <c r="D505" s="150"/>
      <c r="E505" s="150"/>
    </row>
    <row r="506" spans="2:8" x14ac:dyDescent="0.3">
      <c r="B506" s="39" t="s">
        <v>155</v>
      </c>
      <c r="C506" s="39">
        <v>10</v>
      </c>
      <c r="D506" s="39">
        <v>10</v>
      </c>
      <c r="E506" s="39">
        <v>10</v>
      </c>
    </row>
    <row r="507" spans="2:8" x14ac:dyDescent="0.3">
      <c r="B507" s="39" t="s">
        <v>61</v>
      </c>
      <c r="C507" s="39">
        <v>1172</v>
      </c>
      <c r="D507" s="39">
        <v>1267</v>
      </c>
      <c r="E507" s="39">
        <v>1196</v>
      </c>
    </row>
    <row r="508" spans="2:8" x14ac:dyDescent="0.3">
      <c r="B508" s="39" t="s">
        <v>62</v>
      </c>
      <c r="C508" s="39">
        <v>117.2</v>
      </c>
      <c r="D508" s="39">
        <v>126.7</v>
      </c>
      <c r="E508" s="39">
        <v>119.6</v>
      </c>
    </row>
    <row r="509" spans="2:8" x14ac:dyDescent="0.3">
      <c r="B509" s="39" t="s">
        <v>142</v>
      </c>
      <c r="C509" s="39">
        <v>429.51111111111175</v>
      </c>
      <c r="D509" s="39">
        <v>770.01111111111175</v>
      </c>
      <c r="E509" s="39">
        <v>392.71111111111048</v>
      </c>
    </row>
    <row r="510" spans="2:8" x14ac:dyDescent="0.3">
      <c r="B510" s="39"/>
      <c r="C510" s="39"/>
      <c r="D510" s="39"/>
      <c r="E510" s="39"/>
    </row>
    <row r="511" spans="2:8" ht="15" thickBot="1" x14ac:dyDescent="0.35">
      <c r="B511" t="s">
        <v>866</v>
      </c>
    </row>
    <row r="512" spans="2:8" x14ac:dyDescent="0.3">
      <c r="B512" s="43" t="s">
        <v>894</v>
      </c>
      <c r="C512" s="43" t="s">
        <v>895</v>
      </c>
      <c r="D512" s="43" t="s">
        <v>838</v>
      </c>
      <c r="E512" s="43" t="s">
        <v>896</v>
      </c>
      <c r="F512" s="43" t="s">
        <v>208</v>
      </c>
      <c r="G512" s="43" t="s">
        <v>897</v>
      </c>
      <c r="H512" s="43" t="s">
        <v>898</v>
      </c>
    </row>
    <row r="513" spans="1:9" x14ac:dyDescent="0.3">
      <c r="B513" s="39" t="s">
        <v>916</v>
      </c>
      <c r="C513" s="39">
        <v>1165.6333333333332</v>
      </c>
      <c r="D513" s="39">
        <v>1</v>
      </c>
      <c r="E513" s="39">
        <v>1165.6333333333332</v>
      </c>
      <c r="F513" s="39">
        <v>2.2831679289631754</v>
      </c>
      <c r="G513" s="39">
        <v>0.14384032814323011</v>
      </c>
      <c r="H513" s="39">
        <v>4.2596772136216341</v>
      </c>
    </row>
    <row r="514" spans="1:9" x14ac:dyDescent="0.3">
      <c r="B514" s="39" t="s">
        <v>913</v>
      </c>
      <c r="C514" s="39">
        <v>488.06666666666752</v>
      </c>
      <c r="D514" s="39">
        <v>2</v>
      </c>
      <c r="E514" s="39">
        <v>244.03333333333376</v>
      </c>
      <c r="F514" s="39">
        <v>0.47799686602246105</v>
      </c>
      <c r="G514" s="39">
        <v>0.62580133601876708</v>
      </c>
      <c r="H514" s="39">
        <v>3.402826105401874</v>
      </c>
    </row>
    <row r="515" spans="1:9" x14ac:dyDescent="0.3">
      <c r="B515" s="39" t="s">
        <v>917</v>
      </c>
      <c r="C515" s="39">
        <v>911.66666666666606</v>
      </c>
      <c r="D515" s="39">
        <v>2</v>
      </c>
      <c r="E515" s="39">
        <v>455.83333333333303</v>
      </c>
      <c r="F515" s="39">
        <v>0.89285714285714235</v>
      </c>
      <c r="G515" s="39">
        <v>0.4226539243595494</v>
      </c>
      <c r="H515" s="39">
        <v>3.402826105401874</v>
      </c>
    </row>
    <row r="516" spans="1:9" x14ac:dyDescent="0.3">
      <c r="B516" s="39" t="s">
        <v>918</v>
      </c>
      <c r="C516" s="39">
        <v>12252.8</v>
      </c>
      <c r="D516" s="39">
        <v>24</v>
      </c>
      <c r="E516" s="39">
        <v>510.5333333333333</v>
      </c>
      <c r="F516" s="39"/>
      <c r="G516" s="39"/>
      <c r="H516" s="39"/>
    </row>
    <row r="517" spans="1:9" x14ac:dyDescent="0.3">
      <c r="B517" s="39"/>
      <c r="C517" s="39"/>
      <c r="D517" s="39"/>
      <c r="E517" s="39"/>
      <c r="F517" s="39"/>
      <c r="G517" s="39"/>
      <c r="H517" s="39"/>
    </row>
    <row r="518" spans="1:9" ht="15" thickBot="1" x14ac:dyDescent="0.35">
      <c r="B518" s="41" t="s">
        <v>50</v>
      </c>
      <c r="C518" s="41">
        <v>14818.166666666666</v>
      </c>
      <c r="D518" s="41">
        <v>29</v>
      </c>
      <c r="E518" s="41"/>
      <c r="F518" s="41"/>
      <c r="G518" s="41"/>
      <c r="H518" s="41"/>
    </row>
    <row r="522" spans="1:9" x14ac:dyDescent="0.3">
      <c r="A522" t="s">
        <v>926</v>
      </c>
      <c r="B522" t="s">
        <v>919</v>
      </c>
      <c r="H522" t="s">
        <v>922</v>
      </c>
      <c r="I522" t="s">
        <v>923</v>
      </c>
    </row>
    <row r="523" spans="1:9" x14ac:dyDescent="0.3">
      <c r="A523" t="s">
        <v>927</v>
      </c>
      <c r="B523" t="s">
        <v>920</v>
      </c>
      <c r="H523" t="s">
        <v>924</v>
      </c>
      <c r="I523" t="s">
        <v>923</v>
      </c>
    </row>
    <row r="524" spans="1:9" x14ac:dyDescent="0.3">
      <c r="A524" t="s">
        <v>928</v>
      </c>
      <c r="B524" t="s">
        <v>921</v>
      </c>
      <c r="H524" t="s">
        <v>925</v>
      </c>
      <c r="I524" t="s">
        <v>923</v>
      </c>
    </row>
    <row r="527" spans="1:9" x14ac:dyDescent="0.3">
      <c r="A527" t="s">
        <v>929</v>
      </c>
      <c r="B527" t="s">
        <v>933</v>
      </c>
    </row>
    <row r="528" spans="1:9" x14ac:dyDescent="0.3">
      <c r="A528" t="s">
        <v>930</v>
      </c>
      <c r="B528" t="s">
        <v>932</v>
      </c>
    </row>
    <row r="529" spans="1:12" x14ac:dyDescent="0.3">
      <c r="A529" t="s">
        <v>931</v>
      </c>
      <c r="B529" t="s">
        <v>934</v>
      </c>
    </row>
    <row r="532" spans="1:12" x14ac:dyDescent="0.3">
      <c r="A532" s="213" t="s">
        <v>942</v>
      </c>
      <c r="B532" s="213"/>
      <c r="C532" s="213"/>
      <c r="D532" s="213"/>
      <c r="E532" s="213"/>
      <c r="F532" s="213"/>
      <c r="G532" s="213"/>
      <c r="H532" s="213"/>
      <c r="I532" s="213"/>
      <c r="J532" s="213"/>
      <c r="K532" s="213"/>
      <c r="L532" s="213"/>
    </row>
    <row r="534" spans="1:12" ht="15" thickBot="1" x14ac:dyDescent="0.35"/>
    <row r="535" spans="1:12" ht="15" thickBot="1" x14ac:dyDescent="0.35">
      <c r="A535" s="228" t="s">
        <v>943</v>
      </c>
      <c r="B535" s="230"/>
      <c r="D535" s="228" t="s">
        <v>944</v>
      </c>
      <c r="E535" s="229"/>
      <c r="F535" s="230"/>
    </row>
    <row r="536" spans="1:12" ht="15" thickBot="1" x14ac:dyDescent="0.35">
      <c r="A536" s="152" t="s">
        <v>937</v>
      </c>
      <c r="B536" s="143" t="s">
        <v>706</v>
      </c>
      <c r="D536" s="158" t="s">
        <v>937</v>
      </c>
      <c r="E536" s="143" t="s">
        <v>706</v>
      </c>
      <c r="F536" s="160" t="s">
        <v>706</v>
      </c>
    </row>
    <row r="537" spans="1:12" x14ac:dyDescent="0.3">
      <c r="A537" s="153" t="s">
        <v>938</v>
      </c>
      <c r="B537" s="129">
        <v>92</v>
      </c>
      <c r="D537" s="155" t="s">
        <v>938</v>
      </c>
      <c r="E537" s="112">
        <v>98</v>
      </c>
      <c r="F537" s="161">
        <v>0.49</v>
      </c>
    </row>
    <row r="538" spans="1:12" x14ac:dyDescent="0.3">
      <c r="A538" s="153" t="s">
        <v>939</v>
      </c>
      <c r="B538" s="129">
        <v>46</v>
      </c>
      <c r="D538" s="146" t="s">
        <v>939</v>
      </c>
      <c r="E538" s="112">
        <v>40</v>
      </c>
      <c r="F538" s="162">
        <v>0.2</v>
      </c>
    </row>
    <row r="539" spans="1:12" x14ac:dyDescent="0.3">
      <c r="A539" s="153" t="s">
        <v>940</v>
      </c>
      <c r="B539" s="129">
        <v>42</v>
      </c>
      <c r="D539" s="146" t="s">
        <v>940</v>
      </c>
      <c r="E539" s="112">
        <v>52</v>
      </c>
      <c r="F539" s="162">
        <v>0.26</v>
      </c>
    </row>
    <row r="540" spans="1:12" ht="15" thickBot="1" x14ac:dyDescent="0.35">
      <c r="A540" s="154" t="s">
        <v>941</v>
      </c>
      <c r="B540" s="130">
        <v>20</v>
      </c>
      <c r="D540" s="147" t="s">
        <v>941</v>
      </c>
      <c r="E540" s="113">
        <v>10</v>
      </c>
      <c r="F540" s="163">
        <v>0.05</v>
      </c>
    </row>
    <row r="542" spans="1:12" ht="15" thickBot="1" x14ac:dyDescent="0.35"/>
    <row r="543" spans="1:12" ht="15" thickBot="1" x14ac:dyDescent="0.35">
      <c r="A543" s="151"/>
      <c r="B543" s="155" t="s">
        <v>935</v>
      </c>
      <c r="C543" s="156" t="s">
        <v>936</v>
      </c>
    </row>
    <row r="544" spans="1:12" ht="15" thickBot="1" x14ac:dyDescent="0.35">
      <c r="A544" s="152" t="s">
        <v>937</v>
      </c>
      <c r="B544" s="143" t="s">
        <v>706</v>
      </c>
      <c r="C544" s="157" t="s">
        <v>706</v>
      </c>
    </row>
    <row r="545" spans="1:3" x14ac:dyDescent="0.3">
      <c r="A545" s="153" t="s">
        <v>938</v>
      </c>
      <c r="B545" s="129">
        <v>92</v>
      </c>
      <c r="C545" s="112">
        <v>98</v>
      </c>
    </row>
    <row r="546" spans="1:3" x14ac:dyDescent="0.3">
      <c r="A546" s="153" t="s">
        <v>939</v>
      </c>
      <c r="B546" s="129">
        <v>46</v>
      </c>
      <c r="C546" s="112">
        <v>40</v>
      </c>
    </row>
    <row r="547" spans="1:3" x14ac:dyDescent="0.3">
      <c r="A547" s="153" t="s">
        <v>940</v>
      </c>
      <c r="B547" s="129">
        <v>42</v>
      </c>
      <c r="C547" s="112">
        <v>52</v>
      </c>
    </row>
    <row r="548" spans="1:3" ht="15" thickBot="1" x14ac:dyDescent="0.35">
      <c r="A548" s="154" t="s">
        <v>941</v>
      </c>
      <c r="B548" s="130">
        <v>20</v>
      </c>
      <c r="C548" s="113">
        <v>10</v>
      </c>
    </row>
    <row r="551" spans="1:3" x14ac:dyDescent="0.3">
      <c r="A551" t="s">
        <v>945</v>
      </c>
    </row>
    <row r="553" spans="1:3" x14ac:dyDescent="0.3">
      <c r="A553" t="s">
        <v>946</v>
      </c>
    </row>
    <row r="555" spans="1:3" x14ac:dyDescent="0.3">
      <c r="A555">
        <f>CHITEST(C545:C548,B545:B548)</f>
        <v>3.5833783365058228E-2</v>
      </c>
      <c r="B555" t="s">
        <v>897</v>
      </c>
    </row>
    <row r="556" spans="1:3" x14ac:dyDescent="0.3">
      <c r="A556">
        <v>0.05</v>
      </c>
      <c r="B556" t="s">
        <v>774</v>
      </c>
    </row>
    <row r="558" spans="1:3" x14ac:dyDescent="0.3">
      <c r="A558" t="s">
        <v>947</v>
      </c>
    </row>
    <row r="560" spans="1:3" ht="15" thickBot="1" x14ac:dyDescent="0.35"/>
    <row r="561" spans="3:8" ht="15" thickBot="1" x14ac:dyDescent="0.35">
      <c r="C561" s="231" t="s">
        <v>960</v>
      </c>
      <c r="D561" s="232"/>
      <c r="F561" s="231" t="s">
        <v>959</v>
      </c>
      <c r="G561" s="233"/>
      <c r="H561" s="232"/>
    </row>
    <row r="562" spans="3:8" ht="15" thickBot="1" x14ac:dyDescent="0.35">
      <c r="C562" s="228" t="s">
        <v>943</v>
      </c>
      <c r="D562" s="230"/>
      <c r="F562" s="228" t="s">
        <v>944</v>
      </c>
      <c r="G562" s="229"/>
      <c r="H562" s="230"/>
    </row>
    <row r="563" spans="3:8" ht="15" thickBot="1" x14ac:dyDescent="0.35">
      <c r="C563" s="158" t="s">
        <v>937</v>
      </c>
      <c r="D563" s="143" t="s">
        <v>706</v>
      </c>
      <c r="F563" s="158" t="s">
        <v>937</v>
      </c>
      <c r="G563" s="143" t="s">
        <v>706</v>
      </c>
      <c r="H563" s="160" t="s">
        <v>706</v>
      </c>
    </row>
    <row r="564" spans="3:8" x14ac:dyDescent="0.3">
      <c r="C564" s="153" t="s">
        <v>938</v>
      </c>
      <c r="D564" s="181">
        <v>0.46</v>
      </c>
      <c r="F564" s="155" t="s">
        <v>938</v>
      </c>
      <c r="G564" s="112">
        <v>98</v>
      </c>
      <c r="H564" s="161">
        <v>0.49</v>
      </c>
    </row>
    <row r="565" spans="3:8" x14ac:dyDescent="0.3">
      <c r="C565" s="153" t="s">
        <v>939</v>
      </c>
      <c r="D565" s="181">
        <v>0.23</v>
      </c>
      <c r="F565" s="146" t="s">
        <v>939</v>
      </c>
      <c r="G565" s="112">
        <v>40</v>
      </c>
      <c r="H565" s="162">
        <v>0.2</v>
      </c>
    </row>
    <row r="566" spans="3:8" x14ac:dyDescent="0.3">
      <c r="C566" s="153" t="s">
        <v>940</v>
      </c>
      <c r="D566" s="181">
        <v>0.21</v>
      </c>
      <c r="F566" s="146" t="s">
        <v>940</v>
      </c>
      <c r="G566" s="112">
        <v>52</v>
      </c>
      <c r="H566" s="162">
        <v>0.26</v>
      </c>
    </row>
    <row r="567" spans="3:8" ht="15" thickBot="1" x14ac:dyDescent="0.35">
      <c r="C567" s="154" t="s">
        <v>941</v>
      </c>
      <c r="D567" s="182">
        <v>0.1</v>
      </c>
      <c r="F567" s="147" t="s">
        <v>941</v>
      </c>
      <c r="G567" s="113">
        <v>10</v>
      </c>
      <c r="H567" s="163">
        <v>0.05</v>
      </c>
    </row>
    <row r="569" spans="3:8" ht="15" thickBot="1" x14ac:dyDescent="0.35"/>
    <row r="570" spans="3:8" ht="15" thickBot="1" x14ac:dyDescent="0.35">
      <c r="C570" s="151"/>
      <c r="D570" s="155" t="s">
        <v>935</v>
      </c>
      <c r="E570" s="156" t="s">
        <v>936</v>
      </c>
    </row>
    <row r="571" spans="3:8" ht="15" thickBot="1" x14ac:dyDescent="0.35">
      <c r="C571" s="158" t="s">
        <v>937</v>
      </c>
      <c r="D571" s="143" t="s">
        <v>706</v>
      </c>
      <c r="E571" s="160" t="s">
        <v>706</v>
      </c>
    </row>
    <row r="572" spans="3:8" x14ac:dyDescent="0.3">
      <c r="C572" s="153" t="s">
        <v>938</v>
      </c>
      <c r="D572" s="134">
        <v>92</v>
      </c>
      <c r="E572" s="112">
        <v>98</v>
      </c>
    </row>
    <row r="573" spans="3:8" x14ac:dyDescent="0.3">
      <c r="C573" s="153" t="s">
        <v>939</v>
      </c>
      <c r="D573" s="134">
        <v>46</v>
      </c>
      <c r="E573" s="112">
        <v>40</v>
      </c>
    </row>
    <row r="574" spans="3:8" x14ac:dyDescent="0.3">
      <c r="C574" s="153" t="s">
        <v>940</v>
      </c>
      <c r="D574" s="134">
        <v>42</v>
      </c>
      <c r="E574" s="112">
        <v>52</v>
      </c>
    </row>
    <row r="575" spans="3:8" ht="15" thickBot="1" x14ac:dyDescent="0.35">
      <c r="C575" s="154" t="s">
        <v>941</v>
      </c>
      <c r="D575" s="135">
        <v>20</v>
      </c>
      <c r="E575" s="113">
        <v>10</v>
      </c>
    </row>
    <row r="578" spans="3:9" ht="15" thickBot="1" x14ac:dyDescent="0.35"/>
    <row r="579" spans="3:9" ht="15" thickBot="1" x14ac:dyDescent="0.35">
      <c r="C579" s="231" t="s">
        <v>962</v>
      </c>
      <c r="D579" s="233"/>
      <c r="E579" s="232"/>
      <c r="F579" s="131"/>
      <c r="G579" s="231" t="s">
        <v>959</v>
      </c>
      <c r="H579" s="233"/>
      <c r="I579" s="232"/>
    </row>
    <row r="580" spans="3:9" ht="15" thickBot="1" x14ac:dyDescent="0.35">
      <c r="C580" s="228" t="s">
        <v>943</v>
      </c>
      <c r="D580" s="229"/>
      <c r="E580" s="230"/>
      <c r="F580" s="131"/>
      <c r="G580" s="228" t="s">
        <v>944</v>
      </c>
      <c r="H580" s="229"/>
      <c r="I580" s="230"/>
    </row>
    <row r="581" spans="3:9" ht="15" thickBot="1" x14ac:dyDescent="0.35">
      <c r="C581" s="143" t="s">
        <v>937</v>
      </c>
      <c r="D581" s="160" t="s">
        <v>706</v>
      </c>
      <c r="E581" s="147" t="s">
        <v>961</v>
      </c>
      <c r="F581" s="131"/>
      <c r="G581" s="158" t="s">
        <v>937</v>
      </c>
      <c r="H581" s="143" t="s">
        <v>706</v>
      </c>
      <c r="I581" s="147" t="s">
        <v>961</v>
      </c>
    </row>
    <row r="582" spans="3:9" x14ac:dyDescent="0.3">
      <c r="C582" s="146" t="s">
        <v>938</v>
      </c>
      <c r="D582" s="112">
        <v>92</v>
      </c>
      <c r="E582" s="181">
        <v>0.46</v>
      </c>
      <c r="F582" s="131"/>
      <c r="G582" s="155" t="s">
        <v>938</v>
      </c>
      <c r="H582" s="112">
        <v>98</v>
      </c>
      <c r="I582" s="183">
        <v>0.49</v>
      </c>
    </row>
    <row r="583" spans="3:9" x14ac:dyDescent="0.3">
      <c r="C583" s="146" t="s">
        <v>939</v>
      </c>
      <c r="D583" s="112">
        <v>46</v>
      </c>
      <c r="E583" s="181">
        <v>0.23</v>
      </c>
      <c r="F583" s="131"/>
      <c r="G583" s="146" t="s">
        <v>939</v>
      </c>
      <c r="H583" s="112">
        <v>40</v>
      </c>
      <c r="I583" s="184">
        <v>0.2</v>
      </c>
    </row>
    <row r="584" spans="3:9" x14ac:dyDescent="0.3">
      <c r="C584" s="146" t="s">
        <v>940</v>
      </c>
      <c r="D584" s="112">
        <v>42</v>
      </c>
      <c r="E584" s="181">
        <v>0.21</v>
      </c>
      <c r="F584" s="131"/>
      <c r="G584" s="146" t="s">
        <v>940</v>
      </c>
      <c r="H584" s="112">
        <v>52</v>
      </c>
      <c r="I584" s="184">
        <v>0.26</v>
      </c>
    </row>
    <row r="585" spans="3:9" ht="15" thickBot="1" x14ac:dyDescent="0.35">
      <c r="C585" s="147" t="s">
        <v>941</v>
      </c>
      <c r="D585" s="113">
        <v>20</v>
      </c>
      <c r="E585" s="182">
        <v>0.1</v>
      </c>
      <c r="F585" s="131"/>
      <c r="G585" s="147" t="s">
        <v>941</v>
      </c>
      <c r="H585" s="113">
        <v>10</v>
      </c>
      <c r="I585" s="185">
        <v>0.05</v>
      </c>
    </row>
    <row r="587" spans="3:9" ht="15" thickBot="1" x14ac:dyDescent="0.35"/>
    <row r="588" spans="3:9" ht="15" thickBot="1" x14ac:dyDescent="0.35">
      <c r="C588" s="228" t="s">
        <v>963</v>
      </c>
      <c r="D588" s="229"/>
      <c r="E588" s="229"/>
      <c r="F588" s="229"/>
      <c r="G588" s="230"/>
    </row>
    <row r="589" spans="3:9" ht="15" thickBot="1" x14ac:dyDescent="0.35">
      <c r="C589" s="186" t="s">
        <v>971</v>
      </c>
      <c r="D589" s="188" t="s">
        <v>965</v>
      </c>
      <c r="E589" s="186" t="s">
        <v>966</v>
      </c>
      <c r="F589" s="188" t="s">
        <v>967</v>
      </c>
      <c r="G589" s="186" t="s">
        <v>50</v>
      </c>
    </row>
    <row r="590" spans="3:9" x14ac:dyDescent="0.3">
      <c r="C590" s="187" t="s">
        <v>938</v>
      </c>
      <c r="D590">
        <v>74</v>
      </c>
      <c r="E590" s="99">
        <v>52</v>
      </c>
      <c r="F590">
        <v>48</v>
      </c>
      <c r="G590" s="187">
        <f>SUM(D590:F590)</f>
        <v>174</v>
      </c>
    </row>
    <row r="591" spans="3:9" x14ac:dyDescent="0.3">
      <c r="C591" s="187" t="s">
        <v>940</v>
      </c>
      <c r="D591">
        <v>29</v>
      </c>
      <c r="E591" s="99">
        <v>21</v>
      </c>
      <c r="F591">
        <v>12</v>
      </c>
      <c r="G591" s="187">
        <f>SUM(D591:F591)</f>
        <v>62</v>
      </c>
    </row>
    <row r="592" spans="3:9" ht="15" thickBot="1" x14ac:dyDescent="0.35">
      <c r="C592" s="187" t="s">
        <v>941</v>
      </c>
      <c r="D592">
        <v>17</v>
      </c>
      <c r="E592" s="99">
        <v>34</v>
      </c>
      <c r="F592">
        <v>39</v>
      </c>
      <c r="G592" s="187">
        <f>SUM(D592:F592)</f>
        <v>90</v>
      </c>
    </row>
    <row r="593" spans="3:7" ht="15" thickBot="1" x14ac:dyDescent="0.35">
      <c r="C593" s="186" t="s">
        <v>50</v>
      </c>
      <c r="D593" s="188">
        <f>SUM(D590:D592)</f>
        <v>120</v>
      </c>
      <c r="E593" s="186">
        <f>SUM(E590:E592)</f>
        <v>107</v>
      </c>
      <c r="F593" s="188">
        <f>SUM(F590:F592)</f>
        <v>99</v>
      </c>
      <c r="G593" s="186">
        <f>SUM(D593:F593)</f>
        <v>326</v>
      </c>
    </row>
    <row r="594" spans="3:7" ht="15" thickBot="1" x14ac:dyDescent="0.35"/>
    <row r="595" spans="3:7" ht="15" thickBot="1" x14ac:dyDescent="0.35">
      <c r="C595" s="228" t="s">
        <v>968</v>
      </c>
      <c r="D595" s="229"/>
      <c r="E595" s="229"/>
      <c r="F595" s="229"/>
      <c r="G595" s="230"/>
    </row>
    <row r="596" spans="3:7" ht="15" thickBot="1" x14ac:dyDescent="0.35">
      <c r="C596" s="186" t="s">
        <v>971</v>
      </c>
      <c r="D596" s="188" t="s">
        <v>965</v>
      </c>
      <c r="E596" s="186" t="s">
        <v>966</v>
      </c>
      <c r="F596" s="188" t="s">
        <v>967</v>
      </c>
      <c r="G596" s="186" t="s">
        <v>50</v>
      </c>
    </row>
    <row r="597" spans="3:7" x14ac:dyDescent="0.3">
      <c r="C597" s="187" t="s">
        <v>938</v>
      </c>
      <c r="D597" s="53">
        <f>(G597*D$600)/$G$600</f>
        <v>64.049079754601223</v>
      </c>
      <c r="E597" s="189">
        <f>(G597*E$600)/$G$600</f>
        <v>57.110429447852759</v>
      </c>
      <c r="F597" s="53">
        <f>(G597*F$600)/$G$600</f>
        <v>52.840490797546011</v>
      </c>
      <c r="G597" s="187">
        <v>174</v>
      </c>
    </row>
    <row r="598" spans="3:7" x14ac:dyDescent="0.3">
      <c r="C598" s="187" t="s">
        <v>940</v>
      </c>
      <c r="D598" s="53">
        <f>(G598*D$600)/$G$600</f>
        <v>22.822085889570552</v>
      </c>
      <c r="E598" s="189">
        <f>(G598*E$600)/$G$600</f>
        <v>20.349693251533743</v>
      </c>
      <c r="F598" s="53">
        <f>(G598*F$600)/$G$600</f>
        <v>18.828220858895705</v>
      </c>
      <c r="G598" s="187">
        <v>62</v>
      </c>
    </row>
    <row r="599" spans="3:7" ht="15" thickBot="1" x14ac:dyDescent="0.35">
      <c r="C599" s="187" t="s">
        <v>941</v>
      </c>
      <c r="D599" s="53">
        <f>(G599*D$600)/$G$600</f>
        <v>33.128834355828218</v>
      </c>
      <c r="E599" s="189">
        <f>(G599*E$600)/$G$600</f>
        <v>29.539877300613497</v>
      </c>
      <c r="F599" s="53">
        <f>(G599*F$600)/$G$600</f>
        <v>27.331288343558281</v>
      </c>
      <c r="G599" s="187">
        <v>90</v>
      </c>
    </row>
    <row r="600" spans="3:7" ht="15" thickBot="1" x14ac:dyDescent="0.35">
      <c r="C600" s="186" t="s">
        <v>50</v>
      </c>
      <c r="D600" s="188">
        <v>120</v>
      </c>
      <c r="E600" s="186">
        <v>107</v>
      </c>
      <c r="F600" s="188">
        <v>99</v>
      </c>
      <c r="G600" s="186">
        <v>326</v>
      </c>
    </row>
    <row r="603" spans="3:7" x14ac:dyDescent="0.3">
      <c r="D603">
        <f>CHITEST(D590:F592,D597:F599)</f>
        <v>4.7207713790297951E-4</v>
      </c>
    </row>
    <row r="605" spans="3:7" x14ac:dyDescent="0.3">
      <c r="C605" t="s">
        <v>972</v>
      </c>
    </row>
    <row r="607" spans="3:7" x14ac:dyDescent="0.3">
      <c r="C607" t="s">
        <v>973</v>
      </c>
    </row>
    <row r="609" spans="3:3" x14ac:dyDescent="0.3">
      <c r="C609" t="s">
        <v>974</v>
      </c>
    </row>
  </sheetData>
  <mergeCells count="21">
    <mergeCell ref="C588:G588"/>
    <mergeCell ref="C595:G595"/>
    <mergeCell ref="C561:D561"/>
    <mergeCell ref="F561:H561"/>
    <mergeCell ref="A210:L210"/>
    <mergeCell ref="B465:E465"/>
    <mergeCell ref="B452:E452"/>
    <mergeCell ref="A532:L532"/>
    <mergeCell ref="A535:B535"/>
    <mergeCell ref="D535:F535"/>
    <mergeCell ref="G579:I579"/>
    <mergeCell ref="G580:I580"/>
    <mergeCell ref="C579:E579"/>
    <mergeCell ref="C580:E580"/>
    <mergeCell ref="C562:D562"/>
    <mergeCell ref="F562:H562"/>
    <mergeCell ref="M210:N210"/>
    <mergeCell ref="A252:L252"/>
    <mergeCell ref="A275:L275"/>
    <mergeCell ref="A449:L449"/>
    <mergeCell ref="C386:E386"/>
  </mergeCell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N50"/>
  <sheetViews>
    <sheetView topLeftCell="I1" workbookViewId="0">
      <selection activeCell="N16" sqref="N16"/>
    </sheetView>
  </sheetViews>
  <sheetFormatPr defaultRowHeight="14.4" x14ac:dyDescent="0.3"/>
  <cols>
    <col min="2" max="2" width="16" customWidth="1"/>
    <col min="3" max="12" width="15.6640625" customWidth="1"/>
    <col min="13" max="14" width="20.6640625" customWidth="1"/>
    <col min="15" max="27" width="15.6640625" customWidth="1"/>
  </cols>
  <sheetData>
    <row r="1" spans="2:14" ht="15" thickBot="1" x14ac:dyDescent="0.35"/>
    <row r="2" spans="2:14" ht="15" thickBot="1" x14ac:dyDescent="0.35">
      <c r="B2" s="132"/>
      <c r="C2" s="234" t="s">
        <v>858</v>
      </c>
      <c r="D2" s="235"/>
      <c r="E2" s="236"/>
      <c r="F2" s="234" t="s">
        <v>952</v>
      </c>
      <c r="G2" s="235"/>
      <c r="H2" s="236"/>
      <c r="I2" s="234" t="s">
        <v>954</v>
      </c>
      <c r="J2" s="235"/>
      <c r="K2" s="236"/>
    </row>
    <row r="3" spans="2:14" ht="15" thickBot="1" x14ac:dyDescent="0.35">
      <c r="B3" s="137"/>
      <c r="C3" s="138" t="s">
        <v>948</v>
      </c>
      <c r="D3" s="137" t="s">
        <v>949</v>
      </c>
      <c r="E3" s="138" t="s">
        <v>951</v>
      </c>
      <c r="F3" s="138" t="s">
        <v>948</v>
      </c>
      <c r="G3" s="138" t="s">
        <v>949</v>
      </c>
      <c r="H3" s="139" t="s">
        <v>951</v>
      </c>
      <c r="I3" s="138" t="s">
        <v>948</v>
      </c>
      <c r="J3" s="138" t="s">
        <v>949</v>
      </c>
      <c r="K3" s="139" t="s">
        <v>951</v>
      </c>
      <c r="M3" s="138" t="s">
        <v>970</v>
      </c>
      <c r="N3" s="139" t="s">
        <v>969</v>
      </c>
    </row>
    <row r="4" spans="2:14" x14ac:dyDescent="0.3">
      <c r="B4" s="165" t="s">
        <v>861</v>
      </c>
      <c r="C4" s="166">
        <v>980</v>
      </c>
      <c r="D4" s="167">
        <f>C4-C$10</f>
        <v>-55.200000000000045</v>
      </c>
      <c r="E4" s="166">
        <f>D4^2</f>
        <v>3047.040000000005</v>
      </c>
      <c r="F4" s="166">
        <v>1123</v>
      </c>
      <c r="G4" s="166">
        <f>F4-F$10</f>
        <v>20.599999999999909</v>
      </c>
      <c r="H4" s="168">
        <f>G4^2</f>
        <v>424.35999999999626</v>
      </c>
      <c r="I4" s="166">
        <v>1084</v>
      </c>
      <c r="J4" s="166">
        <f>I4-I$10</f>
        <v>-1.4000000000000909</v>
      </c>
      <c r="K4" s="168">
        <f>J4^2</f>
        <v>1.9600000000002546</v>
      </c>
      <c r="M4" s="166">
        <v>0</v>
      </c>
      <c r="N4" s="168">
        <v>84</v>
      </c>
    </row>
    <row r="5" spans="2:14" ht="15" thickBot="1" x14ac:dyDescent="0.35">
      <c r="B5" s="165" t="s">
        <v>862</v>
      </c>
      <c r="C5" s="166">
        <v>776</v>
      </c>
      <c r="D5" s="167">
        <f>C5-C$10</f>
        <v>-259.20000000000005</v>
      </c>
      <c r="E5" s="166">
        <f>D5^2</f>
        <v>67184.640000000029</v>
      </c>
      <c r="F5" s="166">
        <v>1357</v>
      </c>
      <c r="G5" s="166">
        <f>F5-F$10</f>
        <v>254.59999999999991</v>
      </c>
      <c r="H5" s="168">
        <f>G5^2</f>
        <v>64821.159999999953</v>
      </c>
      <c r="I5" s="166">
        <v>1025</v>
      </c>
      <c r="J5" s="166">
        <f>I5-I$10</f>
        <v>-60.400000000000091</v>
      </c>
      <c r="K5" s="168">
        <f>J5^2</f>
        <v>3648.1600000000108</v>
      </c>
      <c r="M5" s="170">
        <v>1</v>
      </c>
      <c r="N5" s="133">
        <v>16</v>
      </c>
    </row>
    <row r="6" spans="2:14" x14ac:dyDescent="0.3">
      <c r="B6" s="165" t="s">
        <v>863</v>
      </c>
      <c r="C6" s="166">
        <v>923</v>
      </c>
      <c r="D6" s="167">
        <f>C6-C$10</f>
        <v>-112.20000000000005</v>
      </c>
      <c r="E6" s="166">
        <f>D6^2</f>
        <v>12588.840000000011</v>
      </c>
      <c r="F6" s="166">
        <v>1152</v>
      </c>
      <c r="G6" s="166">
        <f>F6-F$10</f>
        <v>49.599999999999909</v>
      </c>
      <c r="H6" s="168">
        <f>G6^2</f>
        <v>2460.1599999999908</v>
      </c>
      <c r="I6" s="166">
        <v>1114</v>
      </c>
      <c r="J6" s="166">
        <f>I6-I$10</f>
        <v>28.599999999999909</v>
      </c>
      <c r="K6" s="168">
        <f>J6^2</f>
        <v>817.95999999999481</v>
      </c>
    </row>
    <row r="7" spans="2:14" x14ac:dyDescent="0.3">
      <c r="B7" s="165" t="s">
        <v>864</v>
      </c>
      <c r="C7" s="166">
        <v>1498</v>
      </c>
      <c r="D7" s="167">
        <f>C7-C$10</f>
        <v>462.79999999999995</v>
      </c>
      <c r="E7" s="166">
        <f>D7^2</f>
        <v>214183.83999999997</v>
      </c>
      <c r="F7" s="166">
        <v>921</v>
      </c>
      <c r="G7" s="166">
        <f>F7-F$10</f>
        <v>-181.40000000000009</v>
      </c>
      <c r="H7" s="168">
        <f>G7^2</f>
        <v>32905.960000000036</v>
      </c>
      <c r="I7" s="166">
        <v>1182</v>
      </c>
      <c r="J7" s="166">
        <f>I7-I$10</f>
        <v>96.599999999999909</v>
      </c>
      <c r="K7" s="168">
        <f>J7^2</f>
        <v>9331.5599999999831</v>
      </c>
    </row>
    <row r="8" spans="2:14" ht="15" thickBot="1" x14ac:dyDescent="0.35">
      <c r="B8" s="169" t="s">
        <v>865</v>
      </c>
      <c r="C8" s="170">
        <v>999</v>
      </c>
      <c r="D8" s="136">
        <f>C8-C$10</f>
        <v>-36.200000000000045</v>
      </c>
      <c r="E8" s="170">
        <f>D8^2</f>
        <v>1310.4400000000032</v>
      </c>
      <c r="F8" s="170">
        <v>959</v>
      </c>
      <c r="G8" s="170">
        <f>F8-F$10</f>
        <v>-143.40000000000009</v>
      </c>
      <c r="H8" s="133">
        <f>G8^2</f>
        <v>20563.560000000027</v>
      </c>
      <c r="I8" s="170">
        <v>1022</v>
      </c>
      <c r="J8" s="170">
        <f>I8-I$10</f>
        <v>-63.400000000000091</v>
      </c>
      <c r="K8" s="133">
        <f>J8^2</f>
        <v>4019.5600000000113</v>
      </c>
    </row>
    <row r="9" spans="2:14" x14ac:dyDescent="0.3">
      <c r="B9" s="131"/>
      <c r="C9" s="131"/>
      <c r="D9" s="131"/>
      <c r="E9" s="131"/>
      <c r="F9" s="131"/>
      <c r="G9" s="131"/>
      <c r="H9" s="131"/>
      <c r="I9" s="131"/>
      <c r="J9" s="131"/>
      <c r="K9" s="131"/>
    </row>
    <row r="10" spans="2:14" x14ac:dyDescent="0.3">
      <c r="B10" s="164"/>
      <c r="C10" s="164">
        <f>AVERAGE(C4:C8)</f>
        <v>1035.2</v>
      </c>
      <c r="D10" s="164"/>
      <c r="E10" s="164">
        <f>SUM(E4:E8)</f>
        <v>298314.8</v>
      </c>
      <c r="F10" s="164">
        <f>AVERAGE(F4:F8)</f>
        <v>1102.4000000000001</v>
      </c>
      <c r="G10" s="164"/>
      <c r="H10" s="164">
        <f>SUM(H4:H8)</f>
        <v>121175.2</v>
      </c>
      <c r="I10" s="164">
        <f>AVERAGE(I4:I8)</f>
        <v>1085.4000000000001</v>
      </c>
      <c r="J10" s="164"/>
      <c r="K10" s="164">
        <f>SUM(K4:K8)</f>
        <v>17819.2</v>
      </c>
      <c r="L10" s="164"/>
      <c r="M10" s="164"/>
    </row>
    <row r="11" spans="2:14" x14ac:dyDescent="0.3">
      <c r="B11" s="164"/>
      <c r="C11" s="164" t="s">
        <v>950</v>
      </c>
      <c r="D11" s="164"/>
      <c r="E11" s="164" t="s">
        <v>953</v>
      </c>
      <c r="F11" s="164" t="s">
        <v>950</v>
      </c>
      <c r="G11" s="164"/>
      <c r="H11" s="164" t="s">
        <v>953</v>
      </c>
      <c r="I11" s="164" t="s">
        <v>950</v>
      </c>
      <c r="J11" s="164"/>
      <c r="K11" s="164" t="s">
        <v>953</v>
      </c>
      <c r="L11" s="164"/>
      <c r="M11" s="164"/>
    </row>
    <row r="14" spans="2:14" ht="15" thickBot="1" x14ac:dyDescent="0.35"/>
    <row r="15" spans="2:14" ht="15" thickBot="1" x14ac:dyDescent="0.35">
      <c r="B15" s="176"/>
      <c r="C15" s="176" t="s">
        <v>955</v>
      </c>
      <c r="D15" s="176" t="s">
        <v>956</v>
      </c>
      <c r="E15" s="176" t="s">
        <v>957</v>
      </c>
      <c r="F15" s="177" t="s">
        <v>958</v>
      </c>
    </row>
    <row r="16" spans="2:14" ht="15" thickBot="1" x14ac:dyDescent="0.35">
      <c r="B16" s="146" t="s">
        <v>858</v>
      </c>
      <c r="C16" s="143"/>
      <c r="D16" s="143"/>
      <c r="E16" s="143"/>
      <c r="F16" s="160"/>
    </row>
    <row r="17" spans="2:6" x14ac:dyDescent="0.3">
      <c r="B17" s="107" t="s">
        <v>861</v>
      </c>
      <c r="C17" s="107">
        <v>980</v>
      </c>
      <c r="D17" s="107">
        <v>1074</v>
      </c>
      <c r="E17" s="179">
        <f>C17-D17</f>
        <v>-94</v>
      </c>
      <c r="F17" s="173">
        <f>E17^2</f>
        <v>8836</v>
      </c>
    </row>
    <row r="18" spans="2:6" x14ac:dyDescent="0.3">
      <c r="B18" s="134" t="s">
        <v>862</v>
      </c>
      <c r="C18" s="134">
        <v>776</v>
      </c>
      <c r="D18" s="134">
        <v>1074</v>
      </c>
      <c r="E18" s="179">
        <f>C18-D18</f>
        <v>-298</v>
      </c>
      <c r="F18" s="172">
        <f>E18^2</f>
        <v>88804</v>
      </c>
    </row>
    <row r="19" spans="2:6" x14ac:dyDescent="0.3">
      <c r="B19" s="134" t="s">
        <v>863</v>
      </c>
      <c r="C19" s="134">
        <v>923</v>
      </c>
      <c r="D19" s="134">
        <v>1074</v>
      </c>
      <c r="E19" s="179">
        <f>C19-D19</f>
        <v>-151</v>
      </c>
      <c r="F19" s="172">
        <f t="shared" ref="F19:F33" si="0">E19^2</f>
        <v>22801</v>
      </c>
    </row>
    <row r="20" spans="2:6" x14ac:dyDescent="0.3">
      <c r="B20" s="134" t="s">
        <v>864</v>
      </c>
      <c r="C20" s="134">
        <v>1498</v>
      </c>
      <c r="D20" s="134">
        <v>1074</v>
      </c>
      <c r="E20" s="179">
        <f>C20-D20</f>
        <v>424</v>
      </c>
      <c r="F20" s="172">
        <f t="shared" si="0"/>
        <v>179776</v>
      </c>
    </row>
    <row r="21" spans="2:6" ht="15" thickBot="1" x14ac:dyDescent="0.35">
      <c r="B21" s="135" t="s">
        <v>865</v>
      </c>
      <c r="C21" s="134">
        <v>999</v>
      </c>
      <c r="D21" s="134">
        <v>1074</v>
      </c>
      <c r="E21" s="179">
        <f>C21-D21</f>
        <v>-75</v>
      </c>
      <c r="F21" s="172">
        <f t="shared" si="0"/>
        <v>5625</v>
      </c>
    </row>
    <row r="22" spans="2:6" ht="15" thickBot="1" x14ac:dyDescent="0.35">
      <c r="B22" s="146" t="s">
        <v>859</v>
      </c>
      <c r="C22" s="143"/>
      <c r="D22" s="143"/>
      <c r="E22" s="143"/>
      <c r="F22" s="160"/>
    </row>
    <row r="23" spans="2:6" x14ac:dyDescent="0.3">
      <c r="B23" s="107" t="s">
        <v>861</v>
      </c>
      <c r="C23" s="134">
        <v>1123</v>
      </c>
      <c r="D23" s="134">
        <v>1074</v>
      </c>
      <c r="E23" s="179">
        <f>C23-D23</f>
        <v>49</v>
      </c>
      <c r="F23" s="172">
        <f>E23^2</f>
        <v>2401</v>
      </c>
    </row>
    <row r="24" spans="2:6" x14ac:dyDescent="0.3">
      <c r="B24" s="134" t="s">
        <v>862</v>
      </c>
      <c r="C24" s="134">
        <v>1357</v>
      </c>
      <c r="D24" s="134">
        <v>1074</v>
      </c>
      <c r="E24" s="179">
        <f>C24-D24</f>
        <v>283</v>
      </c>
      <c r="F24" s="172">
        <f t="shared" si="0"/>
        <v>80089</v>
      </c>
    </row>
    <row r="25" spans="2:6" x14ac:dyDescent="0.3">
      <c r="B25" s="134" t="s">
        <v>863</v>
      </c>
      <c r="C25" s="134">
        <v>1152</v>
      </c>
      <c r="D25" s="134">
        <v>1074</v>
      </c>
      <c r="E25" s="179">
        <f>C25-D25</f>
        <v>78</v>
      </c>
      <c r="F25" s="172">
        <f t="shared" si="0"/>
        <v>6084</v>
      </c>
    </row>
    <row r="26" spans="2:6" x14ac:dyDescent="0.3">
      <c r="B26" s="134" t="s">
        <v>864</v>
      </c>
      <c r="C26" s="134">
        <v>921</v>
      </c>
      <c r="D26" s="134">
        <v>1074</v>
      </c>
      <c r="E26" s="179">
        <f>C26-D26</f>
        <v>-153</v>
      </c>
      <c r="F26" s="172">
        <f t="shared" si="0"/>
        <v>23409</v>
      </c>
    </row>
    <row r="27" spans="2:6" ht="15" thickBot="1" x14ac:dyDescent="0.35">
      <c r="B27" s="135" t="s">
        <v>865</v>
      </c>
      <c r="C27" s="134">
        <v>959</v>
      </c>
      <c r="D27" s="134">
        <v>1074</v>
      </c>
      <c r="E27" s="179">
        <f>C27-D27</f>
        <v>-115</v>
      </c>
      <c r="F27" s="172">
        <f t="shared" si="0"/>
        <v>13225</v>
      </c>
    </row>
    <row r="28" spans="2:6" ht="15" thickBot="1" x14ac:dyDescent="0.35">
      <c r="B28" s="146" t="s">
        <v>860</v>
      </c>
      <c r="C28" s="143"/>
      <c r="D28" s="143"/>
      <c r="E28" s="143"/>
      <c r="F28" s="160"/>
    </row>
    <row r="29" spans="2:6" x14ac:dyDescent="0.3">
      <c r="B29" s="107" t="s">
        <v>861</v>
      </c>
      <c r="C29" s="134">
        <v>1084</v>
      </c>
      <c r="D29" s="134">
        <v>1074</v>
      </c>
      <c r="E29" s="178">
        <f>C29-D29</f>
        <v>10</v>
      </c>
      <c r="F29" s="172">
        <f t="shared" si="0"/>
        <v>100</v>
      </c>
    </row>
    <row r="30" spans="2:6" x14ac:dyDescent="0.3">
      <c r="B30" s="134" t="s">
        <v>862</v>
      </c>
      <c r="C30" s="134">
        <v>1025</v>
      </c>
      <c r="D30" s="134">
        <v>1074</v>
      </c>
      <c r="E30" s="179">
        <f>C30-D30</f>
        <v>-49</v>
      </c>
      <c r="F30" s="172">
        <f t="shared" si="0"/>
        <v>2401</v>
      </c>
    </row>
    <row r="31" spans="2:6" x14ac:dyDescent="0.3">
      <c r="B31" s="134" t="s">
        <v>863</v>
      </c>
      <c r="C31" s="134">
        <v>1114</v>
      </c>
      <c r="D31" s="134">
        <v>1074</v>
      </c>
      <c r="E31" s="179">
        <f>C31-D31</f>
        <v>40</v>
      </c>
      <c r="F31" s="172">
        <f t="shared" si="0"/>
        <v>1600</v>
      </c>
    </row>
    <row r="32" spans="2:6" x14ac:dyDescent="0.3">
      <c r="B32" s="134" t="s">
        <v>864</v>
      </c>
      <c r="C32" s="134">
        <v>1182</v>
      </c>
      <c r="D32" s="134">
        <v>1074</v>
      </c>
      <c r="E32" s="179">
        <f>C32-D32</f>
        <v>108</v>
      </c>
      <c r="F32" s="172">
        <f t="shared" si="0"/>
        <v>11664</v>
      </c>
    </row>
    <row r="33" spans="2:6" ht="15" thickBot="1" x14ac:dyDescent="0.35">
      <c r="B33" s="135" t="s">
        <v>865</v>
      </c>
      <c r="C33" s="135">
        <v>1022</v>
      </c>
      <c r="D33" s="135">
        <v>1074</v>
      </c>
      <c r="E33" s="180">
        <f>C33-D33</f>
        <v>-52</v>
      </c>
      <c r="F33" s="174">
        <f t="shared" si="0"/>
        <v>2704</v>
      </c>
    </row>
    <row r="34" spans="2:6" ht="15" thickBot="1" x14ac:dyDescent="0.35">
      <c r="B34" s="147" t="s">
        <v>12</v>
      </c>
      <c r="C34" s="154"/>
      <c r="D34" s="171"/>
      <c r="E34" s="171"/>
      <c r="F34" s="175">
        <f>SUM(F17:F33)</f>
        <v>449519</v>
      </c>
    </row>
    <row r="37" spans="2:6" ht="15" thickBot="1" x14ac:dyDescent="0.35"/>
    <row r="38" spans="2:6" ht="15" thickBot="1" x14ac:dyDescent="0.35">
      <c r="B38" s="231" t="s">
        <v>963</v>
      </c>
      <c r="C38" s="233"/>
      <c r="D38" s="233"/>
      <c r="E38" s="233"/>
      <c r="F38" s="232"/>
    </row>
    <row r="39" spans="2:6" ht="15" thickBot="1" x14ac:dyDescent="0.35">
      <c r="B39" s="143" t="s">
        <v>964</v>
      </c>
      <c r="C39" s="158" t="s">
        <v>965</v>
      </c>
      <c r="D39" s="143" t="s">
        <v>966</v>
      </c>
      <c r="E39" s="159" t="s">
        <v>967</v>
      </c>
      <c r="F39" s="143" t="s">
        <v>50</v>
      </c>
    </row>
    <row r="40" spans="2:6" x14ac:dyDescent="0.3">
      <c r="B40" s="146" t="s">
        <v>938</v>
      </c>
      <c r="C40" s="167">
        <v>74</v>
      </c>
      <c r="D40" s="166">
        <v>52</v>
      </c>
      <c r="E40" s="167">
        <v>48</v>
      </c>
      <c r="F40" s="166">
        <f>SUM(C40:E40)</f>
        <v>174</v>
      </c>
    </row>
    <row r="41" spans="2:6" x14ac:dyDescent="0.3">
      <c r="B41" s="146" t="s">
        <v>940</v>
      </c>
      <c r="C41" s="167">
        <v>29</v>
      </c>
      <c r="D41" s="166">
        <v>21</v>
      </c>
      <c r="E41" s="167">
        <v>12</v>
      </c>
      <c r="F41" s="166">
        <f>SUM(C41:E41)</f>
        <v>62</v>
      </c>
    </row>
    <row r="42" spans="2:6" ht="15" thickBot="1" x14ac:dyDescent="0.35">
      <c r="B42" s="147" t="s">
        <v>941</v>
      </c>
      <c r="C42" s="167">
        <v>17</v>
      </c>
      <c r="D42" s="166">
        <v>34</v>
      </c>
      <c r="E42" s="167">
        <v>39</v>
      </c>
      <c r="F42" s="166">
        <f>SUM(C42:E42)</f>
        <v>90</v>
      </c>
    </row>
    <row r="43" spans="2:6" ht="15" thickBot="1" x14ac:dyDescent="0.35">
      <c r="B43" s="143" t="s">
        <v>50</v>
      </c>
      <c r="C43" s="158">
        <f>SUM(C40:C42)</f>
        <v>120</v>
      </c>
      <c r="D43" s="143">
        <f>SUM(D40:D42)</f>
        <v>107</v>
      </c>
      <c r="E43" s="159">
        <f>SUM(E40:E42)</f>
        <v>99</v>
      </c>
      <c r="F43" s="143">
        <f>SUM(F40:F42)</f>
        <v>326</v>
      </c>
    </row>
    <row r="44" spans="2:6" ht="15" thickBot="1" x14ac:dyDescent="0.35"/>
    <row r="45" spans="2:6" ht="15" thickBot="1" x14ac:dyDescent="0.35">
      <c r="B45" s="231" t="s">
        <v>968</v>
      </c>
      <c r="C45" s="233"/>
      <c r="D45" s="233"/>
      <c r="E45" s="233"/>
      <c r="F45" s="232"/>
    </row>
    <row r="46" spans="2:6" ht="15" thickBot="1" x14ac:dyDescent="0.35">
      <c r="B46" s="143" t="s">
        <v>964</v>
      </c>
      <c r="C46" s="158" t="s">
        <v>965</v>
      </c>
      <c r="D46" s="143" t="s">
        <v>966</v>
      </c>
      <c r="E46" s="159" t="s">
        <v>967</v>
      </c>
      <c r="F46" s="143" t="s">
        <v>50</v>
      </c>
    </row>
    <row r="47" spans="2:6" x14ac:dyDescent="0.3">
      <c r="B47" s="146" t="s">
        <v>938</v>
      </c>
      <c r="C47" s="167">
        <v>64</v>
      </c>
      <c r="D47" s="166">
        <v>57</v>
      </c>
      <c r="E47" s="167">
        <v>53</v>
      </c>
      <c r="F47" s="166">
        <f>SUM(C47:E47)</f>
        <v>174</v>
      </c>
    </row>
    <row r="48" spans="2:6" x14ac:dyDescent="0.3">
      <c r="B48" s="146" t="s">
        <v>940</v>
      </c>
      <c r="C48" s="167">
        <v>23</v>
      </c>
      <c r="D48" s="166">
        <v>20</v>
      </c>
      <c r="E48" s="167">
        <v>19</v>
      </c>
      <c r="F48" s="166">
        <f>SUM(C48:E48)</f>
        <v>62</v>
      </c>
    </row>
    <row r="49" spans="2:6" ht="15" thickBot="1" x14ac:dyDescent="0.35">
      <c r="B49" s="147" t="s">
        <v>941</v>
      </c>
      <c r="C49" s="167">
        <v>33</v>
      </c>
      <c r="D49" s="166">
        <v>30</v>
      </c>
      <c r="E49" s="167">
        <v>27</v>
      </c>
      <c r="F49" s="166">
        <f>SUM(C49:E49)</f>
        <v>90</v>
      </c>
    </row>
    <row r="50" spans="2:6" ht="15" thickBot="1" x14ac:dyDescent="0.35">
      <c r="B50" s="143" t="s">
        <v>50</v>
      </c>
      <c r="C50" s="158">
        <f>SUM(C47:C49)</f>
        <v>120</v>
      </c>
      <c r="D50" s="143">
        <f>SUM(D47:D49)</f>
        <v>107</v>
      </c>
      <c r="E50" s="159">
        <f>SUM(E47:E49)</f>
        <v>99</v>
      </c>
      <c r="F50" s="143">
        <f>SUM(F47:F49)</f>
        <v>326</v>
      </c>
    </row>
  </sheetData>
  <mergeCells count="5">
    <mergeCell ref="B38:F38"/>
    <mergeCell ref="B45:F45"/>
    <mergeCell ref="C2:E2"/>
    <mergeCell ref="F2:H2"/>
    <mergeCell ref="I2:K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45"/>
  <sheetViews>
    <sheetView zoomScale="140" zoomScaleNormal="140" workbookViewId="0">
      <selection activeCell="C9" sqref="C9"/>
    </sheetView>
  </sheetViews>
  <sheetFormatPr defaultRowHeight="14.4" x14ac:dyDescent="0.3"/>
  <cols>
    <col min="1" max="1" width="5.5546875" customWidth="1"/>
  </cols>
  <sheetData>
    <row r="1" spans="1:10" x14ac:dyDescent="0.3">
      <c r="A1" t="s">
        <v>1065</v>
      </c>
    </row>
    <row r="2" spans="1:10" x14ac:dyDescent="0.3">
      <c r="C2" s="211" t="s">
        <v>282</v>
      </c>
      <c r="D2" s="211"/>
      <c r="E2" s="211"/>
      <c r="F2" s="211"/>
      <c r="G2" s="211"/>
      <c r="I2" t="s">
        <v>135</v>
      </c>
      <c r="J2" t="s">
        <v>136</v>
      </c>
    </row>
    <row r="3" spans="1:10" x14ac:dyDescent="0.3">
      <c r="E3" t="s">
        <v>1058</v>
      </c>
      <c r="F3" t="s">
        <v>1059</v>
      </c>
      <c r="I3">
        <v>0.7</v>
      </c>
      <c r="J3">
        <v>0.3</v>
      </c>
    </row>
    <row r="4" spans="1:10" x14ac:dyDescent="0.3">
      <c r="B4" t="s">
        <v>1057</v>
      </c>
      <c r="D4">
        <v>0</v>
      </c>
      <c r="E4">
        <f>BINOMDIST(D4,10,0.5,FALSE)</f>
        <v>9.765625E-4</v>
      </c>
      <c r="F4">
        <f>E4</f>
        <v>9.765625E-4</v>
      </c>
    </row>
    <row r="5" spans="1:10" x14ac:dyDescent="0.3">
      <c r="D5">
        <v>1</v>
      </c>
      <c r="E5">
        <f t="shared" ref="E5:E14" si="0">BINOMDIST(D5,10,0.5,FALSE)</f>
        <v>9.7656250000000017E-3</v>
      </c>
      <c r="F5">
        <f>F4+E5</f>
        <v>1.0742187500000002E-2</v>
      </c>
    </row>
    <row r="6" spans="1:10" x14ac:dyDescent="0.3">
      <c r="D6">
        <v>2</v>
      </c>
      <c r="E6">
        <f t="shared" si="0"/>
        <v>4.3945312499999972E-2</v>
      </c>
      <c r="F6">
        <f t="shared" ref="F6:F14" si="1">F5+E6</f>
        <v>5.4687499999999972E-2</v>
      </c>
    </row>
    <row r="7" spans="1:10" x14ac:dyDescent="0.3">
      <c r="D7">
        <v>3</v>
      </c>
      <c r="E7">
        <f t="shared" si="0"/>
        <v>0.11718750000000003</v>
      </c>
      <c r="F7">
        <f t="shared" si="1"/>
        <v>0.171875</v>
      </c>
      <c r="H7" t="s">
        <v>1060</v>
      </c>
    </row>
    <row r="8" spans="1:10" x14ac:dyDescent="0.3">
      <c r="D8">
        <v>4</v>
      </c>
      <c r="E8">
        <f t="shared" si="0"/>
        <v>0.20507812500000006</v>
      </c>
      <c r="F8">
        <f t="shared" si="1"/>
        <v>0.37695312500000006</v>
      </c>
      <c r="H8">
        <f>BINOMDIST(5,10,0.5,TRUE)</f>
        <v>0.623046875</v>
      </c>
      <c r="J8" t="s">
        <v>1067</v>
      </c>
    </row>
    <row r="9" spans="1:10" x14ac:dyDescent="0.3">
      <c r="D9">
        <v>5</v>
      </c>
      <c r="E9">
        <f t="shared" si="0"/>
        <v>0.24609375000000008</v>
      </c>
      <c r="F9">
        <f t="shared" si="1"/>
        <v>0.62304687500000011</v>
      </c>
      <c r="J9" t="s">
        <v>1068</v>
      </c>
    </row>
    <row r="10" spans="1:10" x14ac:dyDescent="0.3">
      <c r="D10">
        <v>6</v>
      </c>
      <c r="E10">
        <f t="shared" si="0"/>
        <v>0.20507812500000006</v>
      </c>
      <c r="F10">
        <f t="shared" si="1"/>
        <v>0.82812500000000022</v>
      </c>
    </row>
    <row r="11" spans="1:10" x14ac:dyDescent="0.3">
      <c r="D11">
        <v>7</v>
      </c>
      <c r="E11">
        <f t="shared" si="0"/>
        <v>0.11718750000000003</v>
      </c>
      <c r="F11">
        <f t="shared" si="1"/>
        <v>0.94531250000000022</v>
      </c>
    </row>
    <row r="12" spans="1:10" x14ac:dyDescent="0.3">
      <c r="D12">
        <v>8</v>
      </c>
      <c r="E12">
        <f t="shared" si="0"/>
        <v>4.3945312499999986E-2</v>
      </c>
      <c r="F12">
        <f t="shared" si="1"/>
        <v>0.98925781250000022</v>
      </c>
      <c r="H12" t="s">
        <v>1061</v>
      </c>
      <c r="J12" t="s">
        <v>1066</v>
      </c>
    </row>
    <row r="13" spans="1:10" x14ac:dyDescent="0.3">
      <c r="D13">
        <v>9</v>
      </c>
      <c r="E13">
        <f t="shared" si="0"/>
        <v>9.7656250000000017E-3</v>
      </c>
      <c r="F13">
        <f t="shared" si="1"/>
        <v>0.99902343750000022</v>
      </c>
      <c r="H13">
        <f>BINOMDIST(8,10,0.5,TRUE)</f>
        <v>0.9892578125</v>
      </c>
    </row>
    <row r="14" spans="1:10" x14ac:dyDescent="0.3">
      <c r="D14">
        <v>10</v>
      </c>
      <c r="E14">
        <f t="shared" si="0"/>
        <v>9.765625E-4</v>
      </c>
      <c r="F14">
        <f t="shared" si="1"/>
        <v>1.0000000000000002</v>
      </c>
    </row>
    <row r="15" spans="1:10" x14ac:dyDescent="0.3">
      <c r="J15" t="s">
        <v>1069</v>
      </c>
    </row>
    <row r="16" spans="1:10" x14ac:dyDescent="0.3">
      <c r="E16">
        <f>SUM(E4:E14)</f>
        <v>1.0000000000000002</v>
      </c>
      <c r="J16" t="s">
        <v>1070</v>
      </c>
    </row>
    <row r="17" spans="1:10" x14ac:dyDescent="0.3">
      <c r="J17" t="s">
        <v>1071</v>
      </c>
    </row>
    <row r="18" spans="1:10" x14ac:dyDescent="0.3">
      <c r="G18" t="s">
        <v>1062</v>
      </c>
      <c r="H18">
        <v>1</v>
      </c>
    </row>
    <row r="19" spans="1:10" x14ac:dyDescent="0.3">
      <c r="G19" t="s">
        <v>1063</v>
      </c>
      <c r="H19" t="s">
        <v>1064</v>
      </c>
      <c r="J19">
        <f>1-BINOMDIST(5,10,0.5,TRUE)</f>
        <v>0.376953125</v>
      </c>
    </row>
    <row r="22" spans="1:10" x14ac:dyDescent="0.3">
      <c r="J22" t="s">
        <v>1072</v>
      </c>
    </row>
    <row r="23" spans="1:10" x14ac:dyDescent="0.3">
      <c r="J23">
        <f>1-BINOMDIST(5,10,0.5,TRUE)</f>
        <v>0.376953125</v>
      </c>
    </row>
    <row r="27" spans="1:10" x14ac:dyDescent="0.3">
      <c r="A27">
        <v>1</v>
      </c>
      <c r="B27" s="192" t="s">
        <v>1073</v>
      </c>
    </row>
    <row r="28" spans="1:10" x14ac:dyDescent="0.3">
      <c r="B28" t="s">
        <v>1074</v>
      </c>
    </row>
    <row r="30" spans="1:10" x14ac:dyDescent="0.3">
      <c r="A30">
        <v>2</v>
      </c>
      <c r="B30" s="118" t="s">
        <v>1075</v>
      </c>
    </row>
    <row r="31" spans="1:10" x14ac:dyDescent="0.3">
      <c r="B31" t="s">
        <v>1076</v>
      </c>
    </row>
    <row r="34" spans="1:2" x14ac:dyDescent="0.3">
      <c r="B34">
        <f>BINOMDIST(6,10,0.6,FALSE)</f>
        <v>0.25082265600000009</v>
      </c>
    </row>
    <row r="35" spans="1:2" x14ac:dyDescent="0.3">
      <c r="B35">
        <f>BINOMDIST(8,10,0.6,TRUE)</f>
        <v>0.95364259839999999</v>
      </c>
    </row>
    <row r="37" spans="1:2" x14ac:dyDescent="0.3">
      <c r="B37">
        <f>BINOMDIST(7,15,0.6,FALSE)</f>
        <v>0.11805577445376</v>
      </c>
    </row>
    <row r="39" spans="1:2" x14ac:dyDescent="0.3">
      <c r="A39">
        <v>3</v>
      </c>
      <c r="B39" s="197" t="s">
        <v>274</v>
      </c>
    </row>
    <row r="40" spans="1:2" x14ac:dyDescent="0.3">
      <c r="A40" t="s">
        <v>277</v>
      </c>
      <c r="B40" s="197" t="s">
        <v>275</v>
      </c>
    </row>
    <row r="41" spans="1:2" x14ac:dyDescent="0.3">
      <c r="A41" t="s">
        <v>278</v>
      </c>
      <c r="B41" s="197" t="s">
        <v>276</v>
      </c>
    </row>
    <row r="43" spans="1:2" x14ac:dyDescent="0.3">
      <c r="B43" s="190">
        <f>1 - BINOMDIST(2,4,0.8,TRUE)</f>
        <v>0.81920000000000004</v>
      </c>
    </row>
    <row r="45" spans="1:2" x14ac:dyDescent="0.3">
      <c r="B45" s="190">
        <f>BINOMDIST(1,4,0.8,TRUE)</f>
        <v>2.7199999999999988E-2</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28"/>
  <sheetViews>
    <sheetView topLeftCell="A11" workbookViewId="0">
      <selection activeCell="G27" sqref="G27"/>
    </sheetView>
  </sheetViews>
  <sheetFormatPr defaultRowHeight="14.4" x14ac:dyDescent="0.3"/>
  <sheetData>
    <row r="1" spans="1:14" ht="18" x14ac:dyDescent="0.35">
      <c r="A1" s="193" t="s">
        <v>1077</v>
      </c>
    </row>
    <row r="2" spans="1:14" ht="18" x14ac:dyDescent="0.35">
      <c r="A2" s="194" t="s">
        <v>1078</v>
      </c>
    </row>
    <row r="3" spans="1:14" ht="18" x14ac:dyDescent="0.35">
      <c r="A3" s="194" t="s">
        <v>1079</v>
      </c>
    </row>
    <row r="4" spans="1:14" ht="18" x14ac:dyDescent="0.35">
      <c r="A4" s="194" t="s">
        <v>1080</v>
      </c>
      <c r="J4">
        <f>0.7823-0.3336</f>
        <v>0.44869999999999999</v>
      </c>
    </row>
    <row r="5" spans="1:14" ht="18" x14ac:dyDescent="0.35">
      <c r="A5" s="194" t="s">
        <v>1081</v>
      </c>
      <c r="J5">
        <f>0.9332-0.67</f>
        <v>0.26319999999999999</v>
      </c>
    </row>
    <row r="6" spans="1:14" ht="18" x14ac:dyDescent="0.35">
      <c r="A6" s="194" t="s">
        <v>1082</v>
      </c>
      <c r="J6">
        <f>1-0.0918</f>
        <v>0.90820000000000001</v>
      </c>
    </row>
    <row r="7" spans="1:14" ht="18" x14ac:dyDescent="0.35">
      <c r="A7" s="193" t="s">
        <v>1083</v>
      </c>
    </row>
    <row r="8" spans="1:14" ht="18" x14ac:dyDescent="0.35">
      <c r="A8" s="194" t="s">
        <v>1084</v>
      </c>
      <c r="J8">
        <f>1-0.8554</f>
        <v>0.14459999999999995</v>
      </c>
      <c r="L8">
        <f>1-J8</f>
        <v>0.85540000000000005</v>
      </c>
    </row>
    <row r="9" spans="1:14" ht="18" x14ac:dyDescent="0.35">
      <c r="A9" s="194" t="s">
        <v>1085</v>
      </c>
      <c r="J9">
        <v>1.5800000000000002E-2</v>
      </c>
    </row>
    <row r="10" spans="1:14" ht="18" x14ac:dyDescent="0.35">
      <c r="A10" s="194" t="s">
        <v>1086</v>
      </c>
      <c r="J10">
        <f>0.9987-L8</f>
        <v>0.14329999999999998</v>
      </c>
    </row>
    <row r="11" spans="1:14" ht="18" x14ac:dyDescent="0.35">
      <c r="A11" s="194" t="s">
        <v>1087</v>
      </c>
      <c r="J11">
        <f>0.9987-0.1446</f>
        <v>0.85410000000000008</v>
      </c>
    </row>
    <row r="12" spans="1:14" ht="18" x14ac:dyDescent="0.35">
      <c r="A12" s="193" t="s">
        <v>1092</v>
      </c>
    </row>
    <row r="13" spans="1:14" ht="18" x14ac:dyDescent="0.35">
      <c r="B13" s="195" t="s">
        <v>810</v>
      </c>
    </row>
    <row r="14" spans="1:14" ht="18" x14ac:dyDescent="0.35">
      <c r="A14" s="194" t="s">
        <v>1088</v>
      </c>
      <c r="H14" t="s">
        <v>1112</v>
      </c>
      <c r="K14">
        <f>0.9332-0.1587</f>
        <v>0.77449999999999997</v>
      </c>
    </row>
    <row r="15" spans="1:14" ht="18" x14ac:dyDescent="0.35">
      <c r="A15" s="194" t="s">
        <v>1089</v>
      </c>
      <c r="H15">
        <f>0.8413-0.6915</f>
        <v>0.14980000000000004</v>
      </c>
      <c r="M15" t="s">
        <v>1114</v>
      </c>
      <c r="N15">
        <f>(20.09-20.05)/0.02</f>
        <v>1.9999999999999574</v>
      </c>
    </row>
    <row r="16" spans="1:14" ht="18" x14ac:dyDescent="0.35">
      <c r="A16" s="194" t="s">
        <v>1090</v>
      </c>
      <c r="H16">
        <v>2.2800000000000001E-2</v>
      </c>
      <c r="M16" t="s">
        <v>1113</v>
      </c>
      <c r="N16">
        <f>(20.07-20.05)/0.02</f>
        <v>0.99999999999997868</v>
      </c>
    </row>
    <row r="17" spans="1:14" ht="18" x14ac:dyDescent="0.35">
      <c r="A17" s="194" t="s">
        <v>1091</v>
      </c>
      <c r="H17">
        <f>1-0.9772</f>
        <v>2.2800000000000042E-2</v>
      </c>
    </row>
    <row r="19" spans="1:14" x14ac:dyDescent="0.3">
      <c r="M19" t="s">
        <v>53</v>
      </c>
      <c r="N19">
        <v>20.05</v>
      </c>
    </row>
    <row r="20" spans="1:14" x14ac:dyDescent="0.3">
      <c r="M20" t="s">
        <v>170</v>
      </c>
      <c r="N20">
        <v>0.02</v>
      </c>
    </row>
    <row r="23" spans="1:14" x14ac:dyDescent="0.3">
      <c r="E23">
        <v>100000</v>
      </c>
      <c r="G23" t="s">
        <v>1115</v>
      </c>
      <c r="H23">
        <v>1000</v>
      </c>
      <c r="K23" t="s">
        <v>138</v>
      </c>
      <c r="L23" s="45">
        <v>0.25</v>
      </c>
    </row>
    <row r="24" spans="1:14" x14ac:dyDescent="0.3">
      <c r="G24" t="s">
        <v>1116</v>
      </c>
      <c r="H24">
        <v>100</v>
      </c>
      <c r="K24" t="s">
        <v>1117</v>
      </c>
      <c r="L24" s="45">
        <v>0.25</v>
      </c>
    </row>
    <row r="25" spans="1:14" x14ac:dyDescent="0.3">
      <c r="K25" t="s">
        <v>140</v>
      </c>
      <c r="L25" s="45">
        <v>0.25</v>
      </c>
    </row>
    <row r="28" spans="1:14" x14ac:dyDescent="0.3">
      <c r="K28" s="45">
        <v>0.01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471"/>
  <sheetViews>
    <sheetView topLeftCell="A18" workbookViewId="0">
      <selection activeCell="M31" sqref="M31"/>
    </sheetView>
  </sheetViews>
  <sheetFormatPr defaultRowHeight="14.4" x14ac:dyDescent="0.3"/>
  <sheetData>
    <row r="1" spans="1:12" x14ac:dyDescent="0.3">
      <c r="A1" t="s">
        <v>92</v>
      </c>
      <c r="B1" t="s">
        <v>92</v>
      </c>
      <c r="C1" t="s">
        <v>1102</v>
      </c>
    </row>
    <row r="2" spans="1:12" x14ac:dyDescent="0.3">
      <c r="A2">
        <v>41</v>
      </c>
      <c r="B2">
        <v>18</v>
      </c>
    </row>
    <row r="3" spans="1:12" x14ac:dyDescent="0.3">
      <c r="A3">
        <v>49</v>
      </c>
      <c r="B3">
        <v>18</v>
      </c>
    </row>
    <row r="4" spans="1:12" x14ac:dyDescent="0.3">
      <c r="A4">
        <v>37</v>
      </c>
      <c r="B4">
        <v>18</v>
      </c>
      <c r="D4">
        <v>1</v>
      </c>
      <c r="H4" t="s">
        <v>1101</v>
      </c>
    </row>
    <row r="5" spans="1:12" x14ac:dyDescent="0.3">
      <c r="A5">
        <v>33</v>
      </c>
      <c r="B5">
        <v>18</v>
      </c>
      <c r="D5">
        <v>2</v>
      </c>
      <c r="F5" t="s">
        <v>1094</v>
      </c>
    </row>
    <row r="6" spans="1:12" x14ac:dyDescent="0.3">
      <c r="A6">
        <v>27</v>
      </c>
      <c r="B6">
        <v>18</v>
      </c>
      <c r="D6">
        <v>3</v>
      </c>
      <c r="F6" t="s">
        <v>1095</v>
      </c>
    </row>
    <row r="7" spans="1:12" x14ac:dyDescent="0.3">
      <c r="A7">
        <v>32</v>
      </c>
      <c r="B7">
        <v>18</v>
      </c>
      <c r="D7">
        <v>4</v>
      </c>
      <c r="L7">
        <v>41.1</v>
      </c>
    </row>
    <row r="8" spans="1:12" x14ac:dyDescent="0.3">
      <c r="A8">
        <v>59</v>
      </c>
      <c r="B8">
        <v>18</v>
      </c>
      <c r="D8">
        <v>5</v>
      </c>
      <c r="L8">
        <v>41.01</v>
      </c>
    </row>
    <row r="9" spans="1:12" x14ac:dyDescent="0.3">
      <c r="A9">
        <v>30</v>
      </c>
      <c r="B9">
        <v>18</v>
      </c>
      <c r="D9">
        <v>6</v>
      </c>
      <c r="L9">
        <v>41.000999999999998</v>
      </c>
    </row>
    <row r="10" spans="1:12" x14ac:dyDescent="0.3">
      <c r="A10">
        <v>38</v>
      </c>
      <c r="B10">
        <v>19</v>
      </c>
    </row>
    <row r="11" spans="1:12" x14ac:dyDescent="0.3">
      <c r="A11">
        <v>36</v>
      </c>
      <c r="B11">
        <v>19</v>
      </c>
    </row>
    <row r="12" spans="1:12" x14ac:dyDescent="0.3">
      <c r="A12">
        <v>35</v>
      </c>
      <c r="B12">
        <v>19</v>
      </c>
      <c r="D12" t="s">
        <v>1103</v>
      </c>
      <c r="G12" t="s">
        <v>1105</v>
      </c>
      <c r="I12" t="b">
        <v>1</v>
      </c>
    </row>
    <row r="13" spans="1:12" x14ac:dyDescent="0.3">
      <c r="A13">
        <v>29</v>
      </c>
      <c r="B13">
        <v>19</v>
      </c>
      <c r="D13" t="s">
        <v>1104</v>
      </c>
    </row>
    <row r="14" spans="1:12" x14ac:dyDescent="0.3">
      <c r="A14">
        <v>31</v>
      </c>
      <c r="B14">
        <v>19</v>
      </c>
    </row>
    <row r="15" spans="1:12" x14ac:dyDescent="0.3">
      <c r="A15">
        <v>34</v>
      </c>
      <c r="B15">
        <v>19</v>
      </c>
      <c r="F15" t="s">
        <v>1106</v>
      </c>
    </row>
    <row r="16" spans="1:12" x14ac:dyDescent="0.3">
      <c r="A16">
        <v>28</v>
      </c>
      <c r="B16">
        <v>19</v>
      </c>
    </row>
    <row r="17" spans="1:9" x14ac:dyDescent="0.3">
      <c r="A17">
        <v>29</v>
      </c>
      <c r="B17">
        <v>19</v>
      </c>
    </row>
    <row r="18" spans="1:9" ht="15" thickBot="1" x14ac:dyDescent="0.35">
      <c r="A18">
        <v>32</v>
      </c>
      <c r="B18">
        <v>19</v>
      </c>
      <c r="D18">
        <v>15</v>
      </c>
    </row>
    <row r="19" spans="1:9" x14ac:dyDescent="0.3">
      <c r="A19">
        <v>22</v>
      </c>
      <c r="B19">
        <v>20</v>
      </c>
      <c r="D19">
        <v>20</v>
      </c>
      <c r="G19" s="43" t="s">
        <v>28</v>
      </c>
      <c r="H19" s="43" t="s">
        <v>30</v>
      </c>
      <c r="I19" s="43" t="s">
        <v>137</v>
      </c>
    </row>
    <row r="20" spans="1:9" x14ac:dyDescent="0.3">
      <c r="A20">
        <v>53</v>
      </c>
      <c r="B20">
        <v>20</v>
      </c>
      <c r="D20">
        <v>25</v>
      </c>
      <c r="G20" s="38">
        <v>15</v>
      </c>
      <c r="H20" s="39">
        <v>0</v>
      </c>
      <c r="I20" s="40">
        <v>0</v>
      </c>
    </row>
    <row r="21" spans="1:9" x14ac:dyDescent="0.3">
      <c r="A21">
        <v>38</v>
      </c>
      <c r="B21">
        <v>20</v>
      </c>
      <c r="D21">
        <v>30</v>
      </c>
      <c r="G21" s="38">
        <v>20</v>
      </c>
      <c r="H21" s="39">
        <v>28</v>
      </c>
      <c r="I21" s="40">
        <v>1.9047619047619049E-2</v>
      </c>
    </row>
    <row r="22" spans="1:9" x14ac:dyDescent="0.3">
      <c r="A22">
        <v>24</v>
      </c>
      <c r="B22">
        <v>20</v>
      </c>
      <c r="D22">
        <v>35</v>
      </c>
      <c r="G22" s="38">
        <v>25</v>
      </c>
      <c r="H22" s="39">
        <v>95</v>
      </c>
      <c r="I22" s="40">
        <v>8.3673469387755106E-2</v>
      </c>
    </row>
    <row r="23" spans="1:9" x14ac:dyDescent="0.3">
      <c r="A23">
        <v>36</v>
      </c>
      <c r="B23">
        <v>20</v>
      </c>
      <c r="D23">
        <v>40</v>
      </c>
      <c r="G23" s="38">
        <v>30</v>
      </c>
      <c r="H23" s="39">
        <v>263</v>
      </c>
      <c r="I23" s="40">
        <v>0.26258503401360545</v>
      </c>
    </row>
    <row r="24" spans="1:9" x14ac:dyDescent="0.3">
      <c r="A24">
        <v>34</v>
      </c>
      <c r="B24">
        <v>20</v>
      </c>
      <c r="D24">
        <v>45</v>
      </c>
      <c r="G24" s="38">
        <v>35</v>
      </c>
      <c r="H24" s="39">
        <v>343</v>
      </c>
      <c r="I24" s="40">
        <v>0.49591836734693878</v>
      </c>
    </row>
    <row r="25" spans="1:9" x14ac:dyDescent="0.3">
      <c r="A25">
        <v>21</v>
      </c>
      <c r="B25">
        <v>20</v>
      </c>
      <c r="D25">
        <v>50</v>
      </c>
      <c r="G25" s="38">
        <v>40</v>
      </c>
      <c r="H25" s="39">
        <v>276</v>
      </c>
      <c r="I25" s="40">
        <v>0.68367346938775508</v>
      </c>
    </row>
    <row r="26" spans="1:9" x14ac:dyDescent="0.3">
      <c r="A26">
        <v>34</v>
      </c>
      <c r="B26">
        <v>20</v>
      </c>
      <c r="D26">
        <v>55</v>
      </c>
      <c r="G26" s="38">
        <v>45</v>
      </c>
      <c r="H26" s="39">
        <v>192</v>
      </c>
      <c r="I26" s="40">
        <v>0.81428571428571428</v>
      </c>
    </row>
    <row r="27" spans="1:9" x14ac:dyDescent="0.3">
      <c r="A27">
        <v>53</v>
      </c>
      <c r="B27">
        <v>20</v>
      </c>
      <c r="D27">
        <v>60</v>
      </c>
      <c r="G27" s="38">
        <v>50</v>
      </c>
      <c r="H27" s="39">
        <v>130</v>
      </c>
      <c r="I27" s="40">
        <v>0.90272108843537413</v>
      </c>
    </row>
    <row r="28" spans="1:9" x14ac:dyDescent="0.3">
      <c r="A28">
        <v>32</v>
      </c>
      <c r="B28">
        <v>20</v>
      </c>
      <c r="D28">
        <v>65</v>
      </c>
      <c r="G28" s="38">
        <v>55</v>
      </c>
      <c r="H28" s="39">
        <v>96</v>
      </c>
      <c r="I28" s="40">
        <v>0.96802721088435373</v>
      </c>
    </row>
    <row r="29" spans="1:9" x14ac:dyDescent="0.3">
      <c r="A29">
        <v>42</v>
      </c>
      <c r="B29">
        <v>20</v>
      </c>
      <c r="G29" s="38">
        <v>60</v>
      </c>
      <c r="H29" s="39">
        <v>47</v>
      </c>
      <c r="I29" s="40">
        <v>1</v>
      </c>
    </row>
    <row r="30" spans="1:9" x14ac:dyDescent="0.3">
      <c r="A30">
        <v>44</v>
      </c>
      <c r="B30">
        <v>21</v>
      </c>
      <c r="G30" s="38">
        <v>65</v>
      </c>
      <c r="H30" s="39">
        <v>0</v>
      </c>
      <c r="I30" s="40">
        <v>1</v>
      </c>
    </row>
    <row r="31" spans="1:9" ht="15" thickBot="1" x14ac:dyDescent="0.35">
      <c r="A31">
        <v>46</v>
      </c>
      <c r="B31">
        <v>21</v>
      </c>
      <c r="G31" s="41" t="s">
        <v>29</v>
      </c>
      <c r="H31" s="41">
        <v>0</v>
      </c>
      <c r="I31" s="42">
        <v>1</v>
      </c>
    </row>
    <row r="32" spans="1:9" x14ac:dyDescent="0.3">
      <c r="A32">
        <v>33</v>
      </c>
      <c r="B32">
        <v>21</v>
      </c>
    </row>
    <row r="33" spans="1:13" x14ac:dyDescent="0.3">
      <c r="A33">
        <v>44</v>
      </c>
      <c r="B33">
        <v>21</v>
      </c>
    </row>
    <row r="34" spans="1:13" x14ac:dyDescent="0.3">
      <c r="A34">
        <v>30</v>
      </c>
      <c r="B34">
        <v>21</v>
      </c>
      <c r="G34" t="s">
        <v>62</v>
      </c>
      <c r="H34" s="54">
        <f>AVERAGE(A2:A1471)</f>
        <v>36.923809523809524</v>
      </c>
    </row>
    <row r="35" spans="1:13" x14ac:dyDescent="0.3">
      <c r="A35">
        <v>39</v>
      </c>
      <c r="B35">
        <v>21</v>
      </c>
      <c r="G35" t="s">
        <v>170</v>
      </c>
      <c r="H35" s="54">
        <f>STDEV(A2:A1471)</f>
        <v>9.1353734891367289</v>
      </c>
    </row>
    <row r="36" spans="1:13" x14ac:dyDescent="0.3">
      <c r="A36">
        <v>24</v>
      </c>
      <c r="B36">
        <v>21</v>
      </c>
      <c r="L36" t="s">
        <v>1110</v>
      </c>
      <c r="M36" t="s">
        <v>1111</v>
      </c>
    </row>
    <row r="37" spans="1:13" x14ac:dyDescent="0.3">
      <c r="A37">
        <v>43</v>
      </c>
      <c r="B37">
        <v>21</v>
      </c>
      <c r="G37" t="s">
        <v>1107</v>
      </c>
      <c r="H37" s="45">
        <v>0.68</v>
      </c>
      <c r="I37">
        <v>1020</v>
      </c>
      <c r="J37">
        <v>1470</v>
      </c>
      <c r="K37">
        <f>(I37/J37)*100</f>
        <v>69.387755102040813</v>
      </c>
      <c r="L37">
        <f>H34-1*H35</f>
        <v>27.788436034672795</v>
      </c>
      <c r="M37">
        <f>H34+1*H35</f>
        <v>46.059183012946249</v>
      </c>
    </row>
    <row r="38" spans="1:13" x14ac:dyDescent="0.3">
      <c r="A38">
        <v>50</v>
      </c>
      <c r="B38">
        <v>21</v>
      </c>
      <c r="G38" t="s">
        <v>1108</v>
      </c>
      <c r="H38" s="45">
        <v>0.95</v>
      </c>
      <c r="I38">
        <v>1415</v>
      </c>
      <c r="J38">
        <v>1470</v>
      </c>
      <c r="K38">
        <f>(I38/J38)*100</f>
        <v>96.258503401360542</v>
      </c>
      <c r="L38">
        <f>H34-2*H35</f>
        <v>18.653062545536066</v>
      </c>
      <c r="M38">
        <f>H34+2*H35</f>
        <v>55.194556502082982</v>
      </c>
    </row>
    <row r="39" spans="1:13" x14ac:dyDescent="0.3">
      <c r="A39">
        <v>35</v>
      </c>
      <c r="B39">
        <v>21</v>
      </c>
      <c r="G39" t="s">
        <v>1109</v>
      </c>
      <c r="H39" s="55">
        <v>0.997</v>
      </c>
      <c r="I39">
        <v>1470</v>
      </c>
      <c r="J39">
        <v>1470</v>
      </c>
      <c r="K39">
        <f>(I39/J39)*100</f>
        <v>100</v>
      </c>
      <c r="L39">
        <f>H34-3*H35</f>
        <v>9.5176890563993375</v>
      </c>
      <c r="M39">
        <f>H34+3*H35</f>
        <v>64.329929991219714</v>
      </c>
    </row>
    <row r="40" spans="1:13" x14ac:dyDescent="0.3">
      <c r="A40">
        <v>36</v>
      </c>
      <c r="B40">
        <v>21</v>
      </c>
    </row>
    <row r="41" spans="1:13" x14ac:dyDescent="0.3">
      <c r="A41">
        <v>33</v>
      </c>
      <c r="B41">
        <v>21</v>
      </c>
    </row>
    <row r="42" spans="1:13" x14ac:dyDescent="0.3">
      <c r="A42">
        <v>35</v>
      </c>
      <c r="B42">
        <v>21</v>
      </c>
    </row>
    <row r="43" spans="1:13" x14ac:dyDescent="0.3">
      <c r="A43">
        <v>27</v>
      </c>
      <c r="B43">
        <v>22</v>
      </c>
    </row>
    <row r="44" spans="1:13" x14ac:dyDescent="0.3">
      <c r="A44">
        <v>26</v>
      </c>
      <c r="B44">
        <v>22</v>
      </c>
    </row>
    <row r="45" spans="1:13" x14ac:dyDescent="0.3">
      <c r="A45">
        <v>27</v>
      </c>
      <c r="B45">
        <v>22</v>
      </c>
    </row>
    <row r="46" spans="1:13" x14ac:dyDescent="0.3">
      <c r="A46">
        <v>30</v>
      </c>
      <c r="B46">
        <v>22</v>
      </c>
    </row>
    <row r="47" spans="1:13" x14ac:dyDescent="0.3">
      <c r="A47">
        <v>41</v>
      </c>
      <c r="B47">
        <v>22</v>
      </c>
    </row>
    <row r="48" spans="1:13" x14ac:dyDescent="0.3">
      <c r="A48">
        <v>34</v>
      </c>
      <c r="B48">
        <v>22</v>
      </c>
    </row>
    <row r="49" spans="1:2" x14ac:dyDescent="0.3">
      <c r="A49">
        <v>37</v>
      </c>
      <c r="B49">
        <v>22</v>
      </c>
    </row>
    <row r="50" spans="1:2" x14ac:dyDescent="0.3">
      <c r="A50">
        <v>46</v>
      </c>
      <c r="B50">
        <v>22</v>
      </c>
    </row>
    <row r="51" spans="1:2" x14ac:dyDescent="0.3">
      <c r="A51">
        <v>35</v>
      </c>
      <c r="B51">
        <v>22</v>
      </c>
    </row>
    <row r="52" spans="1:2" x14ac:dyDescent="0.3">
      <c r="A52">
        <v>48</v>
      </c>
      <c r="B52">
        <v>22</v>
      </c>
    </row>
    <row r="53" spans="1:2" x14ac:dyDescent="0.3">
      <c r="A53">
        <v>28</v>
      </c>
      <c r="B53">
        <v>22</v>
      </c>
    </row>
    <row r="54" spans="1:2" x14ac:dyDescent="0.3">
      <c r="A54">
        <v>44</v>
      </c>
      <c r="B54">
        <v>22</v>
      </c>
    </row>
    <row r="55" spans="1:2" x14ac:dyDescent="0.3">
      <c r="A55">
        <v>35</v>
      </c>
      <c r="B55">
        <v>22</v>
      </c>
    </row>
    <row r="56" spans="1:2" x14ac:dyDescent="0.3">
      <c r="A56">
        <v>26</v>
      </c>
      <c r="B56">
        <v>22</v>
      </c>
    </row>
    <row r="57" spans="1:2" x14ac:dyDescent="0.3">
      <c r="A57">
        <v>33</v>
      </c>
      <c r="B57">
        <v>22</v>
      </c>
    </row>
    <row r="58" spans="1:2" x14ac:dyDescent="0.3">
      <c r="A58">
        <v>35</v>
      </c>
      <c r="B58">
        <v>22</v>
      </c>
    </row>
    <row r="59" spans="1:2" x14ac:dyDescent="0.3">
      <c r="A59">
        <v>35</v>
      </c>
      <c r="B59">
        <v>23</v>
      </c>
    </row>
    <row r="60" spans="1:2" x14ac:dyDescent="0.3">
      <c r="A60">
        <v>31</v>
      </c>
      <c r="B60">
        <v>23</v>
      </c>
    </row>
    <row r="61" spans="1:2" x14ac:dyDescent="0.3">
      <c r="A61">
        <v>37</v>
      </c>
      <c r="B61">
        <v>23</v>
      </c>
    </row>
    <row r="62" spans="1:2" x14ac:dyDescent="0.3">
      <c r="A62">
        <v>32</v>
      </c>
      <c r="B62">
        <v>23</v>
      </c>
    </row>
    <row r="63" spans="1:2" x14ac:dyDescent="0.3">
      <c r="A63">
        <v>38</v>
      </c>
      <c r="B63">
        <v>23</v>
      </c>
    </row>
    <row r="64" spans="1:2" x14ac:dyDescent="0.3">
      <c r="A64">
        <v>50</v>
      </c>
      <c r="B64">
        <v>23</v>
      </c>
    </row>
    <row r="65" spans="1:2" x14ac:dyDescent="0.3">
      <c r="A65">
        <v>59</v>
      </c>
      <c r="B65">
        <v>23</v>
      </c>
    </row>
    <row r="66" spans="1:2" x14ac:dyDescent="0.3">
      <c r="A66">
        <v>36</v>
      </c>
      <c r="B66">
        <v>23</v>
      </c>
    </row>
    <row r="67" spans="1:2" x14ac:dyDescent="0.3">
      <c r="A67">
        <v>55</v>
      </c>
      <c r="B67">
        <v>23</v>
      </c>
    </row>
    <row r="68" spans="1:2" x14ac:dyDescent="0.3">
      <c r="A68">
        <v>36</v>
      </c>
      <c r="B68">
        <v>23</v>
      </c>
    </row>
    <row r="69" spans="1:2" x14ac:dyDescent="0.3">
      <c r="A69">
        <v>45</v>
      </c>
      <c r="B69">
        <v>23</v>
      </c>
    </row>
    <row r="70" spans="1:2" x14ac:dyDescent="0.3">
      <c r="A70">
        <v>35</v>
      </c>
      <c r="B70">
        <v>23</v>
      </c>
    </row>
    <row r="71" spans="1:2" x14ac:dyDescent="0.3">
      <c r="A71">
        <v>36</v>
      </c>
      <c r="B71">
        <v>23</v>
      </c>
    </row>
    <row r="72" spans="1:2" x14ac:dyDescent="0.3">
      <c r="A72">
        <v>59</v>
      </c>
      <c r="B72">
        <v>23</v>
      </c>
    </row>
    <row r="73" spans="1:2" x14ac:dyDescent="0.3">
      <c r="A73">
        <v>29</v>
      </c>
      <c r="B73">
        <v>24</v>
      </c>
    </row>
    <row r="74" spans="1:2" x14ac:dyDescent="0.3">
      <c r="A74">
        <v>31</v>
      </c>
      <c r="B74">
        <v>24</v>
      </c>
    </row>
    <row r="75" spans="1:2" x14ac:dyDescent="0.3">
      <c r="A75">
        <v>32</v>
      </c>
      <c r="B75">
        <v>24</v>
      </c>
    </row>
    <row r="76" spans="1:2" x14ac:dyDescent="0.3">
      <c r="A76">
        <v>36</v>
      </c>
      <c r="B76">
        <v>24</v>
      </c>
    </row>
    <row r="77" spans="1:2" x14ac:dyDescent="0.3">
      <c r="A77">
        <v>31</v>
      </c>
      <c r="B77">
        <v>24</v>
      </c>
    </row>
    <row r="78" spans="1:2" x14ac:dyDescent="0.3">
      <c r="A78">
        <v>35</v>
      </c>
      <c r="B78">
        <v>24</v>
      </c>
    </row>
    <row r="79" spans="1:2" x14ac:dyDescent="0.3">
      <c r="A79">
        <v>45</v>
      </c>
      <c r="B79">
        <v>24</v>
      </c>
    </row>
    <row r="80" spans="1:2" x14ac:dyDescent="0.3">
      <c r="A80">
        <v>37</v>
      </c>
      <c r="B80">
        <v>24</v>
      </c>
    </row>
    <row r="81" spans="1:2" x14ac:dyDescent="0.3">
      <c r="A81">
        <v>46</v>
      </c>
      <c r="B81">
        <v>24</v>
      </c>
    </row>
    <row r="82" spans="1:2" x14ac:dyDescent="0.3">
      <c r="A82">
        <v>30</v>
      </c>
      <c r="B82">
        <v>24</v>
      </c>
    </row>
    <row r="83" spans="1:2" x14ac:dyDescent="0.3">
      <c r="A83">
        <v>35</v>
      </c>
      <c r="B83">
        <v>24</v>
      </c>
    </row>
    <row r="84" spans="1:2" x14ac:dyDescent="0.3">
      <c r="A84">
        <v>55</v>
      </c>
      <c r="B84">
        <v>24</v>
      </c>
    </row>
    <row r="85" spans="1:2" x14ac:dyDescent="0.3">
      <c r="A85">
        <v>38</v>
      </c>
      <c r="B85">
        <v>24</v>
      </c>
    </row>
    <row r="86" spans="1:2" x14ac:dyDescent="0.3">
      <c r="A86">
        <v>34</v>
      </c>
      <c r="B86">
        <v>24</v>
      </c>
    </row>
    <row r="87" spans="1:2" x14ac:dyDescent="0.3">
      <c r="A87">
        <v>56</v>
      </c>
      <c r="B87">
        <v>24</v>
      </c>
    </row>
    <row r="88" spans="1:2" x14ac:dyDescent="0.3">
      <c r="A88">
        <v>23</v>
      </c>
      <c r="B88">
        <v>24</v>
      </c>
    </row>
    <row r="89" spans="1:2" x14ac:dyDescent="0.3">
      <c r="A89">
        <v>51</v>
      </c>
      <c r="B89">
        <v>24</v>
      </c>
    </row>
    <row r="90" spans="1:2" x14ac:dyDescent="0.3">
      <c r="A90">
        <v>30</v>
      </c>
      <c r="B90">
        <v>24</v>
      </c>
    </row>
    <row r="91" spans="1:2" x14ac:dyDescent="0.3">
      <c r="A91">
        <v>46</v>
      </c>
      <c r="B91">
        <v>24</v>
      </c>
    </row>
    <row r="92" spans="1:2" x14ac:dyDescent="0.3">
      <c r="A92">
        <v>40</v>
      </c>
      <c r="B92">
        <v>24</v>
      </c>
    </row>
    <row r="93" spans="1:2" x14ac:dyDescent="0.3">
      <c r="A93">
        <v>51</v>
      </c>
      <c r="B93">
        <v>24</v>
      </c>
    </row>
    <row r="94" spans="1:2" x14ac:dyDescent="0.3">
      <c r="A94">
        <v>30</v>
      </c>
      <c r="B94">
        <v>24</v>
      </c>
    </row>
    <row r="95" spans="1:2" x14ac:dyDescent="0.3">
      <c r="A95">
        <v>46</v>
      </c>
      <c r="B95">
        <v>24</v>
      </c>
    </row>
    <row r="96" spans="1:2" x14ac:dyDescent="0.3">
      <c r="A96">
        <v>32</v>
      </c>
      <c r="B96">
        <v>24</v>
      </c>
    </row>
    <row r="97" spans="1:2" x14ac:dyDescent="0.3">
      <c r="A97">
        <v>54</v>
      </c>
      <c r="B97">
        <v>24</v>
      </c>
    </row>
    <row r="98" spans="1:2" x14ac:dyDescent="0.3">
      <c r="A98">
        <v>24</v>
      </c>
      <c r="B98">
        <v>24</v>
      </c>
    </row>
    <row r="99" spans="1:2" x14ac:dyDescent="0.3">
      <c r="A99">
        <v>28</v>
      </c>
      <c r="B99">
        <v>25</v>
      </c>
    </row>
    <row r="100" spans="1:2" x14ac:dyDescent="0.3">
      <c r="A100">
        <v>58</v>
      </c>
      <c r="B100">
        <v>25</v>
      </c>
    </row>
    <row r="101" spans="1:2" x14ac:dyDescent="0.3">
      <c r="A101">
        <v>44</v>
      </c>
      <c r="B101">
        <v>25</v>
      </c>
    </row>
    <row r="102" spans="1:2" x14ac:dyDescent="0.3">
      <c r="A102">
        <v>37</v>
      </c>
      <c r="B102">
        <v>25</v>
      </c>
    </row>
    <row r="103" spans="1:2" x14ac:dyDescent="0.3">
      <c r="A103">
        <v>32</v>
      </c>
      <c r="B103">
        <v>25</v>
      </c>
    </row>
    <row r="104" spans="1:2" x14ac:dyDescent="0.3">
      <c r="A104">
        <v>20</v>
      </c>
      <c r="B104">
        <v>25</v>
      </c>
    </row>
    <row r="105" spans="1:2" x14ac:dyDescent="0.3">
      <c r="A105">
        <v>34</v>
      </c>
      <c r="B105">
        <v>25</v>
      </c>
    </row>
    <row r="106" spans="1:2" x14ac:dyDescent="0.3">
      <c r="A106">
        <v>37</v>
      </c>
      <c r="B106">
        <v>25</v>
      </c>
    </row>
    <row r="107" spans="1:2" x14ac:dyDescent="0.3">
      <c r="A107">
        <v>59</v>
      </c>
      <c r="B107">
        <v>25</v>
      </c>
    </row>
    <row r="108" spans="1:2" x14ac:dyDescent="0.3">
      <c r="A108">
        <v>50</v>
      </c>
      <c r="B108">
        <v>25</v>
      </c>
    </row>
    <row r="109" spans="1:2" x14ac:dyDescent="0.3">
      <c r="A109">
        <v>25</v>
      </c>
      <c r="B109">
        <v>25</v>
      </c>
    </row>
    <row r="110" spans="1:2" x14ac:dyDescent="0.3">
      <c r="A110">
        <v>25</v>
      </c>
      <c r="B110">
        <v>25</v>
      </c>
    </row>
    <row r="111" spans="1:2" x14ac:dyDescent="0.3">
      <c r="A111">
        <v>22</v>
      </c>
      <c r="B111">
        <v>25</v>
      </c>
    </row>
    <row r="112" spans="1:2" x14ac:dyDescent="0.3">
      <c r="A112">
        <v>51</v>
      </c>
      <c r="B112">
        <v>25</v>
      </c>
    </row>
    <row r="113" spans="1:2" x14ac:dyDescent="0.3">
      <c r="A113">
        <v>34</v>
      </c>
      <c r="B113">
        <v>25</v>
      </c>
    </row>
    <row r="114" spans="1:2" x14ac:dyDescent="0.3">
      <c r="A114">
        <v>54</v>
      </c>
      <c r="B114">
        <v>25</v>
      </c>
    </row>
    <row r="115" spans="1:2" x14ac:dyDescent="0.3">
      <c r="A115">
        <v>24</v>
      </c>
      <c r="B115">
        <v>25</v>
      </c>
    </row>
    <row r="116" spans="1:2" x14ac:dyDescent="0.3">
      <c r="A116">
        <v>34</v>
      </c>
      <c r="B116">
        <v>25</v>
      </c>
    </row>
    <row r="117" spans="1:2" x14ac:dyDescent="0.3">
      <c r="A117">
        <v>37</v>
      </c>
      <c r="B117">
        <v>25</v>
      </c>
    </row>
    <row r="118" spans="1:2" x14ac:dyDescent="0.3">
      <c r="A118">
        <v>34</v>
      </c>
      <c r="B118">
        <v>25</v>
      </c>
    </row>
    <row r="119" spans="1:2" x14ac:dyDescent="0.3">
      <c r="A119">
        <v>36</v>
      </c>
      <c r="B119">
        <v>25</v>
      </c>
    </row>
    <row r="120" spans="1:2" x14ac:dyDescent="0.3">
      <c r="A120">
        <v>36</v>
      </c>
      <c r="B120">
        <v>25</v>
      </c>
    </row>
    <row r="121" spans="1:2" x14ac:dyDescent="0.3">
      <c r="A121">
        <v>43</v>
      </c>
      <c r="B121">
        <v>25</v>
      </c>
    </row>
    <row r="122" spans="1:2" x14ac:dyDescent="0.3">
      <c r="A122">
        <v>30</v>
      </c>
      <c r="B122">
        <v>25</v>
      </c>
    </row>
    <row r="123" spans="1:2" x14ac:dyDescent="0.3">
      <c r="A123">
        <v>33</v>
      </c>
      <c r="B123">
        <v>25</v>
      </c>
    </row>
    <row r="124" spans="1:2" x14ac:dyDescent="0.3">
      <c r="A124">
        <v>56</v>
      </c>
      <c r="B124">
        <v>25</v>
      </c>
    </row>
    <row r="125" spans="1:2" x14ac:dyDescent="0.3">
      <c r="A125">
        <v>51</v>
      </c>
      <c r="B125">
        <v>26</v>
      </c>
    </row>
    <row r="126" spans="1:2" x14ac:dyDescent="0.3">
      <c r="A126">
        <v>31</v>
      </c>
      <c r="B126">
        <v>26</v>
      </c>
    </row>
    <row r="127" spans="1:2" x14ac:dyDescent="0.3">
      <c r="A127">
        <v>26</v>
      </c>
      <c r="B127">
        <v>26</v>
      </c>
    </row>
    <row r="128" spans="1:2" x14ac:dyDescent="0.3">
      <c r="A128">
        <v>58</v>
      </c>
      <c r="B128">
        <v>26</v>
      </c>
    </row>
    <row r="129" spans="1:2" x14ac:dyDescent="0.3">
      <c r="A129">
        <v>19</v>
      </c>
      <c r="B129">
        <v>26</v>
      </c>
    </row>
    <row r="130" spans="1:2" x14ac:dyDescent="0.3">
      <c r="A130">
        <v>22</v>
      </c>
      <c r="B130">
        <v>26</v>
      </c>
    </row>
    <row r="131" spans="1:2" x14ac:dyDescent="0.3">
      <c r="A131">
        <v>49</v>
      </c>
      <c r="B131">
        <v>26</v>
      </c>
    </row>
    <row r="132" spans="1:2" x14ac:dyDescent="0.3">
      <c r="A132">
        <v>43</v>
      </c>
      <c r="B132">
        <v>26</v>
      </c>
    </row>
    <row r="133" spans="1:2" x14ac:dyDescent="0.3">
      <c r="A133">
        <v>50</v>
      </c>
      <c r="B133">
        <v>26</v>
      </c>
    </row>
    <row r="134" spans="1:2" x14ac:dyDescent="0.3">
      <c r="A134">
        <v>31</v>
      </c>
      <c r="B134">
        <v>26</v>
      </c>
    </row>
    <row r="135" spans="1:2" x14ac:dyDescent="0.3">
      <c r="A135">
        <v>41</v>
      </c>
      <c r="B135">
        <v>26</v>
      </c>
    </row>
    <row r="136" spans="1:2" x14ac:dyDescent="0.3">
      <c r="A136">
        <v>26</v>
      </c>
      <c r="B136">
        <v>26</v>
      </c>
    </row>
    <row r="137" spans="1:2" x14ac:dyDescent="0.3">
      <c r="A137">
        <v>36</v>
      </c>
      <c r="B137">
        <v>26</v>
      </c>
    </row>
    <row r="138" spans="1:2" x14ac:dyDescent="0.3">
      <c r="A138">
        <v>51</v>
      </c>
      <c r="B138">
        <v>26</v>
      </c>
    </row>
    <row r="139" spans="1:2" x14ac:dyDescent="0.3">
      <c r="A139">
        <v>39</v>
      </c>
      <c r="B139">
        <v>26</v>
      </c>
    </row>
    <row r="140" spans="1:2" x14ac:dyDescent="0.3">
      <c r="A140">
        <v>25</v>
      </c>
      <c r="B140">
        <v>26</v>
      </c>
    </row>
    <row r="141" spans="1:2" x14ac:dyDescent="0.3">
      <c r="A141">
        <v>30</v>
      </c>
      <c r="B141">
        <v>26</v>
      </c>
    </row>
    <row r="142" spans="1:2" x14ac:dyDescent="0.3">
      <c r="A142">
        <v>32</v>
      </c>
      <c r="B142">
        <v>26</v>
      </c>
    </row>
    <row r="143" spans="1:2" x14ac:dyDescent="0.3">
      <c r="A143">
        <v>45</v>
      </c>
      <c r="B143">
        <v>26</v>
      </c>
    </row>
    <row r="144" spans="1:2" x14ac:dyDescent="0.3">
      <c r="A144">
        <v>38</v>
      </c>
      <c r="B144">
        <v>26</v>
      </c>
    </row>
    <row r="145" spans="1:2" x14ac:dyDescent="0.3">
      <c r="A145">
        <v>30</v>
      </c>
      <c r="B145">
        <v>26</v>
      </c>
    </row>
    <row r="146" spans="1:2" x14ac:dyDescent="0.3">
      <c r="A146">
        <v>32</v>
      </c>
      <c r="B146">
        <v>26</v>
      </c>
    </row>
    <row r="147" spans="1:2" x14ac:dyDescent="0.3">
      <c r="A147">
        <v>30</v>
      </c>
      <c r="B147">
        <v>26</v>
      </c>
    </row>
    <row r="148" spans="1:2" x14ac:dyDescent="0.3">
      <c r="A148">
        <v>30</v>
      </c>
      <c r="B148">
        <v>26</v>
      </c>
    </row>
    <row r="149" spans="1:2" x14ac:dyDescent="0.3">
      <c r="A149">
        <v>41</v>
      </c>
      <c r="B149">
        <v>26</v>
      </c>
    </row>
    <row r="150" spans="1:2" x14ac:dyDescent="0.3">
      <c r="A150">
        <v>41</v>
      </c>
      <c r="B150">
        <v>26</v>
      </c>
    </row>
    <row r="151" spans="1:2" x14ac:dyDescent="0.3">
      <c r="A151">
        <v>19</v>
      </c>
      <c r="B151">
        <v>26</v>
      </c>
    </row>
    <row r="152" spans="1:2" x14ac:dyDescent="0.3">
      <c r="A152">
        <v>40</v>
      </c>
      <c r="B152">
        <v>26</v>
      </c>
    </row>
    <row r="153" spans="1:2" x14ac:dyDescent="0.3">
      <c r="A153">
        <v>35</v>
      </c>
      <c r="B153">
        <v>26</v>
      </c>
    </row>
    <row r="154" spans="1:2" x14ac:dyDescent="0.3">
      <c r="A154">
        <v>53</v>
      </c>
      <c r="B154">
        <v>26</v>
      </c>
    </row>
    <row r="155" spans="1:2" x14ac:dyDescent="0.3">
      <c r="A155">
        <v>45</v>
      </c>
      <c r="B155">
        <v>26</v>
      </c>
    </row>
    <row r="156" spans="1:2" x14ac:dyDescent="0.3">
      <c r="A156">
        <v>32</v>
      </c>
      <c r="B156">
        <v>26</v>
      </c>
    </row>
    <row r="157" spans="1:2" x14ac:dyDescent="0.3">
      <c r="A157">
        <v>29</v>
      </c>
      <c r="B157">
        <v>26</v>
      </c>
    </row>
    <row r="158" spans="1:2" x14ac:dyDescent="0.3">
      <c r="A158">
        <v>51</v>
      </c>
      <c r="B158">
        <v>26</v>
      </c>
    </row>
    <row r="159" spans="1:2" x14ac:dyDescent="0.3">
      <c r="A159">
        <v>58</v>
      </c>
      <c r="B159">
        <v>26</v>
      </c>
    </row>
    <row r="160" spans="1:2" x14ac:dyDescent="0.3">
      <c r="A160">
        <v>40</v>
      </c>
      <c r="B160">
        <v>26</v>
      </c>
    </row>
    <row r="161" spans="1:2" x14ac:dyDescent="0.3">
      <c r="A161">
        <v>34</v>
      </c>
      <c r="B161">
        <v>26</v>
      </c>
    </row>
    <row r="162" spans="1:2" x14ac:dyDescent="0.3">
      <c r="A162">
        <v>22</v>
      </c>
      <c r="B162">
        <v>26</v>
      </c>
    </row>
    <row r="163" spans="1:2" x14ac:dyDescent="0.3">
      <c r="A163">
        <v>27</v>
      </c>
      <c r="B163">
        <v>26</v>
      </c>
    </row>
    <row r="164" spans="1:2" x14ac:dyDescent="0.3">
      <c r="A164">
        <v>28</v>
      </c>
      <c r="B164">
        <v>27</v>
      </c>
    </row>
    <row r="165" spans="1:2" x14ac:dyDescent="0.3">
      <c r="A165">
        <v>57</v>
      </c>
      <c r="B165">
        <v>27</v>
      </c>
    </row>
    <row r="166" spans="1:2" x14ac:dyDescent="0.3">
      <c r="A166">
        <v>27</v>
      </c>
      <c r="B166">
        <v>27</v>
      </c>
    </row>
    <row r="167" spans="1:2" x14ac:dyDescent="0.3">
      <c r="A167">
        <v>50</v>
      </c>
      <c r="B167">
        <v>27</v>
      </c>
    </row>
    <row r="168" spans="1:2" x14ac:dyDescent="0.3">
      <c r="A168">
        <v>41</v>
      </c>
      <c r="B168">
        <v>27</v>
      </c>
    </row>
    <row r="169" spans="1:2" x14ac:dyDescent="0.3">
      <c r="A169">
        <v>30</v>
      </c>
      <c r="B169">
        <v>27</v>
      </c>
    </row>
    <row r="170" spans="1:2" x14ac:dyDescent="0.3">
      <c r="A170">
        <v>38</v>
      </c>
      <c r="B170">
        <v>27</v>
      </c>
    </row>
    <row r="171" spans="1:2" x14ac:dyDescent="0.3">
      <c r="A171">
        <v>32</v>
      </c>
      <c r="B171">
        <v>27</v>
      </c>
    </row>
    <row r="172" spans="1:2" x14ac:dyDescent="0.3">
      <c r="A172">
        <v>27</v>
      </c>
      <c r="B172">
        <v>27</v>
      </c>
    </row>
    <row r="173" spans="1:2" x14ac:dyDescent="0.3">
      <c r="A173">
        <v>19</v>
      </c>
      <c r="B173">
        <v>27</v>
      </c>
    </row>
    <row r="174" spans="1:2" x14ac:dyDescent="0.3">
      <c r="A174">
        <v>36</v>
      </c>
      <c r="B174">
        <v>27</v>
      </c>
    </row>
    <row r="175" spans="1:2" x14ac:dyDescent="0.3">
      <c r="A175">
        <v>30</v>
      </c>
      <c r="B175">
        <v>27</v>
      </c>
    </row>
    <row r="176" spans="1:2" x14ac:dyDescent="0.3">
      <c r="A176">
        <v>45</v>
      </c>
      <c r="B176">
        <v>27</v>
      </c>
    </row>
    <row r="177" spans="1:2" x14ac:dyDescent="0.3">
      <c r="A177">
        <v>56</v>
      </c>
      <c r="B177">
        <v>27</v>
      </c>
    </row>
    <row r="178" spans="1:2" x14ac:dyDescent="0.3">
      <c r="A178">
        <v>33</v>
      </c>
      <c r="B178">
        <v>27</v>
      </c>
    </row>
    <row r="179" spans="1:2" x14ac:dyDescent="0.3">
      <c r="A179">
        <v>19</v>
      </c>
      <c r="B179">
        <v>27</v>
      </c>
    </row>
    <row r="180" spans="1:2" x14ac:dyDescent="0.3">
      <c r="A180">
        <v>46</v>
      </c>
      <c r="B180">
        <v>27</v>
      </c>
    </row>
    <row r="181" spans="1:2" x14ac:dyDescent="0.3">
      <c r="A181">
        <v>38</v>
      </c>
      <c r="B181">
        <v>27</v>
      </c>
    </row>
    <row r="182" spans="1:2" x14ac:dyDescent="0.3">
      <c r="A182">
        <v>31</v>
      </c>
      <c r="B182">
        <v>27</v>
      </c>
    </row>
    <row r="183" spans="1:2" x14ac:dyDescent="0.3">
      <c r="A183">
        <v>34</v>
      </c>
      <c r="B183">
        <v>27</v>
      </c>
    </row>
    <row r="184" spans="1:2" x14ac:dyDescent="0.3">
      <c r="A184">
        <v>41</v>
      </c>
      <c r="B184">
        <v>27</v>
      </c>
    </row>
    <row r="185" spans="1:2" x14ac:dyDescent="0.3">
      <c r="A185">
        <v>50</v>
      </c>
      <c r="B185">
        <v>27</v>
      </c>
    </row>
    <row r="186" spans="1:2" x14ac:dyDescent="0.3">
      <c r="A186">
        <v>53</v>
      </c>
      <c r="B186">
        <v>27</v>
      </c>
    </row>
    <row r="187" spans="1:2" x14ac:dyDescent="0.3">
      <c r="A187">
        <v>33</v>
      </c>
      <c r="B187">
        <v>27</v>
      </c>
    </row>
    <row r="188" spans="1:2" x14ac:dyDescent="0.3">
      <c r="A188">
        <v>40</v>
      </c>
      <c r="B188">
        <v>27</v>
      </c>
    </row>
    <row r="189" spans="1:2" x14ac:dyDescent="0.3">
      <c r="A189">
        <v>55</v>
      </c>
      <c r="B189">
        <v>27</v>
      </c>
    </row>
    <row r="190" spans="1:2" x14ac:dyDescent="0.3">
      <c r="A190">
        <v>34</v>
      </c>
      <c r="B190">
        <v>27</v>
      </c>
    </row>
    <row r="191" spans="1:2" x14ac:dyDescent="0.3">
      <c r="A191">
        <v>51</v>
      </c>
      <c r="B191">
        <v>27</v>
      </c>
    </row>
    <row r="192" spans="1:2" x14ac:dyDescent="0.3">
      <c r="A192">
        <v>52</v>
      </c>
      <c r="B192">
        <v>27</v>
      </c>
    </row>
    <row r="193" spans="1:2" x14ac:dyDescent="0.3">
      <c r="A193">
        <v>27</v>
      </c>
      <c r="B193">
        <v>27</v>
      </c>
    </row>
    <row r="194" spans="1:2" x14ac:dyDescent="0.3">
      <c r="A194">
        <v>35</v>
      </c>
      <c r="B194">
        <v>27</v>
      </c>
    </row>
    <row r="195" spans="1:2" x14ac:dyDescent="0.3">
      <c r="A195">
        <v>43</v>
      </c>
      <c r="B195">
        <v>27</v>
      </c>
    </row>
    <row r="196" spans="1:2" x14ac:dyDescent="0.3">
      <c r="A196">
        <v>45</v>
      </c>
      <c r="B196">
        <v>27</v>
      </c>
    </row>
    <row r="197" spans="1:2" x14ac:dyDescent="0.3">
      <c r="A197">
        <v>37</v>
      </c>
      <c r="B197">
        <v>27</v>
      </c>
    </row>
    <row r="198" spans="1:2" x14ac:dyDescent="0.3">
      <c r="A198">
        <v>35</v>
      </c>
      <c r="B198">
        <v>27</v>
      </c>
    </row>
    <row r="199" spans="1:2" x14ac:dyDescent="0.3">
      <c r="A199">
        <v>42</v>
      </c>
      <c r="B199">
        <v>27</v>
      </c>
    </row>
    <row r="200" spans="1:2" x14ac:dyDescent="0.3">
      <c r="A200">
        <v>38</v>
      </c>
      <c r="B200">
        <v>27</v>
      </c>
    </row>
    <row r="201" spans="1:2" x14ac:dyDescent="0.3">
      <c r="A201">
        <v>38</v>
      </c>
      <c r="B201">
        <v>27</v>
      </c>
    </row>
    <row r="202" spans="1:2" x14ac:dyDescent="0.3">
      <c r="A202">
        <v>27</v>
      </c>
      <c r="B202">
        <v>27</v>
      </c>
    </row>
    <row r="203" spans="1:2" x14ac:dyDescent="0.3">
      <c r="A203">
        <v>49</v>
      </c>
      <c r="B203">
        <v>27</v>
      </c>
    </row>
    <row r="204" spans="1:2" x14ac:dyDescent="0.3">
      <c r="A204">
        <v>34</v>
      </c>
      <c r="B204">
        <v>27</v>
      </c>
    </row>
    <row r="205" spans="1:2" x14ac:dyDescent="0.3">
      <c r="A205">
        <v>40</v>
      </c>
      <c r="B205">
        <v>27</v>
      </c>
    </row>
    <row r="206" spans="1:2" x14ac:dyDescent="0.3">
      <c r="A206">
        <v>38</v>
      </c>
      <c r="B206">
        <v>27</v>
      </c>
    </row>
    <row r="207" spans="1:2" x14ac:dyDescent="0.3">
      <c r="A207">
        <v>29</v>
      </c>
      <c r="B207">
        <v>27</v>
      </c>
    </row>
    <row r="208" spans="1:2" x14ac:dyDescent="0.3">
      <c r="A208">
        <v>22</v>
      </c>
      <c r="B208">
        <v>27</v>
      </c>
    </row>
    <row r="209" spans="1:2" x14ac:dyDescent="0.3">
      <c r="A209">
        <v>36</v>
      </c>
      <c r="B209">
        <v>27</v>
      </c>
    </row>
    <row r="210" spans="1:2" x14ac:dyDescent="0.3">
      <c r="A210">
        <v>40</v>
      </c>
      <c r="B210">
        <v>27</v>
      </c>
    </row>
    <row r="211" spans="1:2" x14ac:dyDescent="0.3">
      <c r="A211">
        <v>46</v>
      </c>
      <c r="B211">
        <v>27</v>
      </c>
    </row>
    <row r="212" spans="1:2" x14ac:dyDescent="0.3">
      <c r="A212">
        <v>32</v>
      </c>
      <c r="B212">
        <v>28</v>
      </c>
    </row>
    <row r="213" spans="1:2" x14ac:dyDescent="0.3">
      <c r="A213">
        <v>30</v>
      </c>
      <c r="B213">
        <v>28</v>
      </c>
    </row>
    <row r="214" spans="1:2" x14ac:dyDescent="0.3">
      <c r="A214">
        <v>27</v>
      </c>
      <c r="B214">
        <v>28</v>
      </c>
    </row>
    <row r="215" spans="1:2" x14ac:dyDescent="0.3">
      <c r="A215">
        <v>51</v>
      </c>
      <c r="B215">
        <v>28</v>
      </c>
    </row>
    <row r="216" spans="1:2" x14ac:dyDescent="0.3">
      <c r="A216">
        <v>30</v>
      </c>
      <c r="B216">
        <v>28</v>
      </c>
    </row>
    <row r="217" spans="1:2" x14ac:dyDescent="0.3">
      <c r="A217">
        <v>41</v>
      </c>
      <c r="B217">
        <v>28</v>
      </c>
    </row>
    <row r="218" spans="1:2" x14ac:dyDescent="0.3">
      <c r="A218">
        <v>30</v>
      </c>
      <c r="B218">
        <v>28</v>
      </c>
    </row>
    <row r="219" spans="1:2" x14ac:dyDescent="0.3">
      <c r="A219">
        <v>29</v>
      </c>
      <c r="B219">
        <v>28</v>
      </c>
    </row>
    <row r="220" spans="1:2" x14ac:dyDescent="0.3">
      <c r="A220">
        <v>45</v>
      </c>
      <c r="B220">
        <v>28</v>
      </c>
    </row>
    <row r="221" spans="1:2" x14ac:dyDescent="0.3">
      <c r="A221">
        <v>54</v>
      </c>
      <c r="B221">
        <v>28</v>
      </c>
    </row>
    <row r="222" spans="1:2" x14ac:dyDescent="0.3">
      <c r="A222">
        <v>36</v>
      </c>
      <c r="B222">
        <v>28</v>
      </c>
    </row>
    <row r="223" spans="1:2" x14ac:dyDescent="0.3">
      <c r="A223">
        <v>33</v>
      </c>
      <c r="B223">
        <v>28</v>
      </c>
    </row>
    <row r="224" spans="1:2" x14ac:dyDescent="0.3">
      <c r="A224">
        <v>37</v>
      </c>
      <c r="B224">
        <v>28</v>
      </c>
    </row>
    <row r="225" spans="1:2" x14ac:dyDescent="0.3">
      <c r="A225">
        <v>38</v>
      </c>
      <c r="B225">
        <v>28</v>
      </c>
    </row>
    <row r="226" spans="1:2" x14ac:dyDescent="0.3">
      <c r="A226">
        <v>31</v>
      </c>
      <c r="B226">
        <v>28</v>
      </c>
    </row>
    <row r="227" spans="1:2" x14ac:dyDescent="0.3">
      <c r="A227">
        <v>59</v>
      </c>
      <c r="B227">
        <v>28</v>
      </c>
    </row>
    <row r="228" spans="1:2" x14ac:dyDescent="0.3">
      <c r="A228">
        <v>37</v>
      </c>
      <c r="B228">
        <v>28</v>
      </c>
    </row>
    <row r="229" spans="1:2" x14ac:dyDescent="0.3">
      <c r="A229">
        <v>29</v>
      </c>
      <c r="B229">
        <v>28</v>
      </c>
    </row>
    <row r="230" spans="1:2" x14ac:dyDescent="0.3">
      <c r="A230">
        <v>35</v>
      </c>
      <c r="B230">
        <v>28</v>
      </c>
    </row>
    <row r="231" spans="1:2" x14ac:dyDescent="0.3">
      <c r="A231">
        <v>29</v>
      </c>
      <c r="B231">
        <v>28</v>
      </c>
    </row>
    <row r="232" spans="1:2" x14ac:dyDescent="0.3">
      <c r="A232">
        <v>52</v>
      </c>
      <c r="B232">
        <v>28</v>
      </c>
    </row>
    <row r="233" spans="1:2" x14ac:dyDescent="0.3">
      <c r="A233">
        <v>42</v>
      </c>
      <c r="B233">
        <v>28</v>
      </c>
    </row>
    <row r="234" spans="1:2" x14ac:dyDescent="0.3">
      <c r="A234">
        <v>59</v>
      </c>
      <c r="B234">
        <v>28</v>
      </c>
    </row>
    <row r="235" spans="1:2" x14ac:dyDescent="0.3">
      <c r="A235">
        <v>50</v>
      </c>
      <c r="B235">
        <v>28</v>
      </c>
    </row>
    <row r="236" spans="1:2" x14ac:dyDescent="0.3">
      <c r="A236">
        <v>33</v>
      </c>
      <c r="B236">
        <v>28</v>
      </c>
    </row>
    <row r="237" spans="1:2" x14ac:dyDescent="0.3">
      <c r="A237">
        <v>43</v>
      </c>
      <c r="B237">
        <v>28</v>
      </c>
    </row>
    <row r="238" spans="1:2" x14ac:dyDescent="0.3">
      <c r="A238">
        <v>33</v>
      </c>
      <c r="B238">
        <v>28</v>
      </c>
    </row>
    <row r="239" spans="1:2" x14ac:dyDescent="0.3">
      <c r="A239">
        <v>52</v>
      </c>
      <c r="B239">
        <v>28</v>
      </c>
    </row>
    <row r="240" spans="1:2" x14ac:dyDescent="0.3">
      <c r="A240">
        <v>32</v>
      </c>
      <c r="B240">
        <v>28</v>
      </c>
    </row>
    <row r="241" spans="1:2" x14ac:dyDescent="0.3">
      <c r="A241">
        <v>32</v>
      </c>
      <c r="B241">
        <v>28</v>
      </c>
    </row>
    <row r="242" spans="1:2" x14ac:dyDescent="0.3">
      <c r="A242">
        <v>39</v>
      </c>
      <c r="B242">
        <v>28</v>
      </c>
    </row>
    <row r="243" spans="1:2" x14ac:dyDescent="0.3">
      <c r="A243">
        <v>32</v>
      </c>
      <c r="B243">
        <v>28</v>
      </c>
    </row>
    <row r="244" spans="1:2" x14ac:dyDescent="0.3">
      <c r="A244">
        <v>41</v>
      </c>
      <c r="B244">
        <v>28</v>
      </c>
    </row>
    <row r="245" spans="1:2" x14ac:dyDescent="0.3">
      <c r="A245">
        <v>40</v>
      </c>
      <c r="B245">
        <v>28</v>
      </c>
    </row>
    <row r="246" spans="1:2" x14ac:dyDescent="0.3">
      <c r="A246">
        <v>45</v>
      </c>
      <c r="B246">
        <v>28</v>
      </c>
    </row>
    <row r="247" spans="1:2" x14ac:dyDescent="0.3">
      <c r="A247">
        <v>31</v>
      </c>
      <c r="B247">
        <v>28</v>
      </c>
    </row>
    <row r="248" spans="1:2" x14ac:dyDescent="0.3">
      <c r="A248">
        <v>33</v>
      </c>
      <c r="B248">
        <v>28</v>
      </c>
    </row>
    <row r="249" spans="1:2" x14ac:dyDescent="0.3">
      <c r="A249">
        <v>34</v>
      </c>
      <c r="B249">
        <v>28</v>
      </c>
    </row>
    <row r="250" spans="1:2" x14ac:dyDescent="0.3">
      <c r="A250">
        <v>37</v>
      </c>
      <c r="B250">
        <v>28</v>
      </c>
    </row>
    <row r="251" spans="1:2" x14ac:dyDescent="0.3">
      <c r="A251">
        <v>45</v>
      </c>
      <c r="B251">
        <v>28</v>
      </c>
    </row>
    <row r="252" spans="1:2" x14ac:dyDescent="0.3">
      <c r="A252">
        <v>37</v>
      </c>
      <c r="B252">
        <v>28</v>
      </c>
    </row>
    <row r="253" spans="1:2" x14ac:dyDescent="0.3">
      <c r="A253">
        <v>39</v>
      </c>
      <c r="B253">
        <v>28</v>
      </c>
    </row>
    <row r="254" spans="1:2" x14ac:dyDescent="0.3">
      <c r="A254">
        <v>29</v>
      </c>
      <c r="B254">
        <v>28</v>
      </c>
    </row>
    <row r="255" spans="1:2" x14ac:dyDescent="0.3">
      <c r="A255">
        <v>42</v>
      </c>
      <c r="B255">
        <v>28</v>
      </c>
    </row>
    <row r="256" spans="1:2" x14ac:dyDescent="0.3">
      <c r="A256">
        <v>29</v>
      </c>
      <c r="B256">
        <v>28</v>
      </c>
    </row>
    <row r="257" spans="1:2" x14ac:dyDescent="0.3">
      <c r="A257">
        <v>25</v>
      </c>
      <c r="B257">
        <v>28</v>
      </c>
    </row>
    <row r="258" spans="1:2" x14ac:dyDescent="0.3">
      <c r="A258">
        <v>42</v>
      </c>
      <c r="B258">
        <v>28</v>
      </c>
    </row>
    <row r="259" spans="1:2" x14ac:dyDescent="0.3">
      <c r="A259">
        <v>40</v>
      </c>
      <c r="B259">
        <v>28</v>
      </c>
    </row>
    <row r="260" spans="1:2" x14ac:dyDescent="0.3">
      <c r="A260">
        <v>51</v>
      </c>
      <c r="B260">
        <v>29</v>
      </c>
    </row>
    <row r="261" spans="1:2" x14ac:dyDescent="0.3">
      <c r="A261">
        <v>31</v>
      </c>
      <c r="B261">
        <v>29</v>
      </c>
    </row>
    <row r="262" spans="1:2" x14ac:dyDescent="0.3">
      <c r="A262">
        <v>32</v>
      </c>
      <c r="B262">
        <v>29</v>
      </c>
    </row>
    <row r="263" spans="1:2" x14ac:dyDescent="0.3">
      <c r="A263">
        <v>38</v>
      </c>
      <c r="B263">
        <v>29</v>
      </c>
    </row>
    <row r="264" spans="1:2" x14ac:dyDescent="0.3">
      <c r="A264">
        <v>32</v>
      </c>
      <c r="B264">
        <v>29</v>
      </c>
    </row>
    <row r="265" spans="1:2" x14ac:dyDescent="0.3">
      <c r="A265">
        <v>46</v>
      </c>
      <c r="B265">
        <v>29</v>
      </c>
    </row>
    <row r="266" spans="1:2" x14ac:dyDescent="0.3">
      <c r="A266">
        <v>28</v>
      </c>
      <c r="B266">
        <v>29</v>
      </c>
    </row>
    <row r="267" spans="1:2" x14ac:dyDescent="0.3">
      <c r="A267">
        <v>29</v>
      </c>
      <c r="B267">
        <v>29</v>
      </c>
    </row>
    <row r="268" spans="1:2" x14ac:dyDescent="0.3">
      <c r="A268">
        <v>31</v>
      </c>
      <c r="B268">
        <v>29</v>
      </c>
    </row>
    <row r="269" spans="1:2" x14ac:dyDescent="0.3">
      <c r="A269">
        <v>25</v>
      </c>
      <c r="B269">
        <v>29</v>
      </c>
    </row>
    <row r="270" spans="1:2" x14ac:dyDescent="0.3">
      <c r="A270">
        <v>45</v>
      </c>
      <c r="B270">
        <v>29</v>
      </c>
    </row>
    <row r="271" spans="1:2" x14ac:dyDescent="0.3">
      <c r="A271">
        <v>36</v>
      </c>
      <c r="B271">
        <v>29</v>
      </c>
    </row>
    <row r="272" spans="1:2" x14ac:dyDescent="0.3">
      <c r="A272">
        <v>55</v>
      </c>
      <c r="B272">
        <v>29</v>
      </c>
    </row>
    <row r="273" spans="1:2" x14ac:dyDescent="0.3">
      <c r="A273">
        <v>47</v>
      </c>
      <c r="B273">
        <v>29</v>
      </c>
    </row>
    <row r="274" spans="1:2" x14ac:dyDescent="0.3">
      <c r="A274">
        <v>28</v>
      </c>
      <c r="B274">
        <v>29</v>
      </c>
    </row>
    <row r="275" spans="1:2" x14ac:dyDescent="0.3">
      <c r="A275">
        <v>37</v>
      </c>
      <c r="B275">
        <v>29</v>
      </c>
    </row>
    <row r="276" spans="1:2" x14ac:dyDescent="0.3">
      <c r="A276">
        <v>21</v>
      </c>
      <c r="B276">
        <v>29</v>
      </c>
    </row>
    <row r="277" spans="1:2" x14ac:dyDescent="0.3">
      <c r="A277">
        <v>37</v>
      </c>
      <c r="B277">
        <v>29</v>
      </c>
    </row>
    <row r="278" spans="1:2" x14ac:dyDescent="0.3">
      <c r="A278">
        <v>35</v>
      </c>
      <c r="B278">
        <v>29</v>
      </c>
    </row>
    <row r="279" spans="1:2" x14ac:dyDescent="0.3">
      <c r="A279">
        <v>38</v>
      </c>
      <c r="B279">
        <v>29</v>
      </c>
    </row>
    <row r="280" spans="1:2" x14ac:dyDescent="0.3">
      <c r="A280">
        <v>26</v>
      </c>
      <c r="B280">
        <v>29</v>
      </c>
    </row>
    <row r="281" spans="1:2" x14ac:dyDescent="0.3">
      <c r="A281">
        <v>50</v>
      </c>
      <c r="B281">
        <v>29</v>
      </c>
    </row>
    <row r="282" spans="1:2" x14ac:dyDescent="0.3">
      <c r="A282">
        <v>53</v>
      </c>
      <c r="B282">
        <v>29</v>
      </c>
    </row>
    <row r="283" spans="1:2" x14ac:dyDescent="0.3">
      <c r="A283">
        <v>42</v>
      </c>
      <c r="B283">
        <v>29</v>
      </c>
    </row>
    <row r="284" spans="1:2" x14ac:dyDescent="0.3">
      <c r="A284">
        <v>29</v>
      </c>
      <c r="B284">
        <v>29</v>
      </c>
    </row>
    <row r="285" spans="1:2" x14ac:dyDescent="0.3">
      <c r="A285">
        <v>55</v>
      </c>
      <c r="B285">
        <v>29</v>
      </c>
    </row>
    <row r="286" spans="1:2" x14ac:dyDescent="0.3">
      <c r="A286">
        <v>26</v>
      </c>
      <c r="B286">
        <v>29</v>
      </c>
    </row>
    <row r="287" spans="1:2" x14ac:dyDescent="0.3">
      <c r="A287">
        <v>37</v>
      </c>
      <c r="B287">
        <v>29</v>
      </c>
    </row>
    <row r="288" spans="1:2" x14ac:dyDescent="0.3">
      <c r="A288">
        <v>44</v>
      </c>
      <c r="B288">
        <v>29</v>
      </c>
    </row>
    <row r="289" spans="1:2" x14ac:dyDescent="0.3">
      <c r="A289">
        <v>38</v>
      </c>
      <c r="B289">
        <v>29</v>
      </c>
    </row>
    <row r="290" spans="1:2" x14ac:dyDescent="0.3">
      <c r="A290">
        <v>26</v>
      </c>
      <c r="B290">
        <v>29</v>
      </c>
    </row>
    <row r="291" spans="1:2" x14ac:dyDescent="0.3">
      <c r="A291">
        <v>28</v>
      </c>
      <c r="B291">
        <v>29</v>
      </c>
    </row>
    <row r="292" spans="1:2" x14ac:dyDescent="0.3">
      <c r="A292">
        <v>49</v>
      </c>
      <c r="B292">
        <v>29</v>
      </c>
    </row>
    <row r="293" spans="1:2" x14ac:dyDescent="0.3">
      <c r="A293">
        <v>36</v>
      </c>
      <c r="B293">
        <v>29</v>
      </c>
    </row>
    <row r="294" spans="1:2" x14ac:dyDescent="0.3">
      <c r="A294">
        <v>31</v>
      </c>
      <c r="B294">
        <v>29</v>
      </c>
    </row>
    <row r="295" spans="1:2" x14ac:dyDescent="0.3">
      <c r="A295">
        <v>26</v>
      </c>
      <c r="B295">
        <v>29</v>
      </c>
    </row>
    <row r="296" spans="1:2" x14ac:dyDescent="0.3">
      <c r="A296">
        <v>37</v>
      </c>
      <c r="B296">
        <v>29</v>
      </c>
    </row>
    <row r="297" spans="1:2" x14ac:dyDescent="0.3">
      <c r="A297">
        <v>42</v>
      </c>
      <c r="B297">
        <v>29</v>
      </c>
    </row>
    <row r="298" spans="1:2" x14ac:dyDescent="0.3">
      <c r="A298">
        <v>18</v>
      </c>
      <c r="B298">
        <v>29</v>
      </c>
    </row>
    <row r="299" spans="1:2" x14ac:dyDescent="0.3">
      <c r="A299">
        <v>35</v>
      </c>
      <c r="B299">
        <v>29</v>
      </c>
    </row>
    <row r="300" spans="1:2" x14ac:dyDescent="0.3">
      <c r="A300">
        <v>36</v>
      </c>
      <c r="B300">
        <v>29</v>
      </c>
    </row>
    <row r="301" spans="1:2" x14ac:dyDescent="0.3">
      <c r="A301">
        <v>51</v>
      </c>
      <c r="B301">
        <v>29</v>
      </c>
    </row>
    <row r="302" spans="1:2" x14ac:dyDescent="0.3">
      <c r="A302">
        <v>41</v>
      </c>
      <c r="B302">
        <v>29</v>
      </c>
    </row>
    <row r="303" spans="1:2" x14ac:dyDescent="0.3">
      <c r="A303">
        <v>18</v>
      </c>
      <c r="B303">
        <v>29</v>
      </c>
    </row>
    <row r="304" spans="1:2" x14ac:dyDescent="0.3">
      <c r="A304">
        <v>28</v>
      </c>
      <c r="B304">
        <v>29</v>
      </c>
    </row>
    <row r="305" spans="1:2" x14ac:dyDescent="0.3">
      <c r="A305">
        <v>31</v>
      </c>
      <c r="B305">
        <v>29</v>
      </c>
    </row>
    <row r="306" spans="1:2" x14ac:dyDescent="0.3">
      <c r="A306">
        <v>39</v>
      </c>
      <c r="B306">
        <v>29</v>
      </c>
    </row>
    <row r="307" spans="1:2" x14ac:dyDescent="0.3">
      <c r="A307">
        <v>36</v>
      </c>
      <c r="B307">
        <v>29</v>
      </c>
    </row>
    <row r="308" spans="1:2" x14ac:dyDescent="0.3">
      <c r="A308">
        <v>32</v>
      </c>
      <c r="B308">
        <v>29</v>
      </c>
    </row>
    <row r="309" spans="1:2" x14ac:dyDescent="0.3">
      <c r="A309">
        <v>38</v>
      </c>
      <c r="B309">
        <v>29</v>
      </c>
    </row>
    <row r="310" spans="1:2" x14ac:dyDescent="0.3">
      <c r="A310">
        <v>58</v>
      </c>
      <c r="B310">
        <v>29</v>
      </c>
    </row>
    <row r="311" spans="1:2" x14ac:dyDescent="0.3">
      <c r="A311">
        <v>31</v>
      </c>
      <c r="B311">
        <v>29</v>
      </c>
    </row>
    <row r="312" spans="1:2" x14ac:dyDescent="0.3">
      <c r="A312">
        <v>31</v>
      </c>
      <c r="B312">
        <v>29</v>
      </c>
    </row>
    <row r="313" spans="1:2" x14ac:dyDescent="0.3">
      <c r="A313">
        <v>45</v>
      </c>
      <c r="B313">
        <v>29</v>
      </c>
    </row>
    <row r="314" spans="1:2" x14ac:dyDescent="0.3">
      <c r="A314">
        <v>31</v>
      </c>
      <c r="B314">
        <v>29</v>
      </c>
    </row>
    <row r="315" spans="1:2" x14ac:dyDescent="0.3">
      <c r="A315">
        <v>33</v>
      </c>
      <c r="B315">
        <v>29</v>
      </c>
    </row>
    <row r="316" spans="1:2" x14ac:dyDescent="0.3">
      <c r="A316">
        <v>39</v>
      </c>
      <c r="B316">
        <v>29</v>
      </c>
    </row>
    <row r="317" spans="1:2" x14ac:dyDescent="0.3">
      <c r="A317">
        <v>43</v>
      </c>
      <c r="B317">
        <v>29</v>
      </c>
    </row>
    <row r="318" spans="1:2" x14ac:dyDescent="0.3">
      <c r="A318">
        <v>49</v>
      </c>
      <c r="B318">
        <v>29</v>
      </c>
    </row>
    <row r="319" spans="1:2" x14ac:dyDescent="0.3">
      <c r="A319">
        <v>52</v>
      </c>
      <c r="B319">
        <v>29</v>
      </c>
    </row>
    <row r="320" spans="1:2" x14ac:dyDescent="0.3">
      <c r="A320">
        <v>27</v>
      </c>
      <c r="B320">
        <v>29</v>
      </c>
    </row>
    <row r="321" spans="1:2" x14ac:dyDescent="0.3">
      <c r="A321">
        <v>32</v>
      </c>
      <c r="B321">
        <v>29</v>
      </c>
    </row>
    <row r="322" spans="1:2" x14ac:dyDescent="0.3">
      <c r="A322">
        <v>27</v>
      </c>
      <c r="B322">
        <v>29</v>
      </c>
    </row>
    <row r="323" spans="1:2" x14ac:dyDescent="0.3">
      <c r="A323">
        <v>31</v>
      </c>
      <c r="B323">
        <v>29</v>
      </c>
    </row>
    <row r="324" spans="1:2" x14ac:dyDescent="0.3">
      <c r="A324">
        <v>32</v>
      </c>
      <c r="B324">
        <v>29</v>
      </c>
    </row>
    <row r="325" spans="1:2" x14ac:dyDescent="0.3">
      <c r="A325">
        <v>28</v>
      </c>
      <c r="B325">
        <v>29</v>
      </c>
    </row>
    <row r="326" spans="1:2" x14ac:dyDescent="0.3">
      <c r="A326">
        <v>30</v>
      </c>
      <c r="B326">
        <v>29</v>
      </c>
    </row>
    <row r="327" spans="1:2" x14ac:dyDescent="0.3">
      <c r="A327">
        <v>31</v>
      </c>
      <c r="B327">
        <v>29</v>
      </c>
    </row>
    <row r="328" spans="1:2" x14ac:dyDescent="0.3">
      <c r="A328">
        <v>39</v>
      </c>
      <c r="B328">
        <v>30</v>
      </c>
    </row>
    <row r="329" spans="1:2" x14ac:dyDescent="0.3">
      <c r="A329">
        <v>39</v>
      </c>
      <c r="B329">
        <v>30</v>
      </c>
    </row>
    <row r="330" spans="1:2" x14ac:dyDescent="0.3">
      <c r="A330">
        <v>33</v>
      </c>
      <c r="B330">
        <v>30</v>
      </c>
    </row>
    <row r="331" spans="1:2" x14ac:dyDescent="0.3">
      <c r="A331">
        <v>47</v>
      </c>
      <c r="B331">
        <v>30</v>
      </c>
    </row>
    <row r="332" spans="1:2" x14ac:dyDescent="0.3">
      <c r="A332">
        <v>43</v>
      </c>
      <c r="B332">
        <v>30</v>
      </c>
    </row>
    <row r="333" spans="1:2" x14ac:dyDescent="0.3">
      <c r="A333">
        <v>27</v>
      </c>
      <c r="B333">
        <v>30</v>
      </c>
    </row>
    <row r="334" spans="1:2" x14ac:dyDescent="0.3">
      <c r="A334">
        <v>54</v>
      </c>
      <c r="B334">
        <v>30</v>
      </c>
    </row>
    <row r="335" spans="1:2" x14ac:dyDescent="0.3">
      <c r="A335">
        <v>43</v>
      </c>
      <c r="B335">
        <v>30</v>
      </c>
    </row>
    <row r="336" spans="1:2" x14ac:dyDescent="0.3">
      <c r="A336">
        <v>45</v>
      </c>
      <c r="B336">
        <v>30</v>
      </c>
    </row>
    <row r="337" spans="1:2" x14ac:dyDescent="0.3">
      <c r="A337">
        <v>40</v>
      </c>
      <c r="B337">
        <v>30</v>
      </c>
    </row>
    <row r="338" spans="1:2" x14ac:dyDescent="0.3">
      <c r="A338">
        <v>29</v>
      </c>
      <c r="B338">
        <v>30</v>
      </c>
    </row>
    <row r="339" spans="1:2" x14ac:dyDescent="0.3">
      <c r="A339">
        <v>29</v>
      </c>
      <c r="B339">
        <v>30</v>
      </c>
    </row>
    <row r="340" spans="1:2" x14ac:dyDescent="0.3">
      <c r="A340">
        <v>30</v>
      </c>
      <c r="B340">
        <v>30</v>
      </c>
    </row>
    <row r="341" spans="1:2" x14ac:dyDescent="0.3">
      <c r="A341">
        <v>27</v>
      </c>
      <c r="B341">
        <v>30</v>
      </c>
    </row>
    <row r="342" spans="1:2" x14ac:dyDescent="0.3">
      <c r="A342">
        <v>37</v>
      </c>
      <c r="B342">
        <v>30</v>
      </c>
    </row>
    <row r="343" spans="1:2" x14ac:dyDescent="0.3">
      <c r="A343">
        <v>38</v>
      </c>
      <c r="B343">
        <v>30</v>
      </c>
    </row>
    <row r="344" spans="1:2" x14ac:dyDescent="0.3">
      <c r="A344">
        <v>31</v>
      </c>
      <c r="B344">
        <v>30</v>
      </c>
    </row>
    <row r="345" spans="1:2" x14ac:dyDescent="0.3">
      <c r="A345">
        <v>29</v>
      </c>
      <c r="B345">
        <v>30</v>
      </c>
    </row>
    <row r="346" spans="1:2" x14ac:dyDescent="0.3">
      <c r="A346">
        <v>35</v>
      </c>
      <c r="B346">
        <v>30</v>
      </c>
    </row>
    <row r="347" spans="1:2" x14ac:dyDescent="0.3">
      <c r="A347">
        <v>23</v>
      </c>
      <c r="B347">
        <v>30</v>
      </c>
    </row>
    <row r="348" spans="1:2" x14ac:dyDescent="0.3">
      <c r="A348">
        <v>41</v>
      </c>
      <c r="B348">
        <v>30</v>
      </c>
    </row>
    <row r="349" spans="1:2" x14ac:dyDescent="0.3">
      <c r="A349">
        <v>47</v>
      </c>
      <c r="B349">
        <v>30</v>
      </c>
    </row>
    <row r="350" spans="1:2" x14ac:dyDescent="0.3">
      <c r="A350">
        <v>42</v>
      </c>
      <c r="B350">
        <v>30</v>
      </c>
    </row>
    <row r="351" spans="1:2" x14ac:dyDescent="0.3">
      <c r="A351">
        <v>29</v>
      </c>
      <c r="B351">
        <v>30</v>
      </c>
    </row>
    <row r="352" spans="1:2" x14ac:dyDescent="0.3">
      <c r="A352">
        <v>42</v>
      </c>
      <c r="B352">
        <v>30</v>
      </c>
    </row>
    <row r="353" spans="1:2" x14ac:dyDescent="0.3">
      <c r="A353">
        <v>32</v>
      </c>
      <c r="B353">
        <v>30</v>
      </c>
    </row>
    <row r="354" spans="1:2" x14ac:dyDescent="0.3">
      <c r="A354">
        <v>48</v>
      </c>
      <c r="B354">
        <v>30</v>
      </c>
    </row>
    <row r="355" spans="1:2" x14ac:dyDescent="0.3">
      <c r="A355">
        <v>37</v>
      </c>
      <c r="B355">
        <v>30</v>
      </c>
    </row>
    <row r="356" spans="1:2" x14ac:dyDescent="0.3">
      <c r="A356">
        <v>30</v>
      </c>
      <c r="B356">
        <v>30</v>
      </c>
    </row>
    <row r="357" spans="1:2" x14ac:dyDescent="0.3">
      <c r="A357">
        <v>26</v>
      </c>
      <c r="B357">
        <v>30</v>
      </c>
    </row>
    <row r="358" spans="1:2" x14ac:dyDescent="0.3">
      <c r="A358">
        <v>42</v>
      </c>
      <c r="B358">
        <v>30</v>
      </c>
    </row>
    <row r="359" spans="1:2" x14ac:dyDescent="0.3">
      <c r="A359">
        <v>21</v>
      </c>
      <c r="B359">
        <v>30</v>
      </c>
    </row>
    <row r="360" spans="1:2" x14ac:dyDescent="0.3">
      <c r="A360">
        <v>36</v>
      </c>
      <c r="B360">
        <v>30</v>
      </c>
    </row>
    <row r="361" spans="1:2" x14ac:dyDescent="0.3">
      <c r="A361">
        <v>36</v>
      </c>
      <c r="B361">
        <v>30</v>
      </c>
    </row>
    <row r="362" spans="1:2" x14ac:dyDescent="0.3">
      <c r="A362">
        <v>57</v>
      </c>
      <c r="B362">
        <v>30</v>
      </c>
    </row>
    <row r="363" spans="1:2" x14ac:dyDescent="0.3">
      <c r="A363">
        <v>40</v>
      </c>
      <c r="B363">
        <v>30</v>
      </c>
    </row>
    <row r="364" spans="1:2" x14ac:dyDescent="0.3">
      <c r="A364">
        <v>21</v>
      </c>
      <c r="B364">
        <v>30</v>
      </c>
    </row>
    <row r="365" spans="1:2" x14ac:dyDescent="0.3">
      <c r="A365">
        <v>33</v>
      </c>
      <c r="B365">
        <v>30</v>
      </c>
    </row>
    <row r="366" spans="1:2" x14ac:dyDescent="0.3">
      <c r="A366">
        <v>37</v>
      </c>
      <c r="B366">
        <v>30</v>
      </c>
    </row>
    <row r="367" spans="1:2" x14ac:dyDescent="0.3">
      <c r="A367">
        <v>46</v>
      </c>
      <c r="B367">
        <v>30</v>
      </c>
    </row>
    <row r="368" spans="1:2" x14ac:dyDescent="0.3">
      <c r="A368">
        <v>41</v>
      </c>
      <c r="B368">
        <v>30</v>
      </c>
    </row>
    <row r="369" spans="1:2" x14ac:dyDescent="0.3">
      <c r="A369">
        <v>50</v>
      </c>
      <c r="B369">
        <v>30</v>
      </c>
    </row>
    <row r="370" spans="1:2" x14ac:dyDescent="0.3">
      <c r="A370">
        <v>40</v>
      </c>
      <c r="B370">
        <v>30</v>
      </c>
    </row>
    <row r="371" spans="1:2" x14ac:dyDescent="0.3">
      <c r="A371">
        <v>31</v>
      </c>
      <c r="B371">
        <v>30</v>
      </c>
    </row>
    <row r="372" spans="1:2" x14ac:dyDescent="0.3">
      <c r="A372">
        <v>21</v>
      </c>
      <c r="B372">
        <v>30</v>
      </c>
    </row>
    <row r="373" spans="1:2" x14ac:dyDescent="0.3">
      <c r="A373">
        <v>29</v>
      </c>
      <c r="B373">
        <v>30</v>
      </c>
    </row>
    <row r="374" spans="1:2" x14ac:dyDescent="0.3">
      <c r="A374">
        <v>35</v>
      </c>
      <c r="B374">
        <v>30</v>
      </c>
    </row>
    <row r="375" spans="1:2" x14ac:dyDescent="0.3">
      <c r="A375">
        <v>27</v>
      </c>
      <c r="B375">
        <v>30</v>
      </c>
    </row>
    <row r="376" spans="1:2" x14ac:dyDescent="0.3">
      <c r="A376">
        <v>28</v>
      </c>
      <c r="B376">
        <v>30</v>
      </c>
    </row>
    <row r="377" spans="1:2" x14ac:dyDescent="0.3">
      <c r="A377">
        <v>49</v>
      </c>
      <c r="B377">
        <v>30</v>
      </c>
    </row>
    <row r="378" spans="1:2" x14ac:dyDescent="0.3">
      <c r="A378">
        <v>51</v>
      </c>
      <c r="B378">
        <v>30</v>
      </c>
    </row>
    <row r="379" spans="1:2" x14ac:dyDescent="0.3">
      <c r="A379">
        <v>36</v>
      </c>
      <c r="B379">
        <v>30</v>
      </c>
    </row>
    <row r="380" spans="1:2" x14ac:dyDescent="0.3">
      <c r="A380">
        <v>34</v>
      </c>
      <c r="B380">
        <v>30</v>
      </c>
    </row>
    <row r="381" spans="1:2" x14ac:dyDescent="0.3">
      <c r="A381">
        <v>55</v>
      </c>
      <c r="B381">
        <v>30</v>
      </c>
    </row>
    <row r="382" spans="1:2" x14ac:dyDescent="0.3">
      <c r="A382">
        <v>24</v>
      </c>
      <c r="B382">
        <v>30</v>
      </c>
    </row>
    <row r="383" spans="1:2" x14ac:dyDescent="0.3">
      <c r="A383">
        <v>30</v>
      </c>
      <c r="B383">
        <v>30</v>
      </c>
    </row>
    <row r="384" spans="1:2" x14ac:dyDescent="0.3">
      <c r="A384">
        <v>26</v>
      </c>
      <c r="B384">
        <v>30</v>
      </c>
    </row>
    <row r="385" spans="1:2" x14ac:dyDescent="0.3">
      <c r="A385">
        <v>22</v>
      </c>
      <c r="B385">
        <v>30</v>
      </c>
    </row>
    <row r="386" spans="1:2" x14ac:dyDescent="0.3">
      <c r="A386">
        <v>36</v>
      </c>
      <c r="B386">
        <v>30</v>
      </c>
    </row>
    <row r="387" spans="1:2" x14ac:dyDescent="0.3">
      <c r="A387">
        <v>30</v>
      </c>
      <c r="B387">
        <v>30</v>
      </c>
    </row>
    <row r="388" spans="1:2" x14ac:dyDescent="0.3">
      <c r="A388">
        <v>37</v>
      </c>
      <c r="B388">
        <v>31</v>
      </c>
    </row>
    <row r="389" spans="1:2" x14ac:dyDescent="0.3">
      <c r="A389">
        <v>40</v>
      </c>
      <c r="B389">
        <v>31</v>
      </c>
    </row>
    <row r="390" spans="1:2" x14ac:dyDescent="0.3">
      <c r="A390">
        <v>42</v>
      </c>
      <c r="B390">
        <v>31</v>
      </c>
    </row>
    <row r="391" spans="1:2" x14ac:dyDescent="0.3">
      <c r="A391">
        <v>37</v>
      </c>
      <c r="B391">
        <v>31</v>
      </c>
    </row>
    <row r="392" spans="1:2" x14ac:dyDescent="0.3">
      <c r="A392">
        <v>43</v>
      </c>
      <c r="B392">
        <v>31</v>
      </c>
    </row>
    <row r="393" spans="1:2" x14ac:dyDescent="0.3">
      <c r="A393">
        <v>40</v>
      </c>
      <c r="B393">
        <v>31</v>
      </c>
    </row>
    <row r="394" spans="1:2" x14ac:dyDescent="0.3">
      <c r="A394">
        <v>54</v>
      </c>
      <c r="B394">
        <v>31</v>
      </c>
    </row>
    <row r="395" spans="1:2" x14ac:dyDescent="0.3">
      <c r="A395">
        <v>34</v>
      </c>
      <c r="B395">
        <v>31</v>
      </c>
    </row>
    <row r="396" spans="1:2" x14ac:dyDescent="0.3">
      <c r="A396">
        <v>31</v>
      </c>
      <c r="B396">
        <v>31</v>
      </c>
    </row>
    <row r="397" spans="1:2" x14ac:dyDescent="0.3">
      <c r="A397">
        <v>43</v>
      </c>
      <c r="B397">
        <v>31</v>
      </c>
    </row>
    <row r="398" spans="1:2" x14ac:dyDescent="0.3">
      <c r="A398">
        <v>43</v>
      </c>
      <c r="B398">
        <v>31</v>
      </c>
    </row>
    <row r="399" spans="1:2" x14ac:dyDescent="0.3">
      <c r="A399">
        <v>25</v>
      </c>
      <c r="B399">
        <v>31</v>
      </c>
    </row>
    <row r="400" spans="1:2" x14ac:dyDescent="0.3">
      <c r="A400">
        <v>37</v>
      </c>
      <c r="B400">
        <v>31</v>
      </c>
    </row>
    <row r="401" spans="1:2" x14ac:dyDescent="0.3">
      <c r="A401">
        <v>31</v>
      </c>
      <c r="B401">
        <v>31</v>
      </c>
    </row>
    <row r="402" spans="1:2" x14ac:dyDescent="0.3">
      <c r="A402">
        <v>39</v>
      </c>
      <c r="B402">
        <v>31</v>
      </c>
    </row>
    <row r="403" spans="1:2" x14ac:dyDescent="0.3">
      <c r="A403">
        <v>56</v>
      </c>
      <c r="B403">
        <v>31</v>
      </c>
    </row>
    <row r="404" spans="1:2" x14ac:dyDescent="0.3">
      <c r="A404">
        <v>30</v>
      </c>
      <c r="B404">
        <v>31</v>
      </c>
    </row>
    <row r="405" spans="1:2" x14ac:dyDescent="0.3">
      <c r="A405">
        <v>41</v>
      </c>
      <c r="B405">
        <v>31</v>
      </c>
    </row>
    <row r="406" spans="1:2" x14ac:dyDescent="0.3">
      <c r="A406">
        <v>28</v>
      </c>
      <c r="B406">
        <v>31</v>
      </c>
    </row>
    <row r="407" spans="1:2" x14ac:dyDescent="0.3">
      <c r="A407">
        <v>25</v>
      </c>
      <c r="B407">
        <v>31</v>
      </c>
    </row>
    <row r="408" spans="1:2" x14ac:dyDescent="0.3">
      <c r="A408">
        <v>52</v>
      </c>
      <c r="B408">
        <v>31</v>
      </c>
    </row>
    <row r="409" spans="1:2" x14ac:dyDescent="0.3">
      <c r="A409">
        <v>45</v>
      </c>
      <c r="B409">
        <v>31</v>
      </c>
    </row>
    <row r="410" spans="1:2" x14ac:dyDescent="0.3">
      <c r="A410">
        <v>52</v>
      </c>
      <c r="B410">
        <v>31</v>
      </c>
    </row>
    <row r="411" spans="1:2" x14ac:dyDescent="0.3">
      <c r="A411">
        <v>42</v>
      </c>
      <c r="B411">
        <v>31</v>
      </c>
    </row>
    <row r="412" spans="1:2" x14ac:dyDescent="0.3">
      <c r="A412">
        <v>30</v>
      </c>
      <c r="B412">
        <v>31</v>
      </c>
    </row>
    <row r="413" spans="1:2" x14ac:dyDescent="0.3">
      <c r="A413">
        <v>60</v>
      </c>
      <c r="B413">
        <v>31</v>
      </c>
    </row>
    <row r="414" spans="1:2" x14ac:dyDescent="0.3">
      <c r="A414">
        <v>46</v>
      </c>
      <c r="B414">
        <v>31</v>
      </c>
    </row>
    <row r="415" spans="1:2" x14ac:dyDescent="0.3">
      <c r="A415">
        <v>42</v>
      </c>
      <c r="B415">
        <v>31</v>
      </c>
    </row>
    <row r="416" spans="1:2" x14ac:dyDescent="0.3">
      <c r="A416">
        <v>24</v>
      </c>
      <c r="B416">
        <v>31</v>
      </c>
    </row>
    <row r="417" spans="1:2" x14ac:dyDescent="0.3">
      <c r="A417">
        <v>34</v>
      </c>
      <c r="B417">
        <v>31</v>
      </c>
    </row>
    <row r="418" spans="1:2" x14ac:dyDescent="0.3">
      <c r="A418">
        <v>38</v>
      </c>
      <c r="B418">
        <v>31</v>
      </c>
    </row>
    <row r="419" spans="1:2" x14ac:dyDescent="0.3">
      <c r="A419">
        <v>40</v>
      </c>
      <c r="B419">
        <v>31</v>
      </c>
    </row>
    <row r="420" spans="1:2" x14ac:dyDescent="0.3">
      <c r="A420">
        <v>26</v>
      </c>
      <c r="B420">
        <v>31</v>
      </c>
    </row>
    <row r="421" spans="1:2" x14ac:dyDescent="0.3">
      <c r="A421">
        <v>30</v>
      </c>
      <c r="B421">
        <v>31</v>
      </c>
    </row>
    <row r="422" spans="1:2" x14ac:dyDescent="0.3">
      <c r="A422">
        <v>29</v>
      </c>
      <c r="B422">
        <v>31</v>
      </c>
    </row>
    <row r="423" spans="1:2" x14ac:dyDescent="0.3">
      <c r="A423">
        <v>29</v>
      </c>
      <c r="B423">
        <v>31</v>
      </c>
    </row>
    <row r="424" spans="1:2" x14ac:dyDescent="0.3">
      <c r="A424">
        <v>19</v>
      </c>
      <c r="B424">
        <v>31</v>
      </c>
    </row>
    <row r="425" spans="1:2" x14ac:dyDescent="0.3">
      <c r="A425">
        <v>30</v>
      </c>
      <c r="B425">
        <v>31</v>
      </c>
    </row>
    <row r="426" spans="1:2" x14ac:dyDescent="0.3">
      <c r="A426">
        <v>57</v>
      </c>
      <c r="B426">
        <v>31</v>
      </c>
    </row>
    <row r="427" spans="1:2" x14ac:dyDescent="0.3">
      <c r="A427">
        <v>50</v>
      </c>
      <c r="B427">
        <v>31</v>
      </c>
    </row>
    <row r="428" spans="1:2" x14ac:dyDescent="0.3">
      <c r="A428">
        <v>30</v>
      </c>
      <c r="B428">
        <v>31</v>
      </c>
    </row>
    <row r="429" spans="1:2" x14ac:dyDescent="0.3">
      <c r="A429">
        <v>60</v>
      </c>
      <c r="B429">
        <v>31</v>
      </c>
    </row>
    <row r="430" spans="1:2" x14ac:dyDescent="0.3">
      <c r="A430">
        <v>47</v>
      </c>
      <c r="B430">
        <v>31</v>
      </c>
    </row>
    <row r="431" spans="1:2" x14ac:dyDescent="0.3">
      <c r="A431">
        <v>46</v>
      </c>
      <c r="B431">
        <v>31</v>
      </c>
    </row>
    <row r="432" spans="1:2" x14ac:dyDescent="0.3">
      <c r="A432">
        <v>35</v>
      </c>
      <c r="B432">
        <v>31</v>
      </c>
    </row>
    <row r="433" spans="1:2" x14ac:dyDescent="0.3">
      <c r="A433">
        <v>54</v>
      </c>
      <c r="B433">
        <v>31</v>
      </c>
    </row>
    <row r="434" spans="1:2" x14ac:dyDescent="0.3">
      <c r="A434">
        <v>34</v>
      </c>
      <c r="B434">
        <v>31</v>
      </c>
    </row>
    <row r="435" spans="1:2" x14ac:dyDescent="0.3">
      <c r="A435">
        <v>46</v>
      </c>
      <c r="B435">
        <v>31</v>
      </c>
    </row>
    <row r="436" spans="1:2" x14ac:dyDescent="0.3">
      <c r="A436">
        <v>31</v>
      </c>
      <c r="B436">
        <v>31</v>
      </c>
    </row>
    <row r="437" spans="1:2" x14ac:dyDescent="0.3">
      <c r="A437">
        <v>33</v>
      </c>
      <c r="B437">
        <v>31</v>
      </c>
    </row>
    <row r="438" spans="1:2" x14ac:dyDescent="0.3">
      <c r="A438">
        <v>33</v>
      </c>
      <c r="B438">
        <v>31</v>
      </c>
    </row>
    <row r="439" spans="1:2" x14ac:dyDescent="0.3">
      <c r="A439">
        <v>30</v>
      </c>
      <c r="B439">
        <v>31</v>
      </c>
    </row>
    <row r="440" spans="1:2" x14ac:dyDescent="0.3">
      <c r="A440">
        <v>35</v>
      </c>
      <c r="B440">
        <v>31</v>
      </c>
    </row>
    <row r="441" spans="1:2" x14ac:dyDescent="0.3">
      <c r="A441">
        <v>31</v>
      </c>
      <c r="B441">
        <v>31</v>
      </c>
    </row>
    <row r="442" spans="1:2" x14ac:dyDescent="0.3">
      <c r="A442">
        <v>34</v>
      </c>
      <c r="B442">
        <v>31</v>
      </c>
    </row>
    <row r="443" spans="1:2" x14ac:dyDescent="0.3">
      <c r="A443">
        <v>42</v>
      </c>
      <c r="B443">
        <v>31</v>
      </c>
    </row>
    <row r="444" spans="1:2" x14ac:dyDescent="0.3">
      <c r="A444">
        <v>36</v>
      </c>
      <c r="B444">
        <v>31</v>
      </c>
    </row>
    <row r="445" spans="1:2" x14ac:dyDescent="0.3">
      <c r="A445">
        <v>22</v>
      </c>
      <c r="B445">
        <v>31</v>
      </c>
    </row>
    <row r="446" spans="1:2" x14ac:dyDescent="0.3">
      <c r="A446">
        <v>48</v>
      </c>
      <c r="B446">
        <v>31</v>
      </c>
    </row>
    <row r="447" spans="1:2" x14ac:dyDescent="0.3">
      <c r="A447">
        <v>55</v>
      </c>
      <c r="B447">
        <v>31</v>
      </c>
    </row>
    <row r="448" spans="1:2" x14ac:dyDescent="0.3">
      <c r="A448">
        <v>41</v>
      </c>
      <c r="B448">
        <v>31</v>
      </c>
    </row>
    <row r="449" spans="1:2" x14ac:dyDescent="0.3">
      <c r="A449">
        <v>35</v>
      </c>
      <c r="B449">
        <v>31</v>
      </c>
    </row>
    <row r="450" spans="1:2" x14ac:dyDescent="0.3">
      <c r="A450">
        <v>40</v>
      </c>
      <c r="B450">
        <v>31</v>
      </c>
    </row>
    <row r="451" spans="1:2" x14ac:dyDescent="0.3">
      <c r="A451">
        <v>39</v>
      </c>
      <c r="B451">
        <v>31</v>
      </c>
    </row>
    <row r="452" spans="1:2" x14ac:dyDescent="0.3">
      <c r="A452">
        <v>31</v>
      </c>
      <c r="B452">
        <v>31</v>
      </c>
    </row>
    <row r="453" spans="1:2" x14ac:dyDescent="0.3">
      <c r="A453">
        <v>42</v>
      </c>
      <c r="B453">
        <v>31</v>
      </c>
    </row>
    <row r="454" spans="1:2" x14ac:dyDescent="0.3">
      <c r="A454">
        <v>45</v>
      </c>
      <c r="B454">
        <v>31</v>
      </c>
    </row>
    <row r="455" spans="1:2" x14ac:dyDescent="0.3">
      <c r="A455">
        <v>26</v>
      </c>
      <c r="B455">
        <v>31</v>
      </c>
    </row>
    <row r="456" spans="1:2" x14ac:dyDescent="0.3">
      <c r="A456">
        <v>29</v>
      </c>
      <c r="B456">
        <v>31</v>
      </c>
    </row>
    <row r="457" spans="1:2" x14ac:dyDescent="0.3">
      <c r="A457">
        <v>33</v>
      </c>
      <c r="B457">
        <v>32</v>
      </c>
    </row>
    <row r="458" spans="1:2" x14ac:dyDescent="0.3">
      <c r="A458">
        <v>31</v>
      </c>
      <c r="B458">
        <v>32</v>
      </c>
    </row>
    <row r="459" spans="1:2" x14ac:dyDescent="0.3">
      <c r="A459">
        <v>18</v>
      </c>
      <c r="B459">
        <v>32</v>
      </c>
    </row>
    <row r="460" spans="1:2" x14ac:dyDescent="0.3">
      <c r="A460">
        <v>40</v>
      </c>
      <c r="B460">
        <v>32</v>
      </c>
    </row>
    <row r="461" spans="1:2" x14ac:dyDescent="0.3">
      <c r="A461">
        <v>41</v>
      </c>
      <c r="B461">
        <v>32</v>
      </c>
    </row>
    <row r="462" spans="1:2" x14ac:dyDescent="0.3">
      <c r="A462">
        <v>26</v>
      </c>
      <c r="B462">
        <v>32</v>
      </c>
    </row>
    <row r="463" spans="1:2" x14ac:dyDescent="0.3">
      <c r="A463">
        <v>35</v>
      </c>
      <c r="B463">
        <v>32</v>
      </c>
    </row>
    <row r="464" spans="1:2" x14ac:dyDescent="0.3">
      <c r="A464">
        <v>34</v>
      </c>
      <c r="B464">
        <v>32</v>
      </c>
    </row>
    <row r="465" spans="1:2" x14ac:dyDescent="0.3">
      <c r="A465">
        <v>26</v>
      </c>
      <c r="B465">
        <v>32</v>
      </c>
    </row>
    <row r="466" spans="1:2" x14ac:dyDescent="0.3">
      <c r="A466">
        <v>37</v>
      </c>
      <c r="B466">
        <v>32</v>
      </c>
    </row>
    <row r="467" spans="1:2" x14ac:dyDescent="0.3">
      <c r="A467">
        <v>46</v>
      </c>
      <c r="B467">
        <v>32</v>
      </c>
    </row>
    <row r="468" spans="1:2" x14ac:dyDescent="0.3">
      <c r="A468">
        <v>41</v>
      </c>
      <c r="B468">
        <v>32</v>
      </c>
    </row>
    <row r="469" spans="1:2" x14ac:dyDescent="0.3">
      <c r="A469">
        <v>37</v>
      </c>
      <c r="B469">
        <v>32</v>
      </c>
    </row>
    <row r="470" spans="1:2" x14ac:dyDescent="0.3">
      <c r="A470">
        <v>52</v>
      </c>
      <c r="B470">
        <v>32</v>
      </c>
    </row>
    <row r="471" spans="1:2" x14ac:dyDescent="0.3">
      <c r="A471">
        <v>32</v>
      </c>
      <c r="B471">
        <v>32</v>
      </c>
    </row>
    <row r="472" spans="1:2" x14ac:dyDescent="0.3">
      <c r="A472">
        <v>24</v>
      </c>
      <c r="B472">
        <v>32</v>
      </c>
    </row>
    <row r="473" spans="1:2" x14ac:dyDescent="0.3">
      <c r="A473">
        <v>38</v>
      </c>
      <c r="B473">
        <v>32</v>
      </c>
    </row>
    <row r="474" spans="1:2" x14ac:dyDescent="0.3">
      <c r="A474">
        <v>37</v>
      </c>
      <c r="B474">
        <v>32</v>
      </c>
    </row>
    <row r="475" spans="1:2" x14ac:dyDescent="0.3">
      <c r="A475">
        <v>49</v>
      </c>
      <c r="B475">
        <v>32</v>
      </c>
    </row>
    <row r="476" spans="1:2" x14ac:dyDescent="0.3">
      <c r="A476">
        <v>24</v>
      </c>
      <c r="B476">
        <v>32</v>
      </c>
    </row>
    <row r="477" spans="1:2" x14ac:dyDescent="0.3">
      <c r="A477">
        <v>26</v>
      </c>
      <c r="B477">
        <v>32</v>
      </c>
    </row>
    <row r="478" spans="1:2" x14ac:dyDescent="0.3">
      <c r="A478">
        <v>24</v>
      </c>
      <c r="B478">
        <v>32</v>
      </c>
    </row>
    <row r="479" spans="1:2" x14ac:dyDescent="0.3">
      <c r="A479">
        <v>50</v>
      </c>
      <c r="B479">
        <v>32</v>
      </c>
    </row>
    <row r="480" spans="1:2" x14ac:dyDescent="0.3">
      <c r="A480">
        <v>25</v>
      </c>
      <c r="B480">
        <v>32</v>
      </c>
    </row>
    <row r="481" spans="1:2" x14ac:dyDescent="0.3">
      <c r="A481">
        <v>24</v>
      </c>
      <c r="B481">
        <v>32</v>
      </c>
    </row>
    <row r="482" spans="1:2" x14ac:dyDescent="0.3">
      <c r="A482">
        <v>30</v>
      </c>
      <c r="B482">
        <v>32</v>
      </c>
    </row>
    <row r="483" spans="1:2" x14ac:dyDescent="0.3">
      <c r="A483">
        <v>34</v>
      </c>
      <c r="B483">
        <v>32</v>
      </c>
    </row>
    <row r="484" spans="1:2" x14ac:dyDescent="0.3">
      <c r="A484">
        <v>31</v>
      </c>
      <c r="B484">
        <v>32</v>
      </c>
    </row>
    <row r="485" spans="1:2" x14ac:dyDescent="0.3">
      <c r="A485">
        <v>35</v>
      </c>
      <c r="B485">
        <v>32</v>
      </c>
    </row>
    <row r="486" spans="1:2" x14ac:dyDescent="0.3">
      <c r="A486">
        <v>31</v>
      </c>
      <c r="B486">
        <v>32</v>
      </c>
    </row>
    <row r="487" spans="1:2" x14ac:dyDescent="0.3">
      <c r="A487">
        <v>27</v>
      </c>
      <c r="B487">
        <v>32</v>
      </c>
    </row>
    <row r="488" spans="1:2" x14ac:dyDescent="0.3">
      <c r="A488">
        <v>37</v>
      </c>
      <c r="B488">
        <v>32</v>
      </c>
    </row>
    <row r="489" spans="1:2" x14ac:dyDescent="0.3">
      <c r="A489">
        <v>20</v>
      </c>
      <c r="B489">
        <v>32</v>
      </c>
    </row>
    <row r="490" spans="1:2" x14ac:dyDescent="0.3">
      <c r="A490">
        <v>42</v>
      </c>
      <c r="B490">
        <v>32</v>
      </c>
    </row>
    <row r="491" spans="1:2" x14ac:dyDescent="0.3">
      <c r="A491">
        <v>43</v>
      </c>
      <c r="B491">
        <v>32</v>
      </c>
    </row>
    <row r="492" spans="1:2" x14ac:dyDescent="0.3">
      <c r="A492">
        <v>38</v>
      </c>
      <c r="B492">
        <v>32</v>
      </c>
    </row>
    <row r="493" spans="1:2" x14ac:dyDescent="0.3">
      <c r="A493">
        <v>43</v>
      </c>
      <c r="B493">
        <v>32</v>
      </c>
    </row>
    <row r="494" spans="1:2" x14ac:dyDescent="0.3">
      <c r="A494">
        <v>48</v>
      </c>
      <c r="B494">
        <v>32</v>
      </c>
    </row>
    <row r="495" spans="1:2" x14ac:dyDescent="0.3">
      <c r="A495">
        <v>44</v>
      </c>
      <c r="B495">
        <v>32</v>
      </c>
    </row>
    <row r="496" spans="1:2" x14ac:dyDescent="0.3">
      <c r="A496">
        <v>34</v>
      </c>
      <c r="B496">
        <v>32</v>
      </c>
    </row>
    <row r="497" spans="1:2" x14ac:dyDescent="0.3">
      <c r="A497">
        <v>27</v>
      </c>
      <c r="B497">
        <v>32</v>
      </c>
    </row>
    <row r="498" spans="1:2" x14ac:dyDescent="0.3">
      <c r="A498">
        <v>21</v>
      </c>
      <c r="B498">
        <v>32</v>
      </c>
    </row>
    <row r="499" spans="1:2" x14ac:dyDescent="0.3">
      <c r="A499">
        <v>44</v>
      </c>
      <c r="B499">
        <v>32</v>
      </c>
    </row>
    <row r="500" spans="1:2" x14ac:dyDescent="0.3">
      <c r="A500">
        <v>22</v>
      </c>
      <c r="B500">
        <v>32</v>
      </c>
    </row>
    <row r="501" spans="1:2" x14ac:dyDescent="0.3">
      <c r="A501">
        <v>33</v>
      </c>
      <c r="B501">
        <v>32</v>
      </c>
    </row>
    <row r="502" spans="1:2" x14ac:dyDescent="0.3">
      <c r="A502">
        <v>32</v>
      </c>
      <c r="B502">
        <v>32</v>
      </c>
    </row>
    <row r="503" spans="1:2" x14ac:dyDescent="0.3">
      <c r="A503">
        <v>30</v>
      </c>
      <c r="B503">
        <v>32</v>
      </c>
    </row>
    <row r="504" spans="1:2" x14ac:dyDescent="0.3">
      <c r="A504">
        <v>53</v>
      </c>
      <c r="B504">
        <v>32</v>
      </c>
    </row>
    <row r="505" spans="1:2" x14ac:dyDescent="0.3">
      <c r="A505">
        <v>34</v>
      </c>
      <c r="B505">
        <v>32</v>
      </c>
    </row>
    <row r="506" spans="1:2" x14ac:dyDescent="0.3">
      <c r="A506">
        <v>45</v>
      </c>
      <c r="B506">
        <v>32</v>
      </c>
    </row>
    <row r="507" spans="1:2" x14ac:dyDescent="0.3">
      <c r="A507">
        <v>26</v>
      </c>
      <c r="B507">
        <v>32</v>
      </c>
    </row>
    <row r="508" spans="1:2" x14ac:dyDescent="0.3">
      <c r="A508">
        <v>37</v>
      </c>
      <c r="B508">
        <v>32</v>
      </c>
    </row>
    <row r="509" spans="1:2" x14ac:dyDescent="0.3">
      <c r="A509">
        <v>29</v>
      </c>
      <c r="B509">
        <v>32</v>
      </c>
    </row>
    <row r="510" spans="1:2" x14ac:dyDescent="0.3">
      <c r="A510">
        <v>35</v>
      </c>
      <c r="B510">
        <v>32</v>
      </c>
    </row>
    <row r="511" spans="1:2" x14ac:dyDescent="0.3">
      <c r="A511">
        <v>33</v>
      </c>
      <c r="B511">
        <v>32</v>
      </c>
    </row>
    <row r="512" spans="1:2" x14ac:dyDescent="0.3">
      <c r="A512">
        <v>54</v>
      </c>
      <c r="B512">
        <v>32</v>
      </c>
    </row>
    <row r="513" spans="1:2" x14ac:dyDescent="0.3">
      <c r="A513">
        <v>36</v>
      </c>
      <c r="B513">
        <v>32</v>
      </c>
    </row>
    <row r="514" spans="1:2" x14ac:dyDescent="0.3">
      <c r="A514">
        <v>27</v>
      </c>
      <c r="B514">
        <v>32</v>
      </c>
    </row>
    <row r="515" spans="1:2" x14ac:dyDescent="0.3">
      <c r="A515">
        <v>20</v>
      </c>
      <c r="B515">
        <v>32</v>
      </c>
    </row>
    <row r="516" spans="1:2" x14ac:dyDescent="0.3">
      <c r="A516">
        <v>33</v>
      </c>
      <c r="B516">
        <v>32</v>
      </c>
    </row>
    <row r="517" spans="1:2" x14ac:dyDescent="0.3">
      <c r="A517">
        <v>35</v>
      </c>
      <c r="B517">
        <v>32</v>
      </c>
    </row>
    <row r="518" spans="1:2" x14ac:dyDescent="0.3">
      <c r="A518">
        <v>23</v>
      </c>
      <c r="B518">
        <v>33</v>
      </c>
    </row>
    <row r="519" spans="1:2" x14ac:dyDescent="0.3">
      <c r="A519">
        <v>25</v>
      </c>
      <c r="B519">
        <v>33</v>
      </c>
    </row>
    <row r="520" spans="1:2" x14ac:dyDescent="0.3">
      <c r="A520">
        <v>38</v>
      </c>
      <c r="B520">
        <v>33</v>
      </c>
    </row>
    <row r="521" spans="1:2" x14ac:dyDescent="0.3">
      <c r="A521">
        <v>29</v>
      </c>
      <c r="B521">
        <v>33</v>
      </c>
    </row>
    <row r="522" spans="1:2" x14ac:dyDescent="0.3">
      <c r="A522">
        <v>48</v>
      </c>
      <c r="B522">
        <v>33</v>
      </c>
    </row>
    <row r="523" spans="1:2" x14ac:dyDescent="0.3">
      <c r="A523">
        <v>27</v>
      </c>
      <c r="B523">
        <v>33</v>
      </c>
    </row>
    <row r="524" spans="1:2" x14ac:dyDescent="0.3">
      <c r="A524">
        <v>37</v>
      </c>
      <c r="B524">
        <v>33</v>
      </c>
    </row>
    <row r="525" spans="1:2" x14ac:dyDescent="0.3">
      <c r="A525">
        <v>50</v>
      </c>
      <c r="B525">
        <v>33</v>
      </c>
    </row>
    <row r="526" spans="1:2" x14ac:dyDescent="0.3">
      <c r="A526">
        <v>34</v>
      </c>
      <c r="B526">
        <v>33</v>
      </c>
    </row>
    <row r="527" spans="1:2" x14ac:dyDescent="0.3">
      <c r="A527">
        <v>24</v>
      </c>
      <c r="B527">
        <v>33</v>
      </c>
    </row>
    <row r="528" spans="1:2" x14ac:dyDescent="0.3">
      <c r="A528">
        <v>39</v>
      </c>
      <c r="B528">
        <v>33</v>
      </c>
    </row>
    <row r="529" spans="1:2" x14ac:dyDescent="0.3">
      <c r="A529">
        <v>32</v>
      </c>
      <c r="B529">
        <v>33</v>
      </c>
    </row>
    <row r="530" spans="1:2" x14ac:dyDescent="0.3">
      <c r="A530">
        <v>50</v>
      </c>
      <c r="B530">
        <v>33</v>
      </c>
    </row>
    <row r="531" spans="1:2" x14ac:dyDescent="0.3">
      <c r="A531">
        <v>38</v>
      </c>
      <c r="B531">
        <v>33</v>
      </c>
    </row>
    <row r="532" spans="1:2" x14ac:dyDescent="0.3">
      <c r="A532">
        <v>27</v>
      </c>
      <c r="B532">
        <v>33</v>
      </c>
    </row>
    <row r="533" spans="1:2" x14ac:dyDescent="0.3">
      <c r="A533">
        <v>32</v>
      </c>
      <c r="B533">
        <v>33</v>
      </c>
    </row>
    <row r="534" spans="1:2" x14ac:dyDescent="0.3">
      <c r="A534">
        <v>47</v>
      </c>
      <c r="B534">
        <v>33</v>
      </c>
    </row>
    <row r="535" spans="1:2" x14ac:dyDescent="0.3">
      <c r="A535">
        <v>40</v>
      </c>
      <c r="B535">
        <v>33</v>
      </c>
    </row>
    <row r="536" spans="1:2" x14ac:dyDescent="0.3">
      <c r="A536">
        <v>53</v>
      </c>
      <c r="B536">
        <v>33</v>
      </c>
    </row>
    <row r="537" spans="1:2" x14ac:dyDescent="0.3">
      <c r="A537">
        <v>41</v>
      </c>
      <c r="B537">
        <v>33</v>
      </c>
    </row>
    <row r="538" spans="1:2" x14ac:dyDescent="0.3">
      <c r="A538">
        <v>60</v>
      </c>
      <c r="B538">
        <v>33</v>
      </c>
    </row>
    <row r="539" spans="1:2" x14ac:dyDescent="0.3">
      <c r="A539">
        <v>27</v>
      </c>
      <c r="B539">
        <v>33</v>
      </c>
    </row>
    <row r="540" spans="1:2" x14ac:dyDescent="0.3">
      <c r="A540">
        <v>41</v>
      </c>
      <c r="B540">
        <v>33</v>
      </c>
    </row>
    <row r="541" spans="1:2" x14ac:dyDescent="0.3">
      <c r="A541">
        <v>50</v>
      </c>
      <c r="B541">
        <v>33</v>
      </c>
    </row>
    <row r="542" spans="1:2" x14ac:dyDescent="0.3">
      <c r="A542">
        <v>28</v>
      </c>
      <c r="B542">
        <v>33</v>
      </c>
    </row>
    <row r="543" spans="1:2" x14ac:dyDescent="0.3">
      <c r="A543">
        <v>36</v>
      </c>
      <c r="B543">
        <v>33</v>
      </c>
    </row>
    <row r="544" spans="1:2" x14ac:dyDescent="0.3">
      <c r="A544">
        <v>38</v>
      </c>
      <c r="B544">
        <v>33</v>
      </c>
    </row>
    <row r="545" spans="1:2" x14ac:dyDescent="0.3">
      <c r="A545">
        <v>44</v>
      </c>
      <c r="B545">
        <v>33</v>
      </c>
    </row>
    <row r="546" spans="1:2" x14ac:dyDescent="0.3">
      <c r="A546">
        <v>47</v>
      </c>
      <c r="B546">
        <v>33</v>
      </c>
    </row>
    <row r="547" spans="1:2" x14ac:dyDescent="0.3">
      <c r="A547">
        <v>30</v>
      </c>
      <c r="B547">
        <v>33</v>
      </c>
    </row>
    <row r="548" spans="1:2" x14ac:dyDescent="0.3">
      <c r="A548">
        <v>29</v>
      </c>
      <c r="B548">
        <v>33</v>
      </c>
    </row>
    <row r="549" spans="1:2" x14ac:dyDescent="0.3">
      <c r="A549">
        <v>42</v>
      </c>
      <c r="B549">
        <v>33</v>
      </c>
    </row>
    <row r="550" spans="1:2" x14ac:dyDescent="0.3">
      <c r="A550">
        <v>43</v>
      </c>
      <c r="B550">
        <v>33</v>
      </c>
    </row>
    <row r="551" spans="1:2" x14ac:dyDescent="0.3">
      <c r="A551">
        <v>34</v>
      </c>
      <c r="B551">
        <v>33</v>
      </c>
    </row>
    <row r="552" spans="1:2" x14ac:dyDescent="0.3">
      <c r="A552">
        <v>23</v>
      </c>
      <c r="B552">
        <v>33</v>
      </c>
    </row>
    <row r="553" spans="1:2" x14ac:dyDescent="0.3">
      <c r="A553">
        <v>39</v>
      </c>
      <c r="B553">
        <v>33</v>
      </c>
    </row>
    <row r="554" spans="1:2" x14ac:dyDescent="0.3">
      <c r="A554">
        <v>56</v>
      </c>
      <c r="B554">
        <v>33</v>
      </c>
    </row>
    <row r="555" spans="1:2" x14ac:dyDescent="0.3">
      <c r="A555">
        <v>40</v>
      </c>
      <c r="B555">
        <v>33</v>
      </c>
    </row>
    <row r="556" spans="1:2" x14ac:dyDescent="0.3">
      <c r="A556">
        <v>27</v>
      </c>
      <c r="B556">
        <v>33</v>
      </c>
    </row>
    <row r="557" spans="1:2" x14ac:dyDescent="0.3">
      <c r="A557">
        <v>29</v>
      </c>
      <c r="B557">
        <v>33</v>
      </c>
    </row>
    <row r="558" spans="1:2" x14ac:dyDescent="0.3">
      <c r="A558">
        <v>53</v>
      </c>
      <c r="B558">
        <v>33</v>
      </c>
    </row>
    <row r="559" spans="1:2" x14ac:dyDescent="0.3">
      <c r="A559">
        <v>35</v>
      </c>
      <c r="B559">
        <v>33</v>
      </c>
    </row>
    <row r="560" spans="1:2" x14ac:dyDescent="0.3">
      <c r="A560">
        <v>32</v>
      </c>
      <c r="B560">
        <v>33</v>
      </c>
    </row>
    <row r="561" spans="1:2" x14ac:dyDescent="0.3">
      <c r="A561">
        <v>38</v>
      </c>
      <c r="B561">
        <v>33</v>
      </c>
    </row>
    <row r="562" spans="1:2" x14ac:dyDescent="0.3">
      <c r="A562">
        <v>34</v>
      </c>
      <c r="B562">
        <v>33</v>
      </c>
    </row>
    <row r="563" spans="1:2" x14ac:dyDescent="0.3">
      <c r="A563">
        <v>52</v>
      </c>
      <c r="B563">
        <v>33</v>
      </c>
    </row>
    <row r="564" spans="1:2" x14ac:dyDescent="0.3">
      <c r="A564">
        <v>33</v>
      </c>
      <c r="B564">
        <v>33</v>
      </c>
    </row>
    <row r="565" spans="1:2" x14ac:dyDescent="0.3">
      <c r="A565">
        <v>25</v>
      </c>
      <c r="B565">
        <v>33</v>
      </c>
    </row>
    <row r="566" spans="1:2" x14ac:dyDescent="0.3">
      <c r="A566">
        <v>45</v>
      </c>
      <c r="B566">
        <v>33</v>
      </c>
    </row>
    <row r="567" spans="1:2" x14ac:dyDescent="0.3">
      <c r="A567">
        <v>23</v>
      </c>
      <c r="B567">
        <v>33</v>
      </c>
    </row>
    <row r="568" spans="1:2" x14ac:dyDescent="0.3">
      <c r="A568">
        <v>47</v>
      </c>
      <c r="B568">
        <v>33</v>
      </c>
    </row>
    <row r="569" spans="1:2" x14ac:dyDescent="0.3">
      <c r="A569">
        <v>34</v>
      </c>
      <c r="B569">
        <v>33</v>
      </c>
    </row>
    <row r="570" spans="1:2" x14ac:dyDescent="0.3">
      <c r="A570">
        <v>55</v>
      </c>
      <c r="B570">
        <v>33</v>
      </c>
    </row>
    <row r="571" spans="1:2" x14ac:dyDescent="0.3">
      <c r="A571">
        <v>36</v>
      </c>
      <c r="B571">
        <v>33</v>
      </c>
    </row>
    <row r="572" spans="1:2" x14ac:dyDescent="0.3">
      <c r="A572">
        <v>52</v>
      </c>
      <c r="B572">
        <v>33</v>
      </c>
    </row>
    <row r="573" spans="1:2" x14ac:dyDescent="0.3">
      <c r="A573">
        <v>26</v>
      </c>
      <c r="B573">
        <v>33</v>
      </c>
    </row>
    <row r="574" spans="1:2" x14ac:dyDescent="0.3">
      <c r="A574">
        <v>29</v>
      </c>
      <c r="B574">
        <v>33</v>
      </c>
    </row>
    <row r="575" spans="1:2" x14ac:dyDescent="0.3">
      <c r="A575">
        <v>26</v>
      </c>
      <c r="B575">
        <v>33</v>
      </c>
    </row>
    <row r="576" spans="1:2" x14ac:dyDescent="0.3">
      <c r="A576">
        <v>34</v>
      </c>
      <c r="B576">
        <v>34</v>
      </c>
    </row>
    <row r="577" spans="1:2" x14ac:dyDescent="0.3">
      <c r="A577">
        <v>54</v>
      </c>
      <c r="B577">
        <v>34</v>
      </c>
    </row>
    <row r="578" spans="1:2" x14ac:dyDescent="0.3">
      <c r="A578">
        <v>27</v>
      </c>
      <c r="B578">
        <v>34</v>
      </c>
    </row>
    <row r="579" spans="1:2" x14ac:dyDescent="0.3">
      <c r="A579">
        <v>37</v>
      </c>
      <c r="B579">
        <v>34</v>
      </c>
    </row>
    <row r="580" spans="1:2" x14ac:dyDescent="0.3">
      <c r="A580">
        <v>38</v>
      </c>
      <c r="B580">
        <v>34</v>
      </c>
    </row>
    <row r="581" spans="1:2" x14ac:dyDescent="0.3">
      <c r="A581">
        <v>34</v>
      </c>
      <c r="B581">
        <v>34</v>
      </c>
    </row>
    <row r="582" spans="1:2" x14ac:dyDescent="0.3">
      <c r="A582">
        <v>35</v>
      </c>
      <c r="B582">
        <v>34</v>
      </c>
    </row>
    <row r="583" spans="1:2" x14ac:dyDescent="0.3">
      <c r="A583">
        <v>30</v>
      </c>
      <c r="B583">
        <v>34</v>
      </c>
    </row>
    <row r="584" spans="1:2" x14ac:dyDescent="0.3">
      <c r="A584">
        <v>40</v>
      </c>
      <c r="B584">
        <v>34</v>
      </c>
    </row>
    <row r="585" spans="1:2" x14ac:dyDescent="0.3">
      <c r="A585">
        <v>34</v>
      </c>
      <c r="B585">
        <v>34</v>
      </c>
    </row>
    <row r="586" spans="1:2" x14ac:dyDescent="0.3">
      <c r="A586">
        <v>42</v>
      </c>
      <c r="B586">
        <v>34</v>
      </c>
    </row>
    <row r="587" spans="1:2" x14ac:dyDescent="0.3">
      <c r="A587">
        <v>23</v>
      </c>
      <c r="B587">
        <v>34</v>
      </c>
    </row>
    <row r="588" spans="1:2" x14ac:dyDescent="0.3">
      <c r="A588">
        <v>24</v>
      </c>
      <c r="B588">
        <v>34</v>
      </c>
    </row>
    <row r="589" spans="1:2" x14ac:dyDescent="0.3">
      <c r="A589">
        <v>52</v>
      </c>
      <c r="B589">
        <v>34</v>
      </c>
    </row>
    <row r="590" spans="1:2" x14ac:dyDescent="0.3">
      <c r="A590">
        <v>50</v>
      </c>
      <c r="B590">
        <v>34</v>
      </c>
    </row>
    <row r="591" spans="1:2" x14ac:dyDescent="0.3">
      <c r="A591">
        <v>29</v>
      </c>
      <c r="B591">
        <v>34</v>
      </c>
    </row>
    <row r="592" spans="1:2" x14ac:dyDescent="0.3">
      <c r="A592">
        <v>33</v>
      </c>
      <c r="B592">
        <v>34</v>
      </c>
    </row>
    <row r="593" spans="1:2" x14ac:dyDescent="0.3">
      <c r="A593">
        <v>33</v>
      </c>
      <c r="B593">
        <v>34</v>
      </c>
    </row>
    <row r="594" spans="1:2" x14ac:dyDescent="0.3">
      <c r="A594">
        <v>47</v>
      </c>
      <c r="B594">
        <v>34</v>
      </c>
    </row>
    <row r="595" spans="1:2" x14ac:dyDescent="0.3">
      <c r="A595">
        <v>36</v>
      </c>
      <c r="B595">
        <v>34</v>
      </c>
    </row>
    <row r="596" spans="1:2" x14ac:dyDescent="0.3">
      <c r="A596">
        <v>29</v>
      </c>
      <c r="B596">
        <v>34</v>
      </c>
    </row>
    <row r="597" spans="1:2" x14ac:dyDescent="0.3">
      <c r="A597">
        <v>58</v>
      </c>
      <c r="B597">
        <v>34</v>
      </c>
    </row>
    <row r="598" spans="1:2" x14ac:dyDescent="0.3">
      <c r="A598">
        <v>35</v>
      </c>
      <c r="B598">
        <v>34</v>
      </c>
    </row>
    <row r="599" spans="1:2" x14ac:dyDescent="0.3">
      <c r="A599">
        <v>42</v>
      </c>
      <c r="B599">
        <v>34</v>
      </c>
    </row>
    <row r="600" spans="1:2" x14ac:dyDescent="0.3">
      <c r="A600">
        <v>28</v>
      </c>
      <c r="B600">
        <v>34</v>
      </c>
    </row>
    <row r="601" spans="1:2" x14ac:dyDescent="0.3">
      <c r="A601">
        <v>36</v>
      </c>
      <c r="B601">
        <v>34</v>
      </c>
    </row>
    <row r="602" spans="1:2" x14ac:dyDescent="0.3">
      <c r="A602">
        <v>32</v>
      </c>
      <c r="B602">
        <v>34</v>
      </c>
    </row>
    <row r="603" spans="1:2" x14ac:dyDescent="0.3">
      <c r="A603">
        <v>40</v>
      </c>
      <c r="B603">
        <v>34</v>
      </c>
    </row>
    <row r="604" spans="1:2" x14ac:dyDescent="0.3">
      <c r="A604">
        <v>30</v>
      </c>
      <c r="B604">
        <v>34</v>
      </c>
    </row>
    <row r="605" spans="1:2" x14ac:dyDescent="0.3">
      <c r="A605">
        <v>45</v>
      </c>
      <c r="B605">
        <v>34</v>
      </c>
    </row>
    <row r="606" spans="1:2" x14ac:dyDescent="0.3">
      <c r="A606">
        <v>42</v>
      </c>
      <c r="B606">
        <v>34</v>
      </c>
    </row>
    <row r="607" spans="1:2" x14ac:dyDescent="0.3">
      <c r="A607">
        <v>38</v>
      </c>
      <c r="B607">
        <v>34</v>
      </c>
    </row>
    <row r="608" spans="1:2" x14ac:dyDescent="0.3">
      <c r="A608">
        <v>34</v>
      </c>
      <c r="B608">
        <v>34</v>
      </c>
    </row>
    <row r="609" spans="1:2" x14ac:dyDescent="0.3">
      <c r="A609">
        <v>49</v>
      </c>
      <c r="B609">
        <v>34</v>
      </c>
    </row>
    <row r="610" spans="1:2" x14ac:dyDescent="0.3">
      <c r="A610">
        <v>55</v>
      </c>
      <c r="B610">
        <v>34</v>
      </c>
    </row>
    <row r="611" spans="1:2" x14ac:dyDescent="0.3">
      <c r="A611">
        <v>43</v>
      </c>
      <c r="B611">
        <v>34</v>
      </c>
    </row>
    <row r="612" spans="1:2" x14ac:dyDescent="0.3">
      <c r="A612">
        <v>27</v>
      </c>
      <c r="B612">
        <v>34</v>
      </c>
    </row>
    <row r="613" spans="1:2" x14ac:dyDescent="0.3">
      <c r="A613">
        <v>35</v>
      </c>
      <c r="B613">
        <v>34</v>
      </c>
    </row>
    <row r="614" spans="1:2" x14ac:dyDescent="0.3">
      <c r="A614">
        <v>28</v>
      </c>
      <c r="B614">
        <v>34</v>
      </c>
    </row>
    <row r="615" spans="1:2" x14ac:dyDescent="0.3">
      <c r="A615">
        <v>34</v>
      </c>
      <c r="B615">
        <v>34</v>
      </c>
    </row>
    <row r="616" spans="1:2" x14ac:dyDescent="0.3">
      <c r="A616">
        <v>26</v>
      </c>
      <c r="B616">
        <v>34</v>
      </c>
    </row>
    <row r="617" spans="1:2" x14ac:dyDescent="0.3">
      <c r="A617">
        <v>27</v>
      </c>
      <c r="B617">
        <v>34</v>
      </c>
    </row>
    <row r="618" spans="1:2" x14ac:dyDescent="0.3">
      <c r="A618">
        <v>51</v>
      </c>
      <c r="B618">
        <v>34</v>
      </c>
    </row>
    <row r="619" spans="1:2" x14ac:dyDescent="0.3">
      <c r="A619">
        <v>44</v>
      </c>
      <c r="B619">
        <v>34</v>
      </c>
    </row>
    <row r="620" spans="1:2" x14ac:dyDescent="0.3">
      <c r="A620">
        <v>25</v>
      </c>
      <c r="B620">
        <v>34</v>
      </c>
    </row>
    <row r="621" spans="1:2" x14ac:dyDescent="0.3">
      <c r="A621">
        <v>33</v>
      </c>
      <c r="B621">
        <v>34</v>
      </c>
    </row>
    <row r="622" spans="1:2" x14ac:dyDescent="0.3">
      <c r="A622">
        <v>35</v>
      </c>
      <c r="B622">
        <v>34</v>
      </c>
    </row>
    <row r="623" spans="1:2" x14ac:dyDescent="0.3">
      <c r="A623">
        <v>36</v>
      </c>
      <c r="B623">
        <v>34</v>
      </c>
    </row>
    <row r="624" spans="1:2" x14ac:dyDescent="0.3">
      <c r="A624">
        <v>32</v>
      </c>
      <c r="B624">
        <v>34</v>
      </c>
    </row>
    <row r="625" spans="1:2" x14ac:dyDescent="0.3">
      <c r="A625">
        <v>30</v>
      </c>
      <c r="B625">
        <v>34</v>
      </c>
    </row>
    <row r="626" spans="1:2" x14ac:dyDescent="0.3">
      <c r="A626">
        <v>53</v>
      </c>
      <c r="B626">
        <v>34</v>
      </c>
    </row>
    <row r="627" spans="1:2" x14ac:dyDescent="0.3">
      <c r="A627">
        <v>45</v>
      </c>
      <c r="B627">
        <v>34</v>
      </c>
    </row>
    <row r="628" spans="1:2" x14ac:dyDescent="0.3">
      <c r="A628">
        <v>32</v>
      </c>
      <c r="B628">
        <v>34</v>
      </c>
    </row>
    <row r="629" spans="1:2" x14ac:dyDescent="0.3">
      <c r="A629">
        <v>52</v>
      </c>
      <c r="B629">
        <v>34</v>
      </c>
    </row>
    <row r="630" spans="1:2" x14ac:dyDescent="0.3">
      <c r="A630">
        <v>37</v>
      </c>
      <c r="B630">
        <v>34</v>
      </c>
    </row>
    <row r="631" spans="1:2" x14ac:dyDescent="0.3">
      <c r="A631">
        <v>28</v>
      </c>
      <c r="B631">
        <v>34</v>
      </c>
    </row>
    <row r="632" spans="1:2" x14ac:dyDescent="0.3">
      <c r="A632">
        <v>22</v>
      </c>
      <c r="B632">
        <v>34</v>
      </c>
    </row>
    <row r="633" spans="1:2" x14ac:dyDescent="0.3">
      <c r="A633">
        <v>44</v>
      </c>
      <c r="B633">
        <v>34</v>
      </c>
    </row>
    <row r="634" spans="1:2" x14ac:dyDescent="0.3">
      <c r="A634">
        <v>42</v>
      </c>
      <c r="B634">
        <v>34</v>
      </c>
    </row>
    <row r="635" spans="1:2" x14ac:dyDescent="0.3">
      <c r="A635">
        <v>36</v>
      </c>
      <c r="B635">
        <v>34</v>
      </c>
    </row>
    <row r="636" spans="1:2" x14ac:dyDescent="0.3">
      <c r="A636">
        <v>25</v>
      </c>
      <c r="B636">
        <v>34</v>
      </c>
    </row>
    <row r="637" spans="1:2" x14ac:dyDescent="0.3">
      <c r="A637">
        <v>35</v>
      </c>
      <c r="B637">
        <v>34</v>
      </c>
    </row>
    <row r="638" spans="1:2" x14ac:dyDescent="0.3">
      <c r="A638">
        <v>35</v>
      </c>
      <c r="B638">
        <v>34</v>
      </c>
    </row>
    <row r="639" spans="1:2" x14ac:dyDescent="0.3">
      <c r="A639">
        <v>32</v>
      </c>
      <c r="B639">
        <v>34</v>
      </c>
    </row>
    <row r="640" spans="1:2" x14ac:dyDescent="0.3">
      <c r="A640">
        <v>25</v>
      </c>
      <c r="B640">
        <v>34</v>
      </c>
    </row>
    <row r="641" spans="1:2" x14ac:dyDescent="0.3">
      <c r="A641">
        <v>49</v>
      </c>
      <c r="B641">
        <v>34</v>
      </c>
    </row>
    <row r="642" spans="1:2" x14ac:dyDescent="0.3">
      <c r="A642">
        <v>24</v>
      </c>
      <c r="B642">
        <v>34</v>
      </c>
    </row>
    <row r="643" spans="1:2" x14ac:dyDescent="0.3">
      <c r="A643">
        <v>32</v>
      </c>
      <c r="B643">
        <v>34</v>
      </c>
    </row>
    <row r="644" spans="1:2" x14ac:dyDescent="0.3">
      <c r="A644">
        <v>38</v>
      </c>
      <c r="B644">
        <v>34</v>
      </c>
    </row>
    <row r="645" spans="1:2" x14ac:dyDescent="0.3">
      <c r="A645">
        <v>42</v>
      </c>
      <c r="B645">
        <v>34</v>
      </c>
    </row>
    <row r="646" spans="1:2" x14ac:dyDescent="0.3">
      <c r="A646">
        <v>31</v>
      </c>
      <c r="B646">
        <v>34</v>
      </c>
    </row>
    <row r="647" spans="1:2" x14ac:dyDescent="0.3">
      <c r="A647">
        <v>29</v>
      </c>
      <c r="B647">
        <v>34</v>
      </c>
    </row>
    <row r="648" spans="1:2" x14ac:dyDescent="0.3">
      <c r="A648">
        <v>53</v>
      </c>
      <c r="B648">
        <v>34</v>
      </c>
    </row>
    <row r="649" spans="1:2" x14ac:dyDescent="0.3">
      <c r="A649">
        <v>35</v>
      </c>
      <c r="B649">
        <v>34</v>
      </c>
    </row>
    <row r="650" spans="1:2" x14ac:dyDescent="0.3">
      <c r="A650">
        <v>37</v>
      </c>
      <c r="B650">
        <v>34</v>
      </c>
    </row>
    <row r="651" spans="1:2" x14ac:dyDescent="0.3">
      <c r="A651">
        <v>53</v>
      </c>
      <c r="B651">
        <v>34</v>
      </c>
    </row>
    <row r="652" spans="1:2" x14ac:dyDescent="0.3">
      <c r="A652">
        <v>43</v>
      </c>
      <c r="B652">
        <v>34</v>
      </c>
    </row>
    <row r="653" spans="1:2" x14ac:dyDescent="0.3">
      <c r="A653">
        <v>47</v>
      </c>
      <c r="B653">
        <v>35</v>
      </c>
    </row>
    <row r="654" spans="1:2" x14ac:dyDescent="0.3">
      <c r="A654">
        <v>37</v>
      </c>
      <c r="B654">
        <v>35</v>
      </c>
    </row>
    <row r="655" spans="1:2" x14ac:dyDescent="0.3">
      <c r="A655">
        <v>50</v>
      </c>
      <c r="B655">
        <v>35</v>
      </c>
    </row>
    <row r="656" spans="1:2" x14ac:dyDescent="0.3">
      <c r="A656">
        <v>39</v>
      </c>
      <c r="B656">
        <v>35</v>
      </c>
    </row>
    <row r="657" spans="1:2" x14ac:dyDescent="0.3">
      <c r="A657">
        <v>33</v>
      </c>
      <c r="B657">
        <v>35</v>
      </c>
    </row>
    <row r="658" spans="1:2" x14ac:dyDescent="0.3">
      <c r="A658">
        <v>32</v>
      </c>
      <c r="B658">
        <v>35</v>
      </c>
    </row>
    <row r="659" spans="1:2" x14ac:dyDescent="0.3">
      <c r="A659">
        <v>29</v>
      </c>
      <c r="B659">
        <v>35</v>
      </c>
    </row>
    <row r="660" spans="1:2" x14ac:dyDescent="0.3">
      <c r="A660">
        <v>44</v>
      </c>
      <c r="B660">
        <v>35</v>
      </c>
    </row>
    <row r="661" spans="1:2" x14ac:dyDescent="0.3">
      <c r="A661">
        <v>28</v>
      </c>
      <c r="B661">
        <v>35</v>
      </c>
    </row>
    <row r="662" spans="1:2" x14ac:dyDescent="0.3">
      <c r="A662">
        <v>58</v>
      </c>
      <c r="B662">
        <v>35</v>
      </c>
    </row>
    <row r="663" spans="1:2" x14ac:dyDescent="0.3">
      <c r="A663">
        <v>43</v>
      </c>
      <c r="B663">
        <v>35</v>
      </c>
    </row>
    <row r="664" spans="1:2" x14ac:dyDescent="0.3">
      <c r="A664">
        <v>20</v>
      </c>
      <c r="B664">
        <v>35</v>
      </c>
    </row>
    <row r="665" spans="1:2" x14ac:dyDescent="0.3">
      <c r="A665">
        <v>21</v>
      </c>
      <c r="B665">
        <v>35</v>
      </c>
    </row>
    <row r="666" spans="1:2" x14ac:dyDescent="0.3">
      <c r="A666">
        <v>36</v>
      </c>
      <c r="B666">
        <v>35</v>
      </c>
    </row>
    <row r="667" spans="1:2" x14ac:dyDescent="0.3">
      <c r="A667">
        <v>47</v>
      </c>
      <c r="B667">
        <v>35</v>
      </c>
    </row>
    <row r="668" spans="1:2" x14ac:dyDescent="0.3">
      <c r="A668">
        <v>22</v>
      </c>
      <c r="B668">
        <v>35</v>
      </c>
    </row>
    <row r="669" spans="1:2" x14ac:dyDescent="0.3">
      <c r="A669">
        <v>41</v>
      </c>
      <c r="B669">
        <v>35</v>
      </c>
    </row>
    <row r="670" spans="1:2" x14ac:dyDescent="0.3">
      <c r="A670">
        <v>28</v>
      </c>
      <c r="B670">
        <v>35</v>
      </c>
    </row>
    <row r="671" spans="1:2" x14ac:dyDescent="0.3">
      <c r="A671">
        <v>39</v>
      </c>
      <c r="B671">
        <v>35</v>
      </c>
    </row>
    <row r="672" spans="1:2" x14ac:dyDescent="0.3">
      <c r="A672">
        <v>27</v>
      </c>
      <c r="B672">
        <v>35</v>
      </c>
    </row>
    <row r="673" spans="1:2" x14ac:dyDescent="0.3">
      <c r="A673">
        <v>34</v>
      </c>
      <c r="B673">
        <v>35</v>
      </c>
    </row>
    <row r="674" spans="1:2" x14ac:dyDescent="0.3">
      <c r="A674">
        <v>42</v>
      </c>
      <c r="B674">
        <v>35</v>
      </c>
    </row>
    <row r="675" spans="1:2" x14ac:dyDescent="0.3">
      <c r="A675">
        <v>33</v>
      </c>
      <c r="B675">
        <v>35</v>
      </c>
    </row>
    <row r="676" spans="1:2" x14ac:dyDescent="0.3">
      <c r="A676">
        <v>58</v>
      </c>
      <c r="B676">
        <v>35</v>
      </c>
    </row>
    <row r="677" spans="1:2" x14ac:dyDescent="0.3">
      <c r="A677">
        <v>31</v>
      </c>
      <c r="B677">
        <v>35</v>
      </c>
    </row>
    <row r="678" spans="1:2" x14ac:dyDescent="0.3">
      <c r="A678">
        <v>35</v>
      </c>
      <c r="B678">
        <v>35</v>
      </c>
    </row>
    <row r="679" spans="1:2" x14ac:dyDescent="0.3">
      <c r="A679">
        <v>49</v>
      </c>
      <c r="B679">
        <v>35</v>
      </c>
    </row>
    <row r="680" spans="1:2" x14ac:dyDescent="0.3">
      <c r="A680">
        <v>48</v>
      </c>
      <c r="B680">
        <v>35</v>
      </c>
    </row>
    <row r="681" spans="1:2" x14ac:dyDescent="0.3">
      <c r="A681">
        <v>31</v>
      </c>
      <c r="B681">
        <v>35</v>
      </c>
    </row>
    <row r="682" spans="1:2" x14ac:dyDescent="0.3">
      <c r="A682">
        <v>36</v>
      </c>
      <c r="B682">
        <v>35</v>
      </c>
    </row>
    <row r="683" spans="1:2" x14ac:dyDescent="0.3">
      <c r="A683">
        <v>38</v>
      </c>
      <c r="B683">
        <v>35</v>
      </c>
    </row>
    <row r="684" spans="1:2" x14ac:dyDescent="0.3">
      <c r="A684">
        <v>32</v>
      </c>
      <c r="B684">
        <v>35</v>
      </c>
    </row>
    <row r="685" spans="1:2" x14ac:dyDescent="0.3">
      <c r="A685">
        <v>25</v>
      </c>
      <c r="B685">
        <v>35</v>
      </c>
    </row>
    <row r="686" spans="1:2" x14ac:dyDescent="0.3">
      <c r="A686">
        <v>40</v>
      </c>
      <c r="B686">
        <v>35</v>
      </c>
    </row>
    <row r="687" spans="1:2" x14ac:dyDescent="0.3">
      <c r="A687">
        <v>26</v>
      </c>
      <c r="B687">
        <v>35</v>
      </c>
    </row>
    <row r="688" spans="1:2" x14ac:dyDescent="0.3">
      <c r="A688">
        <v>41</v>
      </c>
      <c r="B688">
        <v>35</v>
      </c>
    </row>
    <row r="689" spans="1:2" x14ac:dyDescent="0.3">
      <c r="A689">
        <v>36</v>
      </c>
      <c r="B689">
        <v>35</v>
      </c>
    </row>
    <row r="690" spans="1:2" x14ac:dyDescent="0.3">
      <c r="A690">
        <v>19</v>
      </c>
      <c r="B690">
        <v>35</v>
      </c>
    </row>
    <row r="691" spans="1:2" x14ac:dyDescent="0.3">
      <c r="A691">
        <v>20</v>
      </c>
      <c r="B691">
        <v>35</v>
      </c>
    </row>
    <row r="692" spans="1:2" x14ac:dyDescent="0.3">
      <c r="A692">
        <v>31</v>
      </c>
      <c r="B692">
        <v>35</v>
      </c>
    </row>
    <row r="693" spans="1:2" x14ac:dyDescent="0.3">
      <c r="A693">
        <v>40</v>
      </c>
      <c r="B693">
        <v>35</v>
      </c>
    </row>
    <row r="694" spans="1:2" x14ac:dyDescent="0.3">
      <c r="A694">
        <v>32</v>
      </c>
      <c r="B694">
        <v>35</v>
      </c>
    </row>
    <row r="695" spans="1:2" x14ac:dyDescent="0.3">
      <c r="A695">
        <v>36</v>
      </c>
      <c r="B695">
        <v>35</v>
      </c>
    </row>
    <row r="696" spans="1:2" x14ac:dyDescent="0.3">
      <c r="A696">
        <v>33</v>
      </c>
      <c r="B696">
        <v>35</v>
      </c>
    </row>
    <row r="697" spans="1:2" x14ac:dyDescent="0.3">
      <c r="A697">
        <v>37</v>
      </c>
      <c r="B697">
        <v>35</v>
      </c>
    </row>
    <row r="698" spans="1:2" x14ac:dyDescent="0.3">
      <c r="A698">
        <v>45</v>
      </c>
      <c r="B698">
        <v>35</v>
      </c>
    </row>
    <row r="699" spans="1:2" x14ac:dyDescent="0.3">
      <c r="A699">
        <v>29</v>
      </c>
      <c r="B699">
        <v>35</v>
      </c>
    </row>
    <row r="700" spans="1:2" x14ac:dyDescent="0.3">
      <c r="A700">
        <v>35</v>
      </c>
      <c r="B700">
        <v>35</v>
      </c>
    </row>
    <row r="701" spans="1:2" x14ac:dyDescent="0.3">
      <c r="A701">
        <v>52</v>
      </c>
      <c r="B701">
        <v>35</v>
      </c>
    </row>
    <row r="702" spans="1:2" x14ac:dyDescent="0.3">
      <c r="A702">
        <v>58</v>
      </c>
      <c r="B702">
        <v>35</v>
      </c>
    </row>
    <row r="703" spans="1:2" x14ac:dyDescent="0.3">
      <c r="A703">
        <v>53</v>
      </c>
      <c r="B703">
        <v>35</v>
      </c>
    </row>
    <row r="704" spans="1:2" x14ac:dyDescent="0.3">
      <c r="A704">
        <v>30</v>
      </c>
      <c r="B704">
        <v>35</v>
      </c>
    </row>
    <row r="705" spans="1:2" x14ac:dyDescent="0.3">
      <c r="A705">
        <v>38</v>
      </c>
      <c r="B705">
        <v>35</v>
      </c>
    </row>
    <row r="706" spans="1:2" x14ac:dyDescent="0.3">
      <c r="A706">
        <v>35</v>
      </c>
      <c r="B706">
        <v>35</v>
      </c>
    </row>
    <row r="707" spans="1:2" x14ac:dyDescent="0.3">
      <c r="A707">
        <v>39</v>
      </c>
      <c r="B707">
        <v>35</v>
      </c>
    </row>
    <row r="708" spans="1:2" x14ac:dyDescent="0.3">
      <c r="A708">
        <v>40</v>
      </c>
      <c r="B708">
        <v>35</v>
      </c>
    </row>
    <row r="709" spans="1:2" x14ac:dyDescent="0.3">
      <c r="A709">
        <v>47</v>
      </c>
      <c r="B709">
        <v>35</v>
      </c>
    </row>
    <row r="710" spans="1:2" x14ac:dyDescent="0.3">
      <c r="A710">
        <v>36</v>
      </c>
      <c r="B710">
        <v>35</v>
      </c>
    </row>
    <row r="711" spans="1:2" x14ac:dyDescent="0.3">
      <c r="A711">
        <v>31</v>
      </c>
      <c r="B711">
        <v>35</v>
      </c>
    </row>
    <row r="712" spans="1:2" x14ac:dyDescent="0.3">
      <c r="A712">
        <v>33</v>
      </c>
      <c r="B712">
        <v>35</v>
      </c>
    </row>
    <row r="713" spans="1:2" x14ac:dyDescent="0.3">
      <c r="A713">
        <v>29</v>
      </c>
      <c r="B713">
        <v>35</v>
      </c>
    </row>
    <row r="714" spans="1:2" x14ac:dyDescent="0.3">
      <c r="A714">
        <v>33</v>
      </c>
      <c r="B714">
        <v>35</v>
      </c>
    </row>
    <row r="715" spans="1:2" x14ac:dyDescent="0.3">
      <c r="A715">
        <v>45</v>
      </c>
      <c r="B715">
        <v>35</v>
      </c>
    </row>
    <row r="716" spans="1:2" x14ac:dyDescent="0.3">
      <c r="A716">
        <v>50</v>
      </c>
      <c r="B716">
        <v>35</v>
      </c>
    </row>
    <row r="717" spans="1:2" x14ac:dyDescent="0.3">
      <c r="A717">
        <v>33</v>
      </c>
      <c r="B717">
        <v>35</v>
      </c>
    </row>
    <row r="718" spans="1:2" x14ac:dyDescent="0.3">
      <c r="A718">
        <v>41</v>
      </c>
      <c r="B718">
        <v>35</v>
      </c>
    </row>
    <row r="719" spans="1:2" x14ac:dyDescent="0.3">
      <c r="A719">
        <v>27</v>
      </c>
      <c r="B719">
        <v>35</v>
      </c>
    </row>
    <row r="720" spans="1:2" x14ac:dyDescent="0.3">
      <c r="A720">
        <v>45</v>
      </c>
      <c r="B720">
        <v>35</v>
      </c>
    </row>
    <row r="721" spans="1:2" x14ac:dyDescent="0.3">
      <c r="A721">
        <v>47</v>
      </c>
      <c r="B721">
        <v>35</v>
      </c>
    </row>
    <row r="722" spans="1:2" x14ac:dyDescent="0.3">
      <c r="A722">
        <v>30</v>
      </c>
      <c r="B722">
        <v>35</v>
      </c>
    </row>
    <row r="723" spans="1:2" x14ac:dyDescent="0.3">
      <c r="A723">
        <v>50</v>
      </c>
      <c r="B723">
        <v>35</v>
      </c>
    </row>
    <row r="724" spans="1:2" x14ac:dyDescent="0.3">
      <c r="A724">
        <v>38</v>
      </c>
      <c r="B724">
        <v>35</v>
      </c>
    </row>
    <row r="725" spans="1:2" x14ac:dyDescent="0.3">
      <c r="A725">
        <v>46</v>
      </c>
      <c r="B725">
        <v>35</v>
      </c>
    </row>
    <row r="726" spans="1:2" x14ac:dyDescent="0.3">
      <c r="A726">
        <v>24</v>
      </c>
      <c r="B726">
        <v>35</v>
      </c>
    </row>
    <row r="727" spans="1:2" x14ac:dyDescent="0.3">
      <c r="A727">
        <v>35</v>
      </c>
      <c r="B727">
        <v>35</v>
      </c>
    </row>
    <row r="728" spans="1:2" x14ac:dyDescent="0.3">
      <c r="A728">
        <v>31</v>
      </c>
      <c r="B728">
        <v>35</v>
      </c>
    </row>
    <row r="729" spans="1:2" x14ac:dyDescent="0.3">
      <c r="A729">
        <v>18</v>
      </c>
      <c r="B729">
        <v>35</v>
      </c>
    </row>
    <row r="730" spans="1:2" x14ac:dyDescent="0.3">
      <c r="A730">
        <v>54</v>
      </c>
      <c r="B730">
        <v>35</v>
      </c>
    </row>
    <row r="731" spans="1:2" x14ac:dyDescent="0.3">
      <c r="A731">
        <v>35</v>
      </c>
      <c r="B731">
        <v>36</v>
      </c>
    </row>
    <row r="732" spans="1:2" x14ac:dyDescent="0.3">
      <c r="A732">
        <v>30</v>
      </c>
      <c r="B732">
        <v>36</v>
      </c>
    </row>
    <row r="733" spans="1:2" x14ac:dyDescent="0.3">
      <c r="A733">
        <v>20</v>
      </c>
      <c r="B733">
        <v>36</v>
      </c>
    </row>
    <row r="734" spans="1:2" x14ac:dyDescent="0.3">
      <c r="A734">
        <v>30</v>
      </c>
      <c r="B734">
        <v>36</v>
      </c>
    </row>
    <row r="735" spans="1:2" x14ac:dyDescent="0.3">
      <c r="A735">
        <v>26</v>
      </c>
      <c r="B735">
        <v>36</v>
      </c>
    </row>
    <row r="736" spans="1:2" x14ac:dyDescent="0.3">
      <c r="A736">
        <v>22</v>
      </c>
      <c r="B736">
        <v>36</v>
      </c>
    </row>
    <row r="737" spans="1:2" x14ac:dyDescent="0.3">
      <c r="A737">
        <v>48</v>
      </c>
      <c r="B737">
        <v>36</v>
      </c>
    </row>
    <row r="738" spans="1:2" x14ac:dyDescent="0.3">
      <c r="A738">
        <v>48</v>
      </c>
      <c r="B738">
        <v>36</v>
      </c>
    </row>
    <row r="739" spans="1:2" x14ac:dyDescent="0.3">
      <c r="A739">
        <v>41</v>
      </c>
      <c r="B739">
        <v>36</v>
      </c>
    </row>
    <row r="740" spans="1:2" x14ac:dyDescent="0.3">
      <c r="A740">
        <v>39</v>
      </c>
      <c r="B740">
        <v>36</v>
      </c>
    </row>
    <row r="741" spans="1:2" x14ac:dyDescent="0.3">
      <c r="A741">
        <v>27</v>
      </c>
      <c r="B741">
        <v>36</v>
      </c>
    </row>
    <row r="742" spans="1:2" x14ac:dyDescent="0.3">
      <c r="A742">
        <v>35</v>
      </c>
      <c r="B742">
        <v>36</v>
      </c>
    </row>
    <row r="743" spans="1:2" x14ac:dyDescent="0.3">
      <c r="A743">
        <v>42</v>
      </c>
      <c r="B743">
        <v>36</v>
      </c>
    </row>
    <row r="744" spans="1:2" x14ac:dyDescent="0.3">
      <c r="A744">
        <v>50</v>
      </c>
      <c r="B744">
        <v>36</v>
      </c>
    </row>
    <row r="745" spans="1:2" x14ac:dyDescent="0.3">
      <c r="A745">
        <v>59</v>
      </c>
      <c r="B745">
        <v>36</v>
      </c>
    </row>
    <row r="746" spans="1:2" x14ac:dyDescent="0.3">
      <c r="A746">
        <v>37</v>
      </c>
      <c r="B746">
        <v>36</v>
      </c>
    </row>
    <row r="747" spans="1:2" x14ac:dyDescent="0.3">
      <c r="A747">
        <v>55</v>
      </c>
      <c r="B747">
        <v>36</v>
      </c>
    </row>
    <row r="748" spans="1:2" x14ac:dyDescent="0.3">
      <c r="A748">
        <v>41</v>
      </c>
      <c r="B748">
        <v>36</v>
      </c>
    </row>
    <row r="749" spans="1:2" x14ac:dyDescent="0.3">
      <c r="A749">
        <v>38</v>
      </c>
      <c r="B749">
        <v>36</v>
      </c>
    </row>
    <row r="750" spans="1:2" x14ac:dyDescent="0.3">
      <c r="A750">
        <v>26</v>
      </c>
      <c r="B750">
        <v>36</v>
      </c>
    </row>
    <row r="751" spans="1:2" x14ac:dyDescent="0.3">
      <c r="A751">
        <v>52</v>
      </c>
      <c r="B751">
        <v>36</v>
      </c>
    </row>
    <row r="752" spans="1:2" x14ac:dyDescent="0.3">
      <c r="A752">
        <v>44</v>
      </c>
      <c r="B752">
        <v>36</v>
      </c>
    </row>
    <row r="753" spans="1:2" x14ac:dyDescent="0.3">
      <c r="A753">
        <v>50</v>
      </c>
      <c r="B753">
        <v>36</v>
      </c>
    </row>
    <row r="754" spans="1:2" x14ac:dyDescent="0.3">
      <c r="A754">
        <v>36</v>
      </c>
      <c r="B754">
        <v>36</v>
      </c>
    </row>
    <row r="755" spans="1:2" x14ac:dyDescent="0.3">
      <c r="A755">
        <v>39</v>
      </c>
      <c r="B755">
        <v>36</v>
      </c>
    </row>
    <row r="756" spans="1:2" x14ac:dyDescent="0.3">
      <c r="A756">
        <v>33</v>
      </c>
      <c r="B756">
        <v>36</v>
      </c>
    </row>
    <row r="757" spans="1:2" x14ac:dyDescent="0.3">
      <c r="A757">
        <v>45</v>
      </c>
      <c r="B757">
        <v>36</v>
      </c>
    </row>
    <row r="758" spans="1:2" x14ac:dyDescent="0.3">
      <c r="A758">
        <v>32</v>
      </c>
      <c r="B758">
        <v>36</v>
      </c>
    </row>
    <row r="759" spans="1:2" x14ac:dyDescent="0.3">
      <c r="A759">
        <v>34</v>
      </c>
      <c r="B759">
        <v>36</v>
      </c>
    </row>
    <row r="760" spans="1:2" x14ac:dyDescent="0.3">
      <c r="A760">
        <v>59</v>
      </c>
      <c r="B760">
        <v>36</v>
      </c>
    </row>
    <row r="761" spans="1:2" x14ac:dyDescent="0.3">
      <c r="A761">
        <v>45</v>
      </c>
      <c r="B761">
        <v>36</v>
      </c>
    </row>
    <row r="762" spans="1:2" x14ac:dyDescent="0.3">
      <c r="A762">
        <v>53</v>
      </c>
      <c r="B762">
        <v>36</v>
      </c>
    </row>
    <row r="763" spans="1:2" x14ac:dyDescent="0.3">
      <c r="A763">
        <v>36</v>
      </c>
      <c r="B763">
        <v>36</v>
      </c>
    </row>
    <row r="764" spans="1:2" x14ac:dyDescent="0.3">
      <c r="A764">
        <v>26</v>
      </c>
      <c r="B764">
        <v>36</v>
      </c>
    </row>
    <row r="765" spans="1:2" x14ac:dyDescent="0.3">
      <c r="A765">
        <v>34</v>
      </c>
      <c r="B765">
        <v>36</v>
      </c>
    </row>
    <row r="766" spans="1:2" x14ac:dyDescent="0.3">
      <c r="A766">
        <v>28</v>
      </c>
      <c r="B766">
        <v>36</v>
      </c>
    </row>
    <row r="767" spans="1:2" x14ac:dyDescent="0.3">
      <c r="A767">
        <v>38</v>
      </c>
      <c r="B767">
        <v>36</v>
      </c>
    </row>
    <row r="768" spans="1:2" x14ac:dyDescent="0.3">
      <c r="A768">
        <v>50</v>
      </c>
      <c r="B768">
        <v>36</v>
      </c>
    </row>
    <row r="769" spans="1:2" x14ac:dyDescent="0.3">
      <c r="A769">
        <v>37</v>
      </c>
      <c r="B769">
        <v>36</v>
      </c>
    </row>
    <row r="770" spans="1:2" x14ac:dyDescent="0.3">
      <c r="A770">
        <v>40</v>
      </c>
      <c r="B770">
        <v>36</v>
      </c>
    </row>
    <row r="771" spans="1:2" x14ac:dyDescent="0.3">
      <c r="A771">
        <v>26</v>
      </c>
      <c r="B771">
        <v>36</v>
      </c>
    </row>
    <row r="772" spans="1:2" x14ac:dyDescent="0.3">
      <c r="A772">
        <v>46</v>
      </c>
      <c r="B772">
        <v>36</v>
      </c>
    </row>
    <row r="773" spans="1:2" x14ac:dyDescent="0.3">
      <c r="A773">
        <v>54</v>
      </c>
      <c r="B773">
        <v>36</v>
      </c>
    </row>
    <row r="774" spans="1:2" x14ac:dyDescent="0.3">
      <c r="A774">
        <v>56</v>
      </c>
      <c r="B774">
        <v>36</v>
      </c>
    </row>
    <row r="775" spans="1:2" x14ac:dyDescent="0.3">
      <c r="A775">
        <v>36</v>
      </c>
      <c r="B775">
        <v>36</v>
      </c>
    </row>
    <row r="776" spans="1:2" x14ac:dyDescent="0.3">
      <c r="A776">
        <v>55</v>
      </c>
      <c r="B776">
        <v>36</v>
      </c>
    </row>
    <row r="777" spans="1:2" x14ac:dyDescent="0.3">
      <c r="A777">
        <v>43</v>
      </c>
      <c r="B777">
        <v>36</v>
      </c>
    </row>
    <row r="778" spans="1:2" x14ac:dyDescent="0.3">
      <c r="A778">
        <v>20</v>
      </c>
      <c r="B778">
        <v>36</v>
      </c>
    </row>
    <row r="779" spans="1:2" x14ac:dyDescent="0.3">
      <c r="A779">
        <v>21</v>
      </c>
      <c r="B779">
        <v>36</v>
      </c>
    </row>
    <row r="780" spans="1:2" x14ac:dyDescent="0.3">
      <c r="A780">
        <v>46</v>
      </c>
      <c r="B780">
        <v>36</v>
      </c>
    </row>
    <row r="781" spans="1:2" x14ac:dyDescent="0.3">
      <c r="A781">
        <v>51</v>
      </c>
      <c r="B781">
        <v>36</v>
      </c>
    </row>
    <row r="782" spans="1:2" x14ac:dyDescent="0.3">
      <c r="A782">
        <v>28</v>
      </c>
      <c r="B782">
        <v>36</v>
      </c>
    </row>
    <row r="783" spans="1:2" x14ac:dyDescent="0.3">
      <c r="A783">
        <v>26</v>
      </c>
      <c r="B783">
        <v>36</v>
      </c>
    </row>
    <row r="784" spans="1:2" x14ac:dyDescent="0.3">
      <c r="A784">
        <v>30</v>
      </c>
      <c r="B784">
        <v>36</v>
      </c>
    </row>
    <row r="785" spans="1:2" x14ac:dyDescent="0.3">
      <c r="A785">
        <v>41</v>
      </c>
      <c r="B785">
        <v>36</v>
      </c>
    </row>
    <row r="786" spans="1:2" x14ac:dyDescent="0.3">
      <c r="A786">
        <v>38</v>
      </c>
      <c r="B786">
        <v>36</v>
      </c>
    </row>
    <row r="787" spans="1:2" x14ac:dyDescent="0.3">
      <c r="A787">
        <v>40</v>
      </c>
      <c r="B787">
        <v>36</v>
      </c>
    </row>
    <row r="788" spans="1:2" x14ac:dyDescent="0.3">
      <c r="A788">
        <v>27</v>
      </c>
      <c r="B788">
        <v>36</v>
      </c>
    </row>
    <row r="789" spans="1:2" x14ac:dyDescent="0.3">
      <c r="A789">
        <v>55</v>
      </c>
      <c r="B789">
        <v>36</v>
      </c>
    </row>
    <row r="790" spans="1:2" x14ac:dyDescent="0.3">
      <c r="A790">
        <v>28</v>
      </c>
      <c r="B790">
        <v>36</v>
      </c>
    </row>
    <row r="791" spans="1:2" x14ac:dyDescent="0.3">
      <c r="A791">
        <v>44</v>
      </c>
      <c r="B791">
        <v>36</v>
      </c>
    </row>
    <row r="792" spans="1:2" x14ac:dyDescent="0.3">
      <c r="A792">
        <v>33</v>
      </c>
      <c r="B792">
        <v>36</v>
      </c>
    </row>
    <row r="793" spans="1:2" x14ac:dyDescent="0.3">
      <c r="A793">
        <v>35</v>
      </c>
      <c r="B793">
        <v>36</v>
      </c>
    </row>
    <row r="794" spans="1:2" x14ac:dyDescent="0.3">
      <c r="A794">
        <v>33</v>
      </c>
      <c r="B794">
        <v>36</v>
      </c>
    </row>
    <row r="795" spans="1:2" x14ac:dyDescent="0.3">
      <c r="A795">
        <v>28</v>
      </c>
      <c r="B795">
        <v>36</v>
      </c>
    </row>
    <row r="796" spans="1:2" x14ac:dyDescent="0.3">
      <c r="A796">
        <v>34</v>
      </c>
      <c r="B796">
        <v>36</v>
      </c>
    </row>
    <row r="797" spans="1:2" x14ac:dyDescent="0.3">
      <c r="A797">
        <v>37</v>
      </c>
      <c r="B797">
        <v>36</v>
      </c>
    </row>
    <row r="798" spans="1:2" x14ac:dyDescent="0.3">
      <c r="A798">
        <v>25</v>
      </c>
      <c r="B798">
        <v>36</v>
      </c>
    </row>
    <row r="799" spans="1:2" x14ac:dyDescent="0.3">
      <c r="A799">
        <v>26</v>
      </c>
      <c r="B799">
        <v>36</v>
      </c>
    </row>
    <row r="800" spans="1:2" x14ac:dyDescent="0.3">
      <c r="A800">
        <v>33</v>
      </c>
      <c r="B800">
        <v>37</v>
      </c>
    </row>
    <row r="801" spans="1:2" x14ac:dyDescent="0.3">
      <c r="A801">
        <v>42</v>
      </c>
      <c r="B801">
        <v>37</v>
      </c>
    </row>
    <row r="802" spans="1:2" x14ac:dyDescent="0.3">
      <c r="A802">
        <v>28</v>
      </c>
      <c r="B802">
        <v>37</v>
      </c>
    </row>
    <row r="803" spans="1:2" x14ac:dyDescent="0.3">
      <c r="A803">
        <v>50</v>
      </c>
      <c r="B803">
        <v>37</v>
      </c>
    </row>
    <row r="804" spans="1:2" x14ac:dyDescent="0.3">
      <c r="A804">
        <v>33</v>
      </c>
      <c r="B804">
        <v>37</v>
      </c>
    </row>
    <row r="805" spans="1:2" x14ac:dyDescent="0.3">
      <c r="A805">
        <v>34</v>
      </c>
      <c r="B805">
        <v>37</v>
      </c>
    </row>
    <row r="806" spans="1:2" x14ac:dyDescent="0.3">
      <c r="A806">
        <v>48</v>
      </c>
      <c r="B806">
        <v>37</v>
      </c>
    </row>
    <row r="807" spans="1:2" x14ac:dyDescent="0.3">
      <c r="A807">
        <v>45</v>
      </c>
      <c r="B807">
        <v>37</v>
      </c>
    </row>
    <row r="808" spans="1:2" x14ac:dyDescent="0.3">
      <c r="A808">
        <v>52</v>
      </c>
      <c r="B808">
        <v>37</v>
      </c>
    </row>
    <row r="809" spans="1:2" x14ac:dyDescent="0.3">
      <c r="A809">
        <v>38</v>
      </c>
      <c r="B809">
        <v>37</v>
      </c>
    </row>
    <row r="810" spans="1:2" x14ac:dyDescent="0.3">
      <c r="A810">
        <v>29</v>
      </c>
      <c r="B810">
        <v>37</v>
      </c>
    </row>
    <row r="811" spans="1:2" x14ac:dyDescent="0.3">
      <c r="A811">
        <v>28</v>
      </c>
      <c r="B811">
        <v>37</v>
      </c>
    </row>
    <row r="812" spans="1:2" x14ac:dyDescent="0.3">
      <c r="A812">
        <v>46</v>
      </c>
      <c r="B812">
        <v>37</v>
      </c>
    </row>
    <row r="813" spans="1:2" x14ac:dyDescent="0.3">
      <c r="A813">
        <v>38</v>
      </c>
      <c r="B813">
        <v>37</v>
      </c>
    </row>
    <row r="814" spans="1:2" x14ac:dyDescent="0.3">
      <c r="A814">
        <v>43</v>
      </c>
      <c r="B814">
        <v>37</v>
      </c>
    </row>
    <row r="815" spans="1:2" x14ac:dyDescent="0.3">
      <c r="A815">
        <v>39</v>
      </c>
      <c r="B815">
        <v>37</v>
      </c>
    </row>
    <row r="816" spans="1:2" x14ac:dyDescent="0.3">
      <c r="A816">
        <v>40</v>
      </c>
      <c r="B816">
        <v>37</v>
      </c>
    </row>
    <row r="817" spans="1:2" x14ac:dyDescent="0.3">
      <c r="A817">
        <v>21</v>
      </c>
      <c r="B817">
        <v>37</v>
      </c>
    </row>
    <row r="818" spans="1:2" x14ac:dyDescent="0.3">
      <c r="A818">
        <v>39</v>
      </c>
      <c r="B818">
        <v>37</v>
      </c>
    </row>
    <row r="819" spans="1:2" x14ac:dyDescent="0.3">
      <c r="A819">
        <v>36</v>
      </c>
      <c r="B819">
        <v>37</v>
      </c>
    </row>
    <row r="820" spans="1:2" x14ac:dyDescent="0.3">
      <c r="A820">
        <v>31</v>
      </c>
      <c r="B820">
        <v>37</v>
      </c>
    </row>
    <row r="821" spans="1:2" x14ac:dyDescent="0.3">
      <c r="A821">
        <v>28</v>
      </c>
      <c r="B821">
        <v>37</v>
      </c>
    </row>
    <row r="822" spans="1:2" x14ac:dyDescent="0.3">
      <c r="A822">
        <v>35</v>
      </c>
      <c r="B822">
        <v>37</v>
      </c>
    </row>
    <row r="823" spans="1:2" x14ac:dyDescent="0.3">
      <c r="A823">
        <v>49</v>
      </c>
      <c r="B823">
        <v>37</v>
      </c>
    </row>
    <row r="824" spans="1:2" x14ac:dyDescent="0.3">
      <c r="A824">
        <v>34</v>
      </c>
      <c r="B824">
        <v>37</v>
      </c>
    </row>
    <row r="825" spans="1:2" x14ac:dyDescent="0.3">
      <c r="A825">
        <v>29</v>
      </c>
      <c r="B825">
        <v>37</v>
      </c>
    </row>
    <row r="826" spans="1:2" x14ac:dyDescent="0.3">
      <c r="A826">
        <v>42</v>
      </c>
      <c r="B826">
        <v>37</v>
      </c>
    </row>
    <row r="827" spans="1:2" x14ac:dyDescent="0.3">
      <c r="A827">
        <v>29</v>
      </c>
      <c r="B827">
        <v>37</v>
      </c>
    </row>
    <row r="828" spans="1:2" x14ac:dyDescent="0.3">
      <c r="A828">
        <v>38</v>
      </c>
      <c r="B828">
        <v>37</v>
      </c>
    </row>
    <row r="829" spans="1:2" x14ac:dyDescent="0.3">
      <c r="A829">
        <v>28</v>
      </c>
      <c r="B829">
        <v>37</v>
      </c>
    </row>
    <row r="830" spans="1:2" x14ac:dyDescent="0.3">
      <c r="A830">
        <v>18</v>
      </c>
      <c r="B830">
        <v>37</v>
      </c>
    </row>
    <row r="831" spans="1:2" x14ac:dyDescent="0.3">
      <c r="A831">
        <v>33</v>
      </c>
      <c r="B831">
        <v>37</v>
      </c>
    </row>
    <row r="832" spans="1:2" x14ac:dyDescent="0.3">
      <c r="A832">
        <v>41</v>
      </c>
      <c r="B832">
        <v>37</v>
      </c>
    </row>
    <row r="833" spans="1:2" x14ac:dyDescent="0.3">
      <c r="A833">
        <v>31</v>
      </c>
      <c r="B833">
        <v>37</v>
      </c>
    </row>
    <row r="834" spans="1:2" x14ac:dyDescent="0.3">
      <c r="A834">
        <v>37</v>
      </c>
      <c r="B834">
        <v>37</v>
      </c>
    </row>
    <row r="835" spans="1:2" x14ac:dyDescent="0.3">
      <c r="A835">
        <v>27</v>
      </c>
      <c r="B835">
        <v>37</v>
      </c>
    </row>
    <row r="836" spans="1:2" x14ac:dyDescent="0.3">
      <c r="A836">
        <v>34</v>
      </c>
      <c r="B836">
        <v>37</v>
      </c>
    </row>
    <row r="837" spans="1:2" x14ac:dyDescent="0.3">
      <c r="A837">
        <v>35</v>
      </c>
      <c r="B837">
        <v>37</v>
      </c>
    </row>
    <row r="838" spans="1:2" x14ac:dyDescent="0.3">
      <c r="A838">
        <v>29</v>
      </c>
      <c r="B838">
        <v>37</v>
      </c>
    </row>
    <row r="839" spans="1:2" x14ac:dyDescent="0.3">
      <c r="A839">
        <v>40</v>
      </c>
      <c r="B839">
        <v>37</v>
      </c>
    </row>
    <row r="840" spans="1:2" x14ac:dyDescent="0.3">
      <c r="A840">
        <v>42</v>
      </c>
      <c r="B840">
        <v>37</v>
      </c>
    </row>
    <row r="841" spans="1:2" x14ac:dyDescent="0.3">
      <c r="A841">
        <v>42</v>
      </c>
      <c r="B841">
        <v>37</v>
      </c>
    </row>
    <row r="842" spans="1:2" x14ac:dyDescent="0.3">
      <c r="A842">
        <v>35</v>
      </c>
      <c r="B842">
        <v>37</v>
      </c>
    </row>
    <row r="843" spans="1:2" x14ac:dyDescent="0.3">
      <c r="A843">
        <v>24</v>
      </c>
      <c r="B843">
        <v>37</v>
      </c>
    </row>
    <row r="844" spans="1:2" x14ac:dyDescent="0.3">
      <c r="A844">
        <v>28</v>
      </c>
      <c r="B844">
        <v>37</v>
      </c>
    </row>
    <row r="845" spans="1:2" x14ac:dyDescent="0.3">
      <c r="A845">
        <v>26</v>
      </c>
      <c r="B845">
        <v>37</v>
      </c>
    </row>
    <row r="846" spans="1:2" x14ac:dyDescent="0.3">
      <c r="A846">
        <v>30</v>
      </c>
      <c r="B846">
        <v>37</v>
      </c>
    </row>
    <row r="847" spans="1:2" x14ac:dyDescent="0.3">
      <c r="A847">
        <v>40</v>
      </c>
      <c r="B847">
        <v>37</v>
      </c>
    </row>
    <row r="848" spans="1:2" x14ac:dyDescent="0.3">
      <c r="A848">
        <v>35</v>
      </c>
      <c r="B848">
        <v>37</v>
      </c>
    </row>
    <row r="849" spans="1:2" x14ac:dyDescent="0.3">
      <c r="A849">
        <v>34</v>
      </c>
      <c r="B849">
        <v>37</v>
      </c>
    </row>
    <row r="850" spans="1:2" x14ac:dyDescent="0.3">
      <c r="A850">
        <v>35</v>
      </c>
      <c r="B850">
        <v>38</v>
      </c>
    </row>
    <row r="851" spans="1:2" x14ac:dyDescent="0.3">
      <c r="A851">
        <v>43</v>
      </c>
      <c r="B851">
        <v>38</v>
      </c>
    </row>
    <row r="852" spans="1:2" x14ac:dyDescent="0.3">
      <c r="A852">
        <v>32</v>
      </c>
      <c r="B852">
        <v>38</v>
      </c>
    </row>
    <row r="853" spans="1:2" x14ac:dyDescent="0.3">
      <c r="A853">
        <v>56</v>
      </c>
      <c r="B853">
        <v>38</v>
      </c>
    </row>
    <row r="854" spans="1:2" x14ac:dyDescent="0.3">
      <c r="A854">
        <v>29</v>
      </c>
      <c r="B854">
        <v>38</v>
      </c>
    </row>
    <row r="855" spans="1:2" x14ac:dyDescent="0.3">
      <c r="A855">
        <v>19</v>
      </c>
      <c r="B855">
        <v>38</v>
      </c>
    </row>
    <row r="856" spans="1:2" x14ac:dyDescent="0.3">
      <c r="A856">
        <v>45</v>
      </c>
      <c r="B856">
        <v>38</v>
      </c>
    </row>
    <row r="857" spans="1:2" x14ac:dyDescent="0.3">
      <c r="A857">
        <v>37</v>
      </c>
      <c r="B857">
        <v>38</v>
      </c>
    </row>
    <row r="858" spans="1:2" x14ac:dyDescent="0.3">
      <c r="A858">
        <v>20</v>
      </c>
      <c r="B858">
        <v>38</v>
      </c>
    </row>
    <row r="859" spans="1:2" x14ac:dyDescent="0.3">
      <c r="A859">
        <v>44</v>
      </c>
      <c r="B859">
        <v>38</v>
      </c>
    </row>
    <row r="860" spans="1:2" x14ac:dyDescent="0.3">
      <c r="A860">
        <v>53</v>
      </c>
      <c r="B860">
        <v>38</v>
      </c>
    </row>
    <row r="861" spans="1:2" x14ac:dyDescent="0.3">
      <c r="A861">
        <v>29</v>
      </c>
      <c r="B861">
        <v>38</v>
      </c>
    </row>
    <row r="862" spans="1:2" x14ac:dyDescent="0.3">
      <c r="A862">
        <v>22</v>
      </c>
      <c r="B862">
        <v>38</v>
      </c>
    </row>
    <row r="863" spans="1:2" x14ac:dyDescent="0.3">
      <c r="A863">
        <v>46</v>
      </c>
      <c r="B863">
        <v>38</v>
      </c>
    </row>
    <row r="864" spans="1:2" x14ac:dyDescent="0.3">
      <c r="A864">
        <v>44</v>
      </c>
      <c r="B864">
        <v>38</v>
      </c>
    </row>
    <row r="865" spans="1:2" x14ac:dyDescent="0.3">
      <c r="A865">
        <v>33</v>
      </c>
      <c r="B865">
        <v>38</v>
      </c>
    </row>
    <row r="866" spans="1:2" x14ac:dyDescent="0.3">
      <c r="A866">
        <v>41</v>
      </c>
      <c r="B866">
        <v>38</v>
      </c>
    </row>
    <row r="867" spans="1:2" x14ac:dyDescent="0.3">
      <c r="A867">
        <v>30</v>
      </c>
      <c r="B867">
        <v>38</v>
      </c>
    </row>
    <row r="868" spans="1:2" x14ac:dyDescent="0.3">
      <c r="A868">
        <v>40</v>
      </c>
      <c r="B868">
        <v>38</v>
      </c>
    </row>
    <row r="869" spans="1:2" x14ac:dyDescent="0.3">
      <c r="A869">
        <v>50</v>
      </c>
      <c r="B869">
        <v>38</v>
      </c>
    </row>
    <row r="870" spans="1:2" x14ac:dyDescent="0.3">
      <c r="A870">
        <v>28</v>
      </c>
      <c r="B870">
        <v>38</v>
      </c>
    </row>
    <row r="871" spans="1:2" x14ac:dyDescent="0.3">
      <c r="A871">
        <v>46</v>
      </c>
      <c r="B871">
        <v>38</v>
      </c>
    </row>
    <row r="872" spans="1:2" x14ac:dyDescent="0.3">
      <c r="A872">
        <v>35</v>
      </c>
      <c r="B872">
        <v>38</v>
      </c>
    </row>
    <row r="873" spans="1:2" x14ac:dyDescent="0.3">
      <c r="A873">
        <v>24</v>
      </c>
      <c r="B873">
        <v>38</v>
      </c>
    </row>
    <row r="874" spans="1:2" x14ac:dyDescent="0.3">
      <c r="A874">
        <v>33</v>
      </c>
      <c r="B874">
        <v>38</v>
      </c>
    </row>
    <row r="875" spans="1:2" x14ac:dyDescent="0.3">
      <c r="A875">
        <v>36</v>
      </c>
      <c r="B875">
        <v>38</v>
      </c>
    </row>
    <row r="876" spans="1:2" x14ac:dyDescent="0.3">
      <c r="A876">
        <v>30</v>
      </c>
      <c r="B876">
        <v>38</v>
      </c>
    </row>
    <row r="877" spans="1:2" x14ac:dyDescent="0.3">
      <c r="A877">
        <v>44</v>
      </c>
      <c r="B877">
        <v>38</v>
      </c>
    </row>
    <row r="878" spans="1:2" x14ac:dyDescent="0.3">
      <c r="A878">
        <v>20</v>
      </c>
      <c r="B878">
        <v>38</v>
      </c>
    </row>
    <row r="879" spans="1:2" x14ac:dyDescent="0.3">
      <c r="A879">
        <v>46</v>
      </c>
      <c r="B879">
        <v>38</v>
      </c>
    </row>
    <row r="880" spans="1:2" x14ac:dyDescent="0.3">
      <c r="A880">
        <v>42</v>
      </c>
      <c r="B880">
        <v>38</v>
      </c>
    </row>
    <row r="881" spans="1:2" x14ac:dyDescent="0.3">
      <c r="A881">
        <v>60</v>
      </c>
      <c r="B881">
        <v>38</v>
      </c>
    </row>
    <row r="882" spans="1:2" x14ac:dyDescent="0.3">
      <c r="A882">
        <v>32</v>
      </c>
      <c r="B882">
        <v>38</v>
      </c>
    </row>
    <row r="883" spans="1:2" x14ac:dyDescent="0.3">
      <c r="A883">
        <v>32</v>
      </c>
      <c r="B883">
        <v>38</v>
      </c>
    </row>
    <row r="884" spans="1:2" x14ac:dyDescent="0.3">
      <c r="A884">
        <v>36</v>
      </c>
      <c r="B884">
        <v>38</v>
      </c>
    </row>
    <row r="885" spans="1:2" x14ac:dyDescent="0.3">
      <c r="A885">
        <v>33</v>
      </c>
      <c r="B885">
        <v>38</v>
      </c>
    </row>
    <row r="886" spans="1:2" x14ac:dyDescent="0.3">
      <c r="A886">
        <v>40</v>
      </c>
      <c r="B886">
        <v>38</v>
      </c>
    </row>
    <row r="887" spans="1:2" x14ac:dyDescent="0.3">
      <c r="A887">
        <v>25</v>
      </c>
      <c r="B887">
        <v>38</v>
      </c>
    </row>
    <row r="888" spans="1:2" x14ac:dyDescent="0.3">
      <c r="A888">
        <v>30</v>
      </c>
      <c r="B888">
        <v>38</v>
      </c>
    </row>
    <row r="889" spans="1:2" x14ac:dyDescent="0.3">
      <c r="A889">
        <v>42</v>
      </c>
      <c r="B889">
        <v>38</v>
      </c>
    </row>
    <row r="890" spans="1:2" x14ac:dyDescent="0.3">
      <c r="A890">
        <v>35</v>
      </c>
      <c r="B890">
        <v>38</v>
      </c>
    </row>
    <row r="891" spans="1:2" x14ac:dyDescent="0.3">
      <c r="A891">
        <v>27</v>
      </c>
      <c r="B891">
        <v>38</v>
      </c>
    </row>
    <row r="892" spans="1:2" x14ac:dyDescent="0.3">
      <c r="A892">
        <v>54</v>
      </c>
      <c r="B892">
        <v>38</v>
      </c>
    </row>
    <row r="893" spans="1:2" x14ac:dyDescent="0.3">
      <c r="A893">
        <v>44</v>
      </c>
      <c r="B893">
        <v>38</v>
      </c>
    </row>
    <row r="894" spans="1:2" x14ac:dyDescent="0.3">
      <c r="A894">
        <v>19</v>
      </c>
      <c r="B894">
        <v>38</v>
      </c>
    </row>
    <row r="895" spans="1:2" x14ac:dyDescent="0.3">
      <c r="A895">
        <v>29</v>
      </c>
      <c r="B895">
        <v>38</v>
      </c>
    </row>
    <row r="896" spans="1:2" x14ac:dyDescent="0.3">
      <c r="A896">
        <v>54</v>
      </c>
      <c r="B896">
        <v>38</v>
      </c>
    </row>
    <row r="897" spans="1:2" x14ac:dyDescent="0.3">
      <c r="A897">
        <v>31</v>
      </c>
      <c r="B897">
        <v>38</v>
      </c>
    </row>
    <row r="898" spans="1:2" x14ac:dyDescent="0.3">
      <c r="A898">
        <v>31</v>
      </c>
      <c r="B898">
        <v>38</v>
      </c>
    </row>
    <row r="899" spans="1:2" x14ac:dyDescent="0.3">
      <c r="A899">
        <v>59</v>
      </c>
      <c r="B899">
        <v>38</v>
      </c>
    </row>
    <row r="900" spans="1:2" x14ac:dyDescent="0.3">
      <c r="A900">
        <v>43</v>
      </c>
      <c r="B900">
        <v>38</v>
      </c>
    </row>
    <row r="901" spans="1:2" x14ac:dyDescent="0.3">
      <c r="A901">
        <v>49</v>
      </c>
      <c r="B901">
        <v>38</v>
      </c>
    </row>
    <row r="902" spans="1:2" x14ac:dyDescent="0.3">
      <c r="A902">
        <v>36</v>
      </c>
      <c r="B902">
        <v>38</v>
      </c>
    </row>
    <row r="903" spans="1:2" x14ac:dyDescent="0.3">
      <c r="A903">
        <v>48</v>
      </c>
      <c r="B903">
        <v>38</v>
      </c>
    </row>
    <row r="904" spans="1:2" x14ac:dyDescent="0.3">
      <c r="A904">
        <v>27</v>
      </c>
      <c r="B904">
        <v>38</v>
      </c>
    </row>
    <row r="905" spans="1:2" x14ac:dyDescent="0.3">
      <c r="A905">
        <v>29</v>
      </c>
      <c r="B905">
        <v>38</v>
      </c>
    </row>
    <row r="906" spans="1:2" x14ac:dyDescent="0.3">
      <c r="A906">
        <v>48</v>
      </c>
      <c r="B906">
        <v>38</v>
      </c>
    </row>
    <row r="907" spans="1:2" x14ac:dyDescent="0.3">
      <c r="A907">
        <v>29</v>
      </c>
      <c r="B907">
        <v>38</v>
      </c>
    </row>
    <row r="908" spans="1:2" x14ac:dyDescent="0.3">
      <c r="A908">
        <v>34</v>
      </c>
      <c r="B908">
        <v>39</v>
      </c>
    </row>
    <row r="909" spans="1:2" x14ac:dyDescent="0.3">
      <c r="A909">
        <v>44</v>
      </c>
      <c r="B909">
        <v>39</v>
      </c>
    </row>
    <row r="910" spans="1:2" x14ac:dyDescent="0.3">
      <c r="A910">
        <v>33</v>
      </c>
      <c r="B910">
        <v>39</v>
      </c>
    </row>
    <row r="911" spans="1:2" x14ac:dyDescent="0.3">
      <c r="A911">
        <v>19</v>
      </c>
      <c r="B911">
        <v>39</v>
      </c>
    </row>
    <row r="912" spans="1:2" x14ac:dyDescent="0.3">
      <c r="A912">
        <v>23</v>
      </c>
      <c r="B912">
        <v>39</v>
      </c>
    </row>
    <row r="913" spans="1:2" x14ac:dyDescent="0.3">
      <c r="A913">
        <v>25</v>
      </c>
      <c r="B913">
        <v>39</v>
      </c>
    </row>
    <row r="914" spans="1:2" x14ac:dyDescent="0.3">
      <c r="A914">
        <v>26</v>
      </c>
      <c r="B914">
        <v>39</v>
      </c>
    </row>
    <row r="915" spans="1:2" x14ac:dyDescent="0.3">
      <c r="A915">
        <v>45</v>
      </c>
      <c r="B915">
        <v>39</v>
      </c>
    </row>
    <row r="916" spans="1:2" x14ac:dyDescent="0.3">
      <c r="A916">
        <v>55</v>
      </c>
      <c r="B916">
        <v>39</v>
      </c>
    </row>
    <row r="917" spans="1:2" x14ac:dyDescent="0.3">
      <c r="A917">
        <v>21</v>
      </c>
      <c r="B917">
        <v>39</v>
      </c>
    </row>
    <row r="918" spans="1:2" x14ac:dyDescent="0.3">
      <c r="A918">
        <v>46</v>
      </c>
      <c r="B918">
        <v>39</v>
      </c>
    </row>
    <row r="919" spans="1:2" x14ac:dyDescent="0.3">
      <c r="A919">
        <v>34</v>
      </c>
      <c r="B919">
        <v>39</v>
      </c>
    </row>
    <row r="920" spans="1:2" x14ac:dyDescent="0.3">
      <c r="A920">
        <v>51</v>
      </c>
      <c r="B920">
        <v>39</v>
      </c>
    </row>
    <row r="921" spans="1:2" x14ac:dyDescent="0.3">
      <c r="A921">
        <v>59</v>
      </c>
      <c r="B921">
        <v>39</v>
      </c>
    </row>
    <row r="922" spans="1:2" x14ac:dyDescent="0.3">
      <c r="A922">
        <v>34</v>
      </c>
      <c r="B922">
        <v>39</v>
      </c>
    </row>
    <row r="923" spans="1:2" x14ac:dyDescent="0.3">
      <c r="A923">
        <v>28</v>
      </c>
      <c r="B923">
        <v>39</v>
      </c>
    </row>
    <row r="924" spans="1:2" x14ac:dyDescent="0.3">
      <c r="A924">
        <v>44</v>
      </c>
      <c r="B924">
        <v>39</v>
      </c>
    </row>
    <row r="925" spans="1:2" x14ac:dyDescent="0.3">
      <c r="A925">
        <v>34</v>
      </c>
      <c r="B925">
        <v>39</v>
      </c>
    </row>
    <row r="926" spans="1:2" x14ac:dyDescent="0.3">
      <c r="A926">
        <v>35</v>
      </c>
      <c r="B926">
        <v>39</v>
      </c>
    </row>
    <row r="927" spans="1:2" x14ac:dyDescent="0.3">
      <c r="A927">
        <v>42</v>
      </c>
      <c r="B927">
        <v>39</v>
      </c>
    </row>
    <row r="928" spans="1:2" x14ac:dyDescent="0.3">
      <c r="A928">
        <v>43</v>
      </c>
      <c r="B928">
        <v>39</v>
      </c>
    </row>
    <row r="929" spans="1:2" x14ac:dyDescent="0.3">
      <c r="A929">
        <v>36</v>
      </c>
      <c r="B929">
        <v>39</v>
      </c>
    </row>
    <row r="930" spans="1:2" x14ac:dyDescent="0.3">
      <c r="A930">
        <v>44</v>
      </c>
      <c r="B930">
        <v>39</v>
      </c>
    </row>
    <row r="931" spans="1:2" x14ac:dyDescent="0.3">
      <c r="A931">
        <v>28</v>
      </c>
      <c r="B931">
        <v>39</v>
      </c>
    </row>
    <row r="932" spans="1:2" x14ac:dyDescent="0.3">
      <c r="A932">
        <v>51</v>
      </c>
      <c r="B932">
        <v>39</v>
      </c>
    </row>
    <row r="933" spans="1:2" x14ac:dyDescent="0.3">
      <c r="A933">
        <v>30</v>
      </c>
      <c r="B933">
        <v>39</v>
      </c>
    </row>
    <row r="934" spans="1:2" x14ac:dyDescent="0.3">
      <c r="A934">
        <v>29</v>
      </c>
      <c r="B934">
        <v>39</v>
      </c>
    </row>
    <row r="935" spans="1:2" x14ac:dyDescent="0.3">
      <c r="A935">
        <v>28</v>
      </c>
      <c r="B935">
        <v>39</v>
      </c>
    </row>
    <row r="936" spans="1:2" x14ac:dyDescent="0.3">
      <c r="A936">
        <v>25</v>
      </c>
      <c r="B936">
        <v>39</v>
      </c>
    </row>
    <row r="937" spans="1:2" x14ac:dyDescent="0.3">
      <c r="A937">
        <v>32</v>
      </c>
      <c r="B937">
        <v>39</v>
      </c>
    </row>
    <row r="938" spans="1:2" x14ac:dyDescent="0.3">
      <c r="A938">
        <v>45</v>
      </c>
      <c r="B938">
        <v>39</v>
      </c>
    </row>
    <row r="939" spans="1:2" x14ac:dyDescent="0.3">
      <c r="A939">
        <v>39</v>
      </c>
      <c r="B939">
        <v>39</v>
      </c>
    </row>
    <row r="940" spans="1:2" x14ac:dyDescent="0.3">
      <c r="A940">
        <v>58</v>
      </c>
      <c r="B940">
        <v>39</v>
      </c>
    </row>
    <row r="941" spans="1:2" x14ac:dyDescent="0.3">
      <c r="A941">
        <v>32</v>
      </c>
      <c r="B941">
        <v>39</v>
      </c>
    </row>
    <row r="942" spans="1:2" x14ac:dyDescent="0.3">
      <c r="A942">
        <v>39</v>
      </c>
      <c r="B942">
        <v>39</v>
      </c>
    </row>
    <row r="943" spans="1:2" x14ac:dyDescent="0.3">
      <c r="A943">
        <v>30</v>
      </c>
      <c r="B943">
        <v>39</v>
      </c>
    </row>
    <row r="944" spans="1:2" x14ac:dyDescent="0.3">
      <c r="A944">
        <v>36</v>
      </c>
      <c r="B944">
        <v>39</v>
      </c>
    </row>
    <row r="945" spans="1:2" x14ac:dyDescent="0.3">
      <c r="A945">
        <v>46</v>
      </c>
      <c r="B945">
        <v>39</v>
      </c>
    </row>
    <row r="946" spans="1:2" x14ac:dyDescent="0.3">
      <c r="A946">
        <v>28</v>
      </c>
      <c r="B946">
        <v>39</v>
      </c>
    </row>
    <row r="947" spans="1:2" x14ac:dyDescent="0.3">
      <c r="A947">
        <v>50</v>
      </c>
      <c r="B947">
        <v>39</v>
      </c>
    </row>
    <row r="948" spans="1:2" x14ac:dyDescent="0.3">
      <c r="A948">
        <v>40</v>
      </c>
      <c r="B948">
        <v>39</v>
      </c>
    </row>
    <row r="949" spans="1:2" x14ac:dyDescent="0.3">
      <c r="A949">
        <v>52</v>
      </c>
      <c r="B949">
        <v>39</v>
      </c>
    </row>
    <row r="950" spans="1:2" x14ac:dyDescent="0.3">
      <c r="A950">
        <v>30</v>
      </c>
      <c r="B950">
        <v>40</v>
      </c>
    </row>
    <row r="951" spans="1:2" x14ac:dyDescent="0.3">
      <c r="A951">
        <v>39</v>
      </c>
      <c r="B951">
        <v>40</v>
      </c>
    </row>
    <row r="952" spans="1:2" x14ac:dyDescent="0.3">
      <c r="A952">
        <v>31</v>
      </c>
      <c r="B952">
        <v>40</v>
      </c>
    </row>
    <row r="953" spans="1:2" x14ac:dyDescent="0.3">
      <c r="A953">
        <v>41</v>
      </c>
      <c r="B953">
        <v>40</v>
      </c>
    </row>
    <row r="954" spans="1:2" x14ac:dyDescent="0.3">
      <c r="A954">
        <v>31</v>
      </c>
      <c r="B954">
        <v>40</v>
      </c>
    </row>
    <row r="955" spans="1:2" x14ac:dyDescent="0.3">
      <c r="A955">
        <v>44</v>
      </c>
      <c r="B955">
        <v>40</v>
      </c>
    </row>
    <row r="956" spans="1:2" x14ac:dyDescent="0.3">
      <c r="A956">
        <v>42</v>
      </c>
      <c r="B956">
        <v>40</v>
      </c>
    </row>
    <row r="957" spans="1:2" x14ac:dyDescent="0.3">
      <c r="A957">
        <v>55</v>
      </c>
      <c r="B957">
        <v>40</v>
      </c>
    </row>
    <row r="958" spans="1:2" x14ac:dyDescent="0.3">
      <c r="A958">
        <v>56</v>
      </c>
      <c r="B958">
        <v>40</v>
      </c>
    </row>
    <row r="959" spans="1:2" x14ac:dyDescent="0.3">
      <c r="A959">
        <v>40</v>
      </c>
      <c r="B959">
        <v>40</v>
      </c>
    </row>
    <row r="960" spans="1:2" x14ac:dyDescent="0.3">
      <c r="A960">
        <v>34</v>
      </c>
      <c r="B960">
        <v>40</v>
      </c>
    </row>
    <row r="961" spans="1:2" x14ac:dyDescent="0.3">
      <c r="A961">
        <v>40</v>
      </c>
      <c r="B961">
        <v>40</v>
      </c>
    </row>
    <row r="962" spans="1:2" x14ac:dyDescent="0.3">
      <c r="A962">
        <v>41</v>
      </c>
      <c r="B962">
        <v>40</v>
      </c>
    </row>
    <row r="963" spans="1:2" x14ac:dyDescent="0.3">
      <c r="A963">
        <v>35</v>
      </c>
      <c r="B963">
        <v>40</v>
      </c>
    </row>
    <row r="964" spans="1:2" x14ac:dyDescent="0.3">
      <c r="A964">
        <v>51</v>
      </c>
      <c r="B964">
        <v>40</v>
      </c>
    </row>
    <row r="965" spans="1:2" x14ac:dyDescent="0.3">
      <c r="A965">
        <v>38</v>
      </c>
      <c r="B965">
        <v>40</v>
      </c>
    </row>
    <row r="966" spans="1:2" x14ac:dyDescent="0.3">
      <c r="A966">
        <v>34</v>
      </c>
      <c r="B966">
        <v>40</v>
      </c>
    </row>
    <row r="967" spans="1:2" x14ac:dyDescent="0.3">
      <c r="A967">
        <v>25</v>
      </c>
      <c r="B967">
        <v>40</v>
      </c>
    </row>
    <row r="968" spans="1:2" x14ac:dyDescent="0.3">
      <c r="A968">
        <v>58</v>
      </c>
      <c r="B968">
        <v>40</v>
      </c>
    </row>
    <row r="969" spans="1:2" x14ac:dyDescent="0.3">
      <c r="A969">
        <v>40</v>
      </c>
      <c r="B969">
        <v>40</v>
      </c>
    </row>
    <row r="970" spans="1:2" x14ac:dyDescent="0.3">
      <c r="A970">
        <v>36</v>
      </c>
      <c r="B970">
        <v>40</v>
      </c>
    </row>
    <row r="971" spans="1:2" x14ac:dyDescent="0.3">
      <c r="A971">
        <v>48</v>
      </c>
      <c r="B971">
        <v>40</v>
      </c>
    </row>
    <row r="972" spans="1:2" x14ac:dyDescent="0.3">
      <c r="A972">
        <v>27</v>
      </c>
      <c r="B972">
        <v>40</v>
      </c>
    </row>
    <row r="973" spans="1:2" x14ac:dyDescent="0.3">
      <c r="A973">
        <v>51</v>
      </c>
      <c r="B973">
        <v>40</v>
      </c>
    </row>
    <row r="974" spans="1:2" x14ac:dyDescent="0.3">
      <c r="A974">
        <v>18</v>
      </c>
      <c r="B974">
        <v>40</v>
      </c>
    </row>
    <row r="975" spans="1:2" x14ac:dyDescent="0.3">
      <c r="A975">
        <v>35</v>
      </c>
      <c r="B975">
        <v>40</v>
      </c>
    </row>
    <row r="976" spans="1:2" x14ac:dyDescent="0.3">
      <c r="A976">
        <v>27</v>
      </c>
      <c r="B976">
        <v>40</v>
      </c>
    </row>
    <row r="977" spans="1:2" x14ac:dyDescent="0.3">
      <c r="A977">
        <v>55</v>
      </c>
      <c r="B977">
        <v>40</v>
      </c>
    </row>
    <row r="978" spans="1:2" x14ac:dyDescent="0.3">
      <c r="A978">
        <v>56</v>
      </c>
      <c r="B978">
        <v>40</v>
      </c>
    </row>
    <row r="979" spans="1:2" x14ac:dyDescent="0.3">
      <c r="A979">
        <v>34</v>
      </c>
      <c r="B979">
        <v>40</v>
      </c>
    </row>
    <row r="980" spans="1:2" x14ac:dyDescent="0.3">
      <c r="A980">
        <v>40</v>
      </c>
      <c r="B980">
        <v>40</v>
      </c>
    </row>
    <row r="981" spans="1:2" x14ac:dyDescent="0.3">
      <c r="A981">
        <v>34</v>
      </c>
      <c r="B981">
        <v>40</v>
      </c>
    </row>
    <row r="982" spans="1:2" x14ac:dyDescent="0.3">
      <c r="A982">
        <v>31</v>
      </c>
      <c r="B982">
        <v>40</v>
      </c>
    </row>
    <row r="983" spans="1:2" x14ac:dyDescent="0.3">
      <c r="A983">
        <v>35</v>
      </c>
      <c r="B983">
        <v>40</v>
      </c>
    </row>
    <row r="984" spans="1:2" x14ac:dyDescent="0.3">
      <c r="A984">
        <v>38</v>
      </c>
      <c r="B984">
        <v>40</v>
      </c>
    </row>
    <row r="985" spans="1:2" x14ac:dyDescent="0.3">
      <c r="A985">
        <v>34</v>
      </c>
      <c r="B985">
        <v>40</v>
      </c>
    </row>
    <row r="986" spans="1:2" x14ac:dyDescent="0.3">
      <c r="A986">
        <v>28</v>
      </c>
      <c r="B986">
        <v>40</v>
      </c>
    </row>
    <row r="987" spans="1:2" x14ac:dyDescent="0.3">
      <c r="A987">
        <v>31</v>
      </c>
      <c r="B987">
        <v>40</v>
      </c>
    </row>
    <row r="988" spans="1:2" x14ac:dyDescent="0.3">
      <c r="A988">
        <v>39</v>
      </c>
      <c r="B988">
        <v>40</v>
      </c>
    </row>
    <row r="989" spans="1:2" x14ac:dyDescent="0.3">
      <c r="A989">
        <v>51</v>
      </c>
      <c r="B989">
        <v>40</v>
      </c>
    </row>
    <row r="990" spans="1:2" x14ac:dyDescent="0.3">
      <c r="A990">
        <v>41</v>
      </c>
      <c r="B990">
        <v>40</v>
      </c>
    </row>
    <row r="991" spans="1:2" x14ac:dyDescent="0.3">
      <c r="A991">
        <v>37</v>
      </c>
      <c r="B991">
        <v>40</v>
      </c>
    </row>
    <row r="992" spans="1:2" x14ac:dyDescent="0.3">
      <c r="A992">
        <v>33</v>
      </c>
      <c r="B992">
        <v>40</v>
      </c>
    </row>
    <row r="993" spans="1:2" x14ac:dyDescent="0.3">
      <c r="A993">
        <v>32</v>
      </c>
      <c r="B993">
        <v>40</v>
      </c>
    </row>
    <row r="994" spans="1:2" x14ac:dyDescent="0.3">
      <c r="A994">
        <v>39</v>
      </c>
      <c r="B994">
        <v>40</v>
      </c>
    </row>
    <row r="995" spans="1:2" x14ac:dyDescent="0.3">
      <c r="A995">
        <v>25</v>
      </c>
      <c r="B995">
        <v>40</v>
      </c>
    </row>
    <row r="996" spans="1:2" x14ac:dyDescent="0.3">
      <c r="A996">
        <v>52</v>
      </c>
      <c r="B996">
        <v>40</v>
      </c>
    </row>
    <row r="997" spans="1:2" x14ac:dyDescent="0.3">
      <c r="A997">
        <v>43</v>
      </c>
      <c r="B997">
        <v>40</v>
      </c>
    </row>
    <row r="998" spans="1:2" x14ac:dyDescent="0.3">
      <c r="A998">
        <v>27</v>
      </c>
      <c r="B998">
        <v>40</v>
      </c>
    </row>
    <row r="999" spans="1:2" x14ac:dyDescent="0.3">
      <c r="A999">
        <v>27</v>
      </c>
      <c r="B999">
        <v>40</v>
      </c>
    </row>
    <row r="1000" spans="1:2" x14ac:dyDescent="0.3">
      <c r="A1000">
        <v>26</v>
      </c>
      <c r="B1000">
        <v>40</v>
      </c>
    </row>
    <row r="1001" spans="1:2" x14ac:dyDescent="0.3">
      <c r="A1001">
        <v>42</v>
      </c>
      <c r="B1001">
        <v>40</v>
      </c>
    </row>
    <row r="1002" spans="1:2" x14ac:dyDescent="0.3">
      <c r="A1002">
        <v>52</v>
      </c>
      <c r="B1002">
        <v>40</v>
      </c>
    </row>
    <row r="1003" spans="1:2" x14ac:dyDescent="0.3">
      <c r="A1003">
        <v>37</v>
      </c>
      <c r="B1003">
        <v>40</v>
      </c>
    </row>
    <row r="1004" spans="1:2" x14ac:dyDescent="0.3">
      <c r="A1004">
        <v>35</v>
      </c>
      <c r="B1004">
        <v>40</v>
      </c>
    </row>
    <row r="1005" spans="1:2" x14ac:dyDescent="0.3">
      <c r="A1005">
        <v>25</v>
      </c>
      <c r="B1005">
        <v>40</v>
      </c>
    </row>
    <row r="1006" spans="1:2" x14ac:dyDescent="0.3">
      <c r="A1006">
        <v>26</v>
      </c>
      <c r="B1006">
        <v>40</v>
      </c>
    </row>
    <row r="1007" spans="1:2" x14ac:dyDescent="0.3">
      <c r="A1007">
        <v>29</v>
      </c>
      <c r="B1007">
        <v>41</v>
      </c>
    </row>
    <row r="1008" spans="1:2" x14ac:dyDescent="0.3">
      <c r="A1008">
        <v>49</v>
      </c>
      <c r="B1008">
        <v>41</v>
      </c>
    </row>
    <row r="1009" spans="1:2" x14ac:dyDescent="0.3">
      <c r="A1009">
        <v>29</v>
      </c>
      <c r="B1009">
        <v>41</v>
      </c>
    </row>
    <row r="1010" spans="1:2" x14ac:dyDescent="0.3">
      <c r="A1010">
        <v>54</v>
      </c>
      <c r="B1010">
        <v>41</v>
      </c>
    </row>
    <row r="1011" spans="1:2" x14ac:dyDescent="0.3">
      <c r="A1011">
        <v>58</v>
      </c>
      <c r="B1011">
        <v>41</v>
      </c>
    </row>
    <row r="1012" spans="1:2" x14ac:dyDescent="0.3">
      <c r="A1012">
        <v>55</v>
      </c>
      <c r="B1012">
        <v>41</v>
      </c>
    </row>
    <row r="1013" spans="1:2" x14ac:dyDescent="0.3">
      <c r="A1013">
        <v>36</v>
      </c>
      <c r="B1013">
        <v>41</v>
      </c>
    </row>
    <row r="1014" spans="1:2" x14ac:dyDescent="0.3">
      <c r="A1014">
        <v>31</v>
      </c>
      <c r="B1014">
        <v>41</v>
      </c>
    </row>
    <row r="1015" spans="1:2" x14ac:dyDescent="0.3">
      <c r="A1015">
        <v>30</v>
      </c>
      <c r="B1015">
        <v>41</v>
      </c>
    </row>
    <row r="1016" spans="1:2" x14ac:dyDescent="0.3">
      <c r="A1016">
        <v>31</v>
      </c>
      <c r="B1016">
        <v>41</v>
      </c>
    </row>
    <row r="1017" spans="1:2" x14ac:dyDescent="0.3">
      <c r="A1017">
        <v>34</v>
      </c>
      <c r="B1017">
        <v>41</v>
      </c>
    </row>
    <row r="1018" spans="1:2" x14ac:dyDescent="0.3">
      <c r="A1018">
        <v>31</v>
      </c>
      <c r="B1018">
        <v>41</v>
      </c>
    </row>
    <row r="1019" spans="1:2" x14ac:dyDescent="0.3">
      <c r="A1019">
        <v>27</v>
      </c>
      <c r="B1019">
        <v>41</v>
      </c>
    </row>
    <row r="1020" spans="1:2" x14ac:dyDescent="0.3">
      <c r="A1020">
        <v>36</v>
      </c>
      <c r="B1020">
        <v>41</v>
      </c>
    </row>
    <row r="1021" spans="1:2" x14ac:dyDescent="0.3">
      <c r="A1021">
        <v>36</v>
      </c>
      <c r="B1021">
        <v>41</v>
      </c>
    </row>
    <row r="1022" spans="1:2" x14ac:dyDescent="0.3">
      <c r="A1022">
        <v>47</v>
      </c>
      <c r="B1022">
        <v>41</v>
      </c>
    </row>
    <row r="1023" spans="1:2" x14ac:dyDescent="0.3">
      <c r="A1023">
        <v>25</v>
      </c>
      <c r="B1023">
        <v>41</v>
      </c>
    </row>
    <row r="1024" spans="1:2" x14ac:dyDescent="0.3">
      <c r="A1024">
        <v>37</v>
      </c>
      <c r="B1024">
        <v>41</v>
      </c>
    </row>
    <row r="1025" spans="1:2" x14ac:dyDescent="0.3">
      <c r="A1025">
        <v>56</v>
      </c>
      <c r="B1025">
        <v>41</v>
      </c>
    </row>
    <row r="1026" spans="1:2" x14ac:dyDescent="0.3">
      <c r="A1026">
        <v>47</v>
      </c>
      <c r="B1026">
        <v>41</v>
      </c>
    </row>
    <row r="1027" spans="1:2" x14ac:dyDescent="0.3">
      <c r="A1027">
        <v>24</v>
      </c>
      <c r="B1027">
        <v>41</v>
      </c>
    </row>
    <row r="1028" spans="1:2" x14ac:dyDescent="0.3">
      <c r="A1028">
        <v>32</v>
      </c>
      <c r="B1028">
        <v>41</v>
      </c>
    </row>
    <row r="1029" spans="1:2" x14ac:dyDescent="0.3">
      <c r="A1029">
        <v>34</v>
      </c>
      <c r="B1029">
        <v>41</v>
      </c>
    </row>
    <row r="1030" spans="1:2" x14ac:dyDescent="0.3">
      <c r="A1030">
        <v>41</v>
      </c>
      <c r="B1030">
        <v>41</v>
      </c>
    </row>
    <row r="1031" spans="1:2" x14ac:dyDescent="0.3">
      <c r="A1031">
        <v>40</v>
      </c>
      <c r="B1031">
        <v>41</v>
      </c>
    </row>
    <row r="1032" spans="1:2" x14ac:dyDescent="0.3">
      <c r="A1032">
        <v>31</v>
      </c>
      <c r="B1032">
        <v>41</v>
      </c>
    </row>
    <row r="1033" spans="1:2" x14ac:dyDescent="0.3">
      <c r="A1033">
        <v>46</v>
      </c>
      <c r="B1033">
        <v>41</v>
      </c>
    </row>
    <row r="1034" spans="1:2" x14ac:dyDescent="0.3">
      <c r="A1034">
        <v>39</v>
      </c>
      <c r="B1034">
        <v>41</v>
      </c>
    </row>
    <row r="1035" spans="1:2" x14ac:dyDescent="0.3">
      <c r="A1035">
        <v>31</v>
      </c>
      <c r="B1035">
        <v>41</v>
      </c>
    </row>
    <row r="1036" spans="1:2" x14ac:dyDescent="0.3">
      <c r="A1036">
        <v>45</v>
      </c>
      <c r="B1036">
        <v>41</v>
      </c>
    </row>
    <row r="1037" spans="1:2" x14ac:dyDescent="0.3">
      <c r="A1037">
        <v>31</v>
      </c>
      <c r="B1037">
        <v>41</v>
      </c>
    </row>
    <row r="1038" spans="1:2" x14ac:dyDescent="0.3">
      <c r="A1038">
        <v>31</v>
      </c>
      <c r="B1038">
        <v>41</v>
      </c>
    </row>
    <row r="1039" spans="1:2" x14ac:dyDescent="0.3">
      <c r="A1039">
        <v>45</v>
      </c>
      <c r="B1039">
        <v>41</v>
      </c>
    </row>
    <row r="1040" spans="1:2" x14ac:dyDescent="0.3">
      <c r="A1040">
        <v>48</v>
      </c>
      <c r="B1040">
        <v>41</v>
      </c>
    </row>
    <row r="1041" spans="1:2" x14ac:dyDescent="0.3">
      <c r="A1041">
        <v>34</v>
      </c>
      <c r="B1041">
        <v>41</v>
      </c>
    </row>
    <row r="1042" spans="1:2" x14ac:dyDescent="0.3">
      <c r="A1042">
        <v>40</v>
      </c>
      <c r="B1042">
        <v>41</v>
      </c>
    </row>
    <row r="1043" spans="1:2" x14ac:dyDescent="0.3">
      <c r="A1043">
        <v>28</v>
      </c>
      <c r="B1043">
        <v>41</v>
      </c>
    </row>
    <row r="1044" spans="1:2" x14ac:dyDescent="0.3">
      <c r="A1044">
        <v>44</v>
      </c>
      <c r="B1044">
        <v>41</v>
      </c>
    </row>
    <row r="1045" spans="1:2" x14ac:dyDescent="0.3">
      <c r="A1045">
        <v>53</v>
      </c>
      <c r="B1045">
        <v>41</v>
      </c>
    </row>
    <row r="1046" spans="1:2" x14ac:dyDescent="0.3">
      <c r="A1046">
        <v>49</v>
      </c>
      <c r="B1046">
        <v>41</v>
      </c>
    </row>
    <row r="1047" spans="1:2" x14ac:dyDescent="0.3">
      <c r="A1047">
        <v>40</v>
      </c>
      <c r="B1047">
        <v>42</v>
      </c>
    </row>
    <row r="1048" spans="1:2" x14ac:dyDescent="0.3">
      <c r="A1048">
        <v>44</v>
      </c>
      <c r="B1048">
        <v>42</v>
      </c>
    </row>
    <row r="1049" spans="1:2" x14ac:dyDescent="0.3">
      <c r="A1049">
        <v>33</v>
      </c>
      <c r="B1049">
        <v>42</v>
      </c>
    </row>
    <row r="1050" spans="1:2" x14ac:dyDescent="0.3">
      <c r="A1050">
        <v>34</v>
      </c>
      <c r="B1050">
        <v>42</v>
      </c>
    </row>
    <row r="1051" spans="1:2" x14ac:dyDescent="0.3">
      <c r="A1051">
        <v>30</v>
      </c>
      <c r="B1051">
        <v>42</v>
      </c>
    </row>
    <row r="1052" spans="1:2" x14ac:dyDescent="0.3">
      <c r="A1052">
        <v>42</v>
      </c>
      <c r="B1052">
        <v>42</v>
      </c>
    </row>
    <row r="1053" spans="1:2" x14ac:dyDescent="0.3">
      <c r="A1053">
        <v>44</v>
      </c>
      <c r="B1053">
        <v>42</v>
      </c>
    </row>
    <row r="1054" spans="1:2" x14ac:dyDescent="0.3">
      <c r="A1054">
        <v>30</v>
      </c>
      <c r="B1054">
        <v>42</v>
      </c>
    </row>
    <row r="1055" spans="1:2" x14ac:dyDescent="0.3">
      <c r="A1055">
        <v>57</v>
      </c>
      <c r="B1055">
        <v>42</v>
      </c>
    </row>
    <row r="1056" spans="1:2" x14ac:dyDescent="0.3">
      <c r="A1056">
        <v>49</v>
      </c>
      <c r="B1056">
        <v>42</v>
      </c>
    </row>
    <row r="1057" spans="1:2" x14ac:dyDescent="0.3">
      <c r="A1057">
        <v>34</v>
      </c>
      <c r="B1057">
        <v>42</v>
      </c>
    </row>
    <row r="1058" spans="1:2" x14ac:dyDescent="0.3">
      <c r="A1058">
        <v>28</v>
      </c>
      <c r="B1058">
        <v>42</v>
      </c>
    </row>
    <row r="1059" spans="1:2" x14ac:dyDescent="0.3">
      <c r="A1059">
        <v>29</v>
      </c>
      <c r="B1059">
        <v>42</v>
      </c>
    </row>
    <row r="1060" spans="1:2" x14ac:dyDescent="0.3">
      <c r="A1060">
        <v>34</v>
      </c>
      <c r="B1060">
        <v>42</v>
      </c>
    </row>
    <row r="1061" spans="1:2" x14ac:dyDescent="0.3">
      <c r="A1061">
        <v>35</v>
      </c>
      <c r="B1061">
        <v>42</v>
      </c>
    </row>
    <row r="1062" spans="1:2" x14ac:dyDescent="0.3">
      <c r="A1062">
        <v>24</v>
      </c>
      <c r="B1062">
        <v>42</v>
      </c>
    </row>
    <row r="1063" spans="1:2" x14ac:dyDescent="0.3">
      <c r="A1063">
        <v>24</v>
      </c>
      <c r="B1063">
        <v>42</v>
      </c>
    </row>
    <row r="1064" spans="1:2" x14ac:dyDescent="0.3">
      <c r="A1064">
        <v>44</v>
      </c>
      <c r="B1064">
        <v>42</v>
      </c>
    </row>
    <row r="1065" spans="1:2" x14ac:dyDescent="0.3">
      <c r="A1065">
        <v>29</v>
      </c>
      <c r="B1065">
        <v>42</v>
      </c>
    </row>
    <row r="1066" spans="1:2" x14ac:dyDescent="0.3">
      <c r="A1066">
        <v>30</v>
      </c>
      <c r="B1066">
        <v>42</v>
      </c>
    </row>
    <row r="1067" spans="1:2" x14ac:dyDescent="0.3">
      <c r="A1067">
        <v>55</v>
      </c>
      <c r="B1067">
        <v>42</v>
      </c>
    </row>
    <row r="1068" spans="1:2" x14ac:dyDescent="0.3">
      <c r="A1068">
        <v>33</v>
      </c>
      <c r="B1068">
        <v>42</v>
      </c>
    </row>
    <row r="1069" spans="1:2" x14ac:dyDescent="0.3">
      <c r="A1069">
        <v>47</v>
      </c>
      <c r="B1069">
        <v>42</v>
      </c>
    </row>
    <row r="1070" spans="1:2" x14ac:dyDescent="0.3">
      <c r="A1070">
        <v>28</v>
      </c>
      <c r="B1070">
        <v>42</v>
      </c>
    </row>
    <row r="1071" spans="1:2" x14ac:dyDescent="0.3">
      <c r="A1071">
        <v>28</v>
      </c>
      <c r="B1071">
        <v>42</v>
      </c>
    </row>
    <row r="1072" spans="1:2" x14ac:dyDescent="0.3">
      <c r="A1072">
        <v>28</v>
      </c>
      <c r="B1072">
        <v>42</v>
      </c>
    </row>
    <row r="1073" spans="1:2" x14ac:dyDescent="0.3">
      <c r="A1073">
        <v>49</v>
      </c>
      <c r="B1073">
        <v>42</v>
      </c>
    </row>
    <row r="1074" spans="1:2" x14ac:dyDescent="0.3">
      <c r="A1074">
        <v>29</v>
      </c>
      <c r="B1074">
        <v>42</v>
      </c>
    </row>
    <row r="1075" spans="1:2" x14ac:dyDescent="0.3">
      <c r="A1075">
        <v>28</v>
      </c>
      <c r="B1075">
        <v>42</v>
      </c>
    </row>
    <row r="1076" spans="1:2" x14ac:dyDescent="0.3">
      <c r="A1076">
        <v>33</v>
      </c>
      <c r="B1076">
        <v>42</v>
      </c>
    </row>
    <row r="1077" spans="1:2" x14ac:dyDescent="0.3">
      <c r="A1077">
        <v>32</v>
      </c>
      <c r="B1077">
        <v>42</v>
      </c>
    </row>
    <row r="1078" spans="1:2" x14ac:dyDescent="0.3">
      <c r="A1078">
        <v>54</v>
      </c>
      <c r="B1078">
        <v>42</v>
      </c>
    </row>
    <row r="1079" spans="1:2" x14ac:dyDescent="0.3">
      <c r="A1079">
        <v>29</v>
      </c>
      <c r="B1079">
        <v>42</v>
      </c>
    </row>
    <row r="1080" spans="1:2" x14ac:dyDescent="0.3">
      <c r="A1080">
        <v>44</v>
      </c>
      <c r="B1080">
        <v>42</v>
      </c>
    </row>
    <row r="1081" spans="1:2" x14ac:dyDescent="0.3">
      <c r="A1081">
        <v>39</v>
      </c>
      <c r="B1081">
        <v>42</v>
      </c>
    </row>
    <row r="1082" spans="1:2" x14ac:dyDescent="0.3">
      <c r="A1082">
        <v>46</v>
      </c>
      <c r="B1082">
        <v>42</v>
      </c>
    </row>
    <row r="1083" spans="1:2" x14ac:dyDescent="0.3">
      <c r="A1083">
        <v>35</v>
      </c>
      <c r="B1083">
        <v>42</v>
      </c>
    </row>
    <row r="1084" spans="1:2" x14ac:dyDescent="0.3">
      <c r="A1084">
        <v>23</v>
      </c>
      <c r="B1084">
        <v>42</v>
      </c>
    </row>
    <row r="1085" spans="1:2" x14ac:dyDescent="0.3">
      <c r="A1085">
        <v>40</v>
      </c>
      <c r="B1085">
        <v>42</v>
      </c>
    </row>
    <row r="1086" spans="1:2" x14ac:dyDescent="0.3">
      <c r="A1086">
        <v>34</v>
      </c>
      <c r="B1086">
        <v>42</v>
      </c>
    </row>
    <row r="1087" spans="1:2" x14ac:dyDescent="0.3">
      <c r="A1087">
        <v>31</v>
      </c>
      <c r="B1087">
        <v>42</v>
      </c>
    </row>
    <row r="1088" spans="1:2" x14ac:dyDescent="0.3">
      <c r="A1088">
        <v>50</v>
      </c>
      <c r="B1088">
        <v>42</v>
      </c>
    </row>
    <row r="1089" spans="1:2" x14ac:dyDescent="0.3">
      <c r="A1089">
        <v>34</v>
      </c>
      <c r="B1089">
        <v>42</v>
      </c>
    </row>
    <row r="1090" spans="1:2" x14ac:dyDescent="0.3">
      <c r="A1090">
        <v>42</v>
      </c>
      <c r="B1090">
        <v>42</v>
      </c>
    </row>
    <row r="1091" spans="1:2" x14ac:dyDescent="0.3">
      <c r="A1091">
        <v>37</v>
      </c>
      <c r="B1091">
        <v>42</v>
      </c>
    </row>
    <row r="1092" spans="1:2" x14ac:dyDescent="0.3">
      <c r="A1092">
        <v>29</v>
      </c>
      <c r="B1092">
        <v>42</v>
      </c>
    </row>
    <row r="1093" spans="1:2" x14ac:dyDescent="0.3">
      <c r="A1093">
        <v>33</v>
      </c>
      <c r="B1093">
        <v>43</v>
      </c>
    </row>
    <row r="1094" spans="1:2" x14ac:dyDescent="0.3">
      <c r="A1094">
        <v>45</v>
      </c>
      <c r="B1094">
        <v>43</v>
      </c>
    </row>
    <row r="1095" spans="1:2" x14ac:dyDescent="0.3">
      <c r="A1095">
        <v>42</v>
      </c>
      <c r="B1095">
        <v>43</v>
      </c>
    </row>
    <row r="1096" spans="1:2" x14ac:dyDescent="0.3">
      <c r="A1096">
        <v>40</v>
      </c>
      <c r="B1096">
        <v>43</v>
      </c>
    </row>
    <row r="1097" spans="1:2" x14ac:dyDescent="0.3">
      <c r="A1097">
        <v>33</v>
      </c>
      <c r="B1097">
        <v>43</v>
      </c>
    </row>
    <row r="1098" spans="1:2" x14ac:dyDescent="0.3">
      <c r="A1098">
        <v>40</v>
      </c>
      <c r="B1098">
        <v>43</v>
      </c>
    </row>
    <row r="1099" spans="1:2" x14ac:dyDescent="0.3">
      <c r="A1099">
        <v>24</v>
      </c>
      <c r="B1099">
        <v>43</v>
      </c>
    </row>
    <row r="1100" spans="1:2" x14ac:dyDescent="0.3">
      <c r="A1100">
        <v>40</v>
      </c>
      <c r="B1100">
        <v>43</v>
      </c>
    </row>
    <row r="1101" spans="1:2" x14ac:dyDescent="0.3">
      <c r="A1101">
        <v>45</v>
      </c>
      <c r="B1101">
        <v>43</v>
      </c>
    </row>
    <row r="1102" spans="1:2" x14ac:dyDescent="0.3">
      <c r="A1102">
        <v>35</v>
      </c>
      <c r="B1102">
        <v>43</v>
      </c>
    </row>
    <row r="1103" spans="1:2" x14ac:dyDescent="0.3">
      <c r="A1103">
        <v>32</v>
      </c>
      <c r="B1103">
        <v>43</v>
      </c>
    </row>
    <row r="1104" spans="1:2" x14ac:dyDescent="0.3">
      <c r="A1104">
        <v>36</v>
      </c>
      <c r="B1104">
        <v>43</v>
      </c>
    </row>
    <row r="1105" spans="1:2" x14ac:dyDescent="0.3">
      <c r="A1105">
        <v>48</v>
      </c>
      <c r="B1105">
        <v>43</v>
      </c>
    </row>
    <row r="1106" spans="1:2" x14ac:dyDescent="0.3">
      <c r="A1106">
        <v>29</v>
      </c>
      <c r="B1106">
        <v>43</v>
      </c>
    </row>
    <row r="1107" spans="1:2" x14ac:dyDescent="0.3">
      <c r="A1107">
        <v>33</v>
      </c>
      <c r="B1107">
        <v>43</v>
      </c>
    </row>
    <row r="1108" spans="1:2" x14ac:dyDescent="0.3">
      <c r="A1108">
        <v>30</v>
      </c>
      <c r="B1108">
        <v>43</v>
      </c>
    </row>
    <row r="1109" spans="1:2" x14ac:dyDescent="0.3">
      <c r="A1109">
        <v>38</v>
      </c>
      <c r="B1109">
        <v>43</v>
      </c>
    </row>
    <row r="1110" spans="1:2" x14ac:dyDescent="0.3">
      <c r="A1110">
        <v>35</v>
      </c>
      <c r="B1110">
        <v>43</v>
      </c>
    </row>
    <row r="1111" spans="1:2" x14ac:dyDescent="0.3">
      <c r="A1111">
        <v>30</v>
      </c>
      <c r="B1111">
        <v>43</v>
      </c>
    </row>
    <row r="1112" spans="1:2" x14ac:dyDescent="0.3">
      <c r="A1112">
        <v>35</v>
      </c>
      <c r="B1112">
        <v>43</v>
      </c>
    </row>
    <row r="1113" spans="1:2" x14ac:dyDescent="0.3">
      <c r="A1113">
        <v>53</v>
      </c>
      <c r="B1113">
        <v>43</v>
      </c>
    </row>
    <row r="1114" spans="1:2" x14ac:dyDescent="0.3">
      <c r="A1114">
        <v>38</v>
      </c>
      <c r="B1114">
        <v>43</v>
      </c>
    </row>
    <row r="1115" spans="1:2" x14ac:dyDescent="0.3">
      <c r="A1115">
        <v>32</v>
      </c>
      <c r="B1115">
        <v>43</v>
      </c>
    </row>
    <row r="1116" spans="1:2" x14ac:dyDescent="0.3">
      <c r="A1116">
        <v>48</v>
      </c>
      <c r="B1116">
        <v>43</v>
      </c>
    </row>
    <row r="1117" spans="1:2" x14ac:dyDescent="0.3">
      <c r="A1117">
        <v>34</v>
      </c>
      <c r="B1117">
        <v>43</v>
      </c>
    </row>
    <row r="1118" spans="1:2" x14ac:dyDescent="0.3">
      <c r="A1118">
        <v>55</v>
      </c>
      <c r="B1118">
        <v>43</v>
      </c>
    </row>
    <row r="1119" spans="1:2" x14ac:dyDescent="0.3">
      <c r="A1119">
        <v>34</v>
      </c>
      <c r="B1119">
        <v>43</v>
      </c>
    </row>
    <row r="1120" spans="1:2" x14ac:dyDescent="0.3">
      <c r="A1120">
        <v>26</v>
      </c>
      <c r="B1120">
        <v>43</v>
      </c>
    </row>
    <row r="1121" spans="1:2" x14ac:dyDescent="0.3">
      <c r="A1121">
        <v>38</v>
      </c>
      <c r="B1121">
        <v>43</v>
      </c>
    </row>
    <row r="1122" spans="1:2" x14ac:dyDescent="0.3">
      <c r="A1122">
        <v>38</v>
      </c>
      <c r="B1122">
        <v>43</v>
      </c>
    </row>
    <row r="1123" spans="1:2" x14ac:dyDescent="0.3">
      <c r="A1123">
        <v>36</v>
      </c>
      <c r="B1123">
        <v>43</v>
      </c>
    </row>
    <row r="1124" spans="1:2" x14ac:dyDescent="0.3">
      <c r="A1124">
        <v>29</v>
      </c>
      <c r="B1124">
        <v>43</v>
      </c>
    </row>
    <row r="1125" spans="1:2" x14ac:dyDescent="0.3">
      <c r="A1125">
        <v>35</v>
      </c>
      <c r="B1125">
        <v>44</v>
      </c>
    </row>
    <row r="1126" spans="1:2" x14ac:dyDescent="0.3">
      <c r="A1126">
        <v>39</v>
      </c>
      <c r="B1126">
        <v>44</v>
      </c>
    </row>
    <row r="1127" spans="1:2" x14ac:dyDescent="0.3">
      <c r="A1127">
        <v>29</v>
      </c>
      <c r="B1127">
        <v>44</v>
      </c>
    </row>
    <row r="1128" spans="1:2" x14ac:dyDescent="0.3">
      <c r="A1128">
        <v>50</v>
      </c>
      <c r="B1128">
        <v>44</v>
      </c>
    </row>
    <row r="1129" spans="1:2" x14ac:dyDescent="0.3">
      <c r="A1129">
        <v>23</v>
      </c>
      <c r="B1129">
        <v>44</v>
      </c>
    </row>
    <row r="1130" spans="1:2" x14ac:dyDescent="0.3">
      <c r="A1130">
        <v>36</v>
      </c>
      <c r="B1130">
        <v>44</v>
      </c>
    </row>
    <row r="1131" spans="1:2" x14ac:dyDescent="0.3">
      <c r="A1131">
        <v>42</v>
      </c>
      <c r="B1131">
        <v>44</v>
      </c>
    </row>
    <row r="1132" spans="1:2" x14ac:dyDescent="0.3">
      <c r="A1132">
        <v>35</v>
      </c>
      <c r="B1132">
        <v>44</v>
      </c>
    </row>
    <row r="1133" spans="1:2" x14ac:dyDescent="0.3">
      <c r="A1133">
        <v>34</v>
      </c>
      <c r="B1133">
        <v>44</v>
      </c>
    </row>
    <row r="1134" spans="1:2" x14ac:dyDescent="0.3">
      <c r="A1134">
        <v>40</v>
      </c>
      <c r="B1134">
        <v>44</v>
      </c>
    </row>
    <row r="1135" spans="1:2" x14ac:dyDescent="0.3">
      <c r="A1135">
        <v>43</v>
      </c>
      <c r="B1135">
        <v>44</v>
      </c>
    </row>
    <row r="1136" spans="1:2" x14ac:dyDescent="0.3">
      <c r="A1136">
        <v>35</v>
      </c>
      <c r="B1136">
        <v>44</v>
      </c>
    </row>
    <row r="1137" spans="1:2" x14ac:dyDescent="0.3">
      <c r="A1137">
        <v>46</v>
      </c>
      <c r="B1137">
        <v>44</v>
      </c>
    </row>
    <row r="1138" spans="1:2" x14ac:dyDescent="0.3">
      <c r="A1138">
        <v>28</v>
      </c>
      <c r="B1138">
        <v>44</v>
      </c>
    </row>
    <row r="1139" spans="1:2" x14ac:dyDescent="0.3">
      <c r="A1139">
        <v>22</v>
      </c>
      <c r="B1139">
        <v>44</v>
      </c>
    </row>
    <row r="1140" spans="1:2" x14ac:dyDescent="0.3">
      <c r="A1140">
        <v>50</v>
      </c>
      <c r="B1140">
        <v>44</v>
      </c>
    </row>
    <row r="1141" spans="1:2" x14ac:dyDescent="0.3">
      <c r="A1141">
        <v>32</v>
      </c>
      <c r="B1141">
        <v>44</v>
      </c>
    </row>
    <row r="1142" spans="1:2" x14ac:dyDescent="0.3">
      <c r="A1142">
        <v>44</v>
      </c>
      <c r="B1142">
        <v>44</v>
      </c>
    </row>
    <row r="1143" spans="1:2" x14ac:dyDescent="0.3">
      <c r="A1143">
        <v>30</v>
      </c>
      <c r="B1143">
        <v>44</v>
      </c>
    </row>
    <row r="1144" spans="1:2" x14ac:dyDescent="0.3">
      <c r="A1144">
        <v>45</v>
      </c>
      <c r="B1144">
        <v>44</v>
      </c>
    </row>
    <row r="1145" spans="1:2" x14ac:dyDescent="0.3">
      <c r="A1145">
        <v>45</v>
      </c>
      <c r="B1145">
        <v>44</v>
      </c>
    </row>
    <row r="1146" spans="1:2" x14ac:dyDescent="0.3">
      <c r="A1146">
        <v>31</v>
      </c>
      <c r="B1146">
        <v>44</v>
      </c>
    </row>
    <row r="1147" spans="1:2" x14ac:dyDescent="0.3">
      <c r="A1147">
        <v>36</v>
      </c>
      <c r="B1147">
        <v>44</v>
      </c>
    </row>
    <row r="1148" spans="1:2" x14ac:dyDescent="0.3">
      <c r="A1148">
        <v>34</v>
      </c>
      <c r="B1148">
        <v>44</v>
      </c>
    </row>
    <row r="1149" spans="1:2" x14ac:dyDescent="0.3">
      <c r="A1149">
        <v>49</v>
      </c>
      <c r="B1149">
        <v>44</v>
      </c>
    </row>
    <row r="1150" spans="1:2" x14ac:dyDescent="0.3">
      <c r="A1150">
        <v>39</v>
      </c>
      <c r="B1150">
        <v>44</v>
      </c>
    </row>
    <row r="1151" spans="1:2" x14ac:dyDescent="0.3">
      <c r="A1151">
        <v>27</v>
      </c>
      <c r="B1151">
        <v>44</v>
      </c>
    </row>
    <row r="1152" spans="1:2" x14ac:dyDescent="0.3">
      <c r="A1152">
        <v>35</v>
      </c>
      <c r="B1152">
        <v>44</v>
      </c>
    </row>
    <row r="1153" spans="1:2" x14ac:dyDescent="0.3">
      <c r="A1153">
        <v>28</v>
      </c>
      <c r="B1153">
        <v>44</v>
      </c>
    </row>
    <row r="1154" spans="1:2" x14ac:dyDescent="0.3">
      <c r="A1154">
        <v>21</v>
      </c>
      <c r="B1154">
        <v>44</v>
      </c>
    </row>
    <row r="1155" spans="1:2" x14ac:dyDescent="0.3">
      <c r="A1155">
        <v>18</v>
      </c>
      <c r="B1155">
        <v>44</v>
      </c>
    </row>
    <row r="1156" spans="1:2" x14ac:dyDescent="0.3">
      <c r="A1156">
        <v>47</v>
      </c>
      <c r="B1156">
        <v>44</v>
      </c>
    </row>
    <row r="1157" spans="1:2" x14ac:dyDescent="0.3">
      <c r="A1157">
        <v>39</v>
      </c>
      <c r="B1157">
        <v>44</v>
      </c>
    </row>
    <row r="1158" spans="1:2" x14ac:dyDescent="0.3">
      <c r="A1158">
        <v>40</v>
      </c>
      <c r="B1158">
        <v>45</v>
      </c>
    </row>
    <row r="1159" spans="1:2" x14ac:dyDescent="0.3">
      <c r="A1159">
        <v>35</v>
      </c>
      <c r="B1159">
        <v>45</v>
      </c>
    </row>
    <row r="1160" spans="1:2" x14ac:dyDescent="0.3">
      <c r="A1160">
        <v>37</v>
      </c>
      <c r="B1160">
        <v>45</v>
      </c>
    </row>
    <row r="1161" spans="1:2" x14ac:dyDescent="0.3">
      <c r="A1161">
        <v>39</v>
      </c>
      <c r="B1161">
        <v>45</v>
      </c>
    </row>
    <row r="1162" spans="1:2" x14ac:dyDescent="0.3">
      <c r="A1162">
        <v>45</v>
      </c>
      <c r="B1162">
        <v>45</v>
      </c>
    </row>
    <row r="1163" spans="1:2" x14ac:dyDescent="0.3">
      <c r="A1163">
        <v>38</v>
      </c>
      <c r="B1163">
        <v>45</v>
      </c>
    </row>
    <row r="1164" spans="1:2" x14ac:dyDescent="0.3">
      <c r="A1164">
        <v>35</v>
      </c>
      <c r="B1164">
        <v>45</v>
      </c>
    </row>
    <row r="1165" spans="1:2" x14ac:dyDescent="0.3">
      <c r="A1165">
        <v>37</v>
      </c>
      <c r="B1165">
        <v>45</v>
      </c>
    </row>
    <row r="1166" spans="1:2" x14ac:dyDescent="0.3">
      <c r="A1166">
        <v>40</v>
      </c>
      <c r="B1166">
        <v>45</v>
      </c>
    </row>
    <row r="1167" spans="1:2" x14ac:dyDescent="0.3">
      <c r="A1167">
        <v>44</v>
      </c>
      <c r="B1167">
        <v>45</v>
      </c>
    </row>
    <row r="1168" spans="1:2" x14ac:dyDescent="0.3">
      <c r="A1168">
        <v>48</v>
      </c>
      <c r="B1168">
        <v>45</v>
      </c>
    </row>
    <row r="1169" spans="1:2" x14ac:dyDescent="0.3">
      <c r="A1169">
        <v>35</v>
      </c>
      <c r="B1169">
        <v>45</v>
      </c>
    </row>
    <row r="1170" spans="1:2" x14ac:dyDescent="0.3">
      <c r="A1170">
        <v>24</v>
      </c>
      <c r="B1170">
        <v>45</v>
      </c>
    </row>
    <row r="1171" spans="1:2" x14ac:dyDescent="0.3">
      <c r="A1171">
        <v>27</v>
      </c>
      <c r="B1171">
        <v>45</v>
      </c>
    </row>
    <row r="1172" spans="1:2" x14ac:dyDescent="0.3">
      <c r="A1172">
        <v>27</v>
      </c>
      <c r="B1172">
        <v>45</v>
      </c>
    </row>
    <row r="1173" spans="1:2" x14ac:dyDescent="0.3">
      <c r="A1173">
        <v>40</v>
      </c>
      <c r="B1173">
        <v>45</v>
      </c>
    </row>
    <row r="1174" spans="1:2" x14ac:dyDescent="0.3">
      <c r="A1174">
        <v>29</v>
      </c>
      <c r="B1174">
        <v>45</v>
      </c>
    </row>
    <row r="1175" spans="1:2" x14ac:dyDescent="0.3">
      <c r="A1175">
        <v>36</v>
      </c>
      <c r="B1175">
        <v>45</v>
      </c>
    </row>
    <row r="1176" spans="1:2" x14ac:dyDescent="0.3">
      <c r="A1176">
        <v>25</v>
      </c>
      <c r="B1176">
        <v>45</v>
      </c>
    </row>
    <row r="1177" spans="1:2" x14ac:dyDescent="0.3">
      <c r="A1177">
        <v>39</v>
      </c>
      <c r="B1177">
        <v>45</v>
      </c>
    </row>
    <row r="1178" spans="1:2" x14ac:dyDescent="0.3">
      <c r="A1178">
        <v>49</v>
      </c>
      <c r="B1178">
        <v>45</v>
      </c>
    </row>
    <row r="1179" spans="1:2" x14ac:dyDescent="0.3">
      <c r="A1179">
        <v>50</v>
      </c>
      <c r="B1179">
        <v>45</v>
      </c>
    </row>
    <row r="1180" spans="1:2" x14ac:dyDescent="0.3">
      <c r="A1180">
        <v>20</v>
      </c>
      <c r="B1180">
        <v>45</v>
      </c>
    </row>
    <row r="1181" spans="1:2" x14ac:dyDescent="0.3">
      <c r="A1181">
        <v>34</v>
      </c>
      <c r="B1181">
        <v>45</v>
      </c>
    </row>
    <row r="1182" spans="1:2" x14ac:dyDescent="0.3">
      <c r="A1182">
        <v>36</v>
      </c>
      <c r="B1182">
        <v>45</v>
      </c>
    </row>
    <row r="1183" spans="1:2" x14ac:dyDescent="0.3">
      <c r="A1183">
        <v>49</v>
      </c>
      <c r="B1183">
        <v>45</v>
      </c>
    </row>
    <row r="1184" spans="1:2" x14ac:dyDescent="0.3">
      <c r="A1184">
        <v>36</v>
      </c>
      <c r="B1184">
        <v>45</v>
      </c>
    </row>
    <row r="1185" spans="1:2" x14ac:dyDescent="0.3">
      <c r="A1185">
        <v>36</v>
      </c>
      <c r="B1185">
        <v>45</v>
      </c>
    </row>
    <row r="1186" spans="1:2" x14ac:dyDescent="0.3">
      <c r="A1186">
        <v>54</v>
      </c>
      <c r="B1186">
        <v>45</v>
      </c>
    </row>
    <row r="1187" spans="1:2" x14ac:dyDescent="0.3">
      <c r="A1187">
        <v>43</v>
      </c>
      <c r="B1187">
        <v>45</v>
      </c>
    </row>
    <row r="1188" spans="1:2" x14ac:dyDescent="0.3">
      <c r="A1188">
        <v>35</v>
      </c>
      <c r="B1188">
        <v>45</v>
      </c>
    </row>
    <row r="1189" spans="1:2" x14ac:dyDescent="0.3">
      <c r="A1189">
        <v>38</v>
      </c>
      <c r="B1189">
        <v>45</v>
      </c>
    </row>
    <row r="1190" spans="1:2" x14ac:dyDescent="0.3">
      <c r="A1190">
        <v>29</v>
      </c>
      <c r="B1190">
        <v>45</v>
      </c>
    </row>
    <row r="1191" spans="1:2" x14ac:dyDescent="0.3">
      <c r="A1191">
        <v>33</v>
      </c>
      <c r="B1191">
        <v>45</v>
      </c>
    </row>
    <row r="1192" spans="1:2" x14ac:dyDescent="0.3">
      <c r="A1192">
        <v>32</v>
      </c>
      <c r="B1192">
        <v>45</v>
      </c>
    </row>
    <row r="1193" spans="1:2" x14ac:dyDescent="0.3">
      <c r="A1193">
        <v>31</v>
      </c>
      <c r="B1193">
        <v>45</v>
      </c>
    </row>
    <row r="1194" spans="1:2" x14ac:dyDescent="0.3">
      <c r="A1194">
        <v>49</v>
      </c>
      <c r="B1194">
        <v>45</v>
      </c>
    </row>
    <row r="1195" spans="1:2" x14ac:dyDescent="0.3">
      <c r="A1195">
        <v>38</v>
      </c>
      <c r="B1195">
        <v>45</v>
      </c>
    </row>
    <row r="1196" spans="1:2" x14ac:dyDescent="0.3">
      <c r="A1196">
        <v>47</v>
      </c>
      <c r="B1196">
        <v>45</v>
      </c>
    </row>
    <row r="1197" spans="1:2" x14ac:dyDescent="0.3">
      <c r="A1197">
        <v>49</v>
      </c>
      <c r="B1197">
        <v>45</v>
      </c>
    </row>
    <row r="1198" spans="1:2" x14ac:dyDescent="0.3">
      <c r="A1198">
        <v>41</v>
      </c>
      <c r="B1198">
        <v>45</v>
      </c>
    </row>
    <row r="1199" spans="1:2" x14ac:dyDescent="0.3">
      <c r="A1199">
        <v>20</v>
      </c>
      <c r="B1199">
        <v>46</v>
      </c>
    </row>
    <row r="1200" spans="1:2" x14ac:dyDescent="0.3">
      <c r="A1200">
        <v>33</v>
      </c>
      <c r="B1200">
        <v>46</v>
      </c>
    </row>
    <row r="1201" spans="1:2" x14ac:dyDescent="0.3">
      <c r="A1201">
        <v>36</v>
      </c>
      <c r="B1201">
        <v>46</v>
      </c>
    </row>
    <row r="1202" spans="1:2" x14ac:dyDescent="0.3">
      <c r="A1202">
        <v>44</v>
      </c>
      <c r="B1202">
        <v>46</v>
      </c>
    </row>
    <row r="1203" spans="1:2" x14ac:dyDescent="0.3">
      <c r="A1203">
        <v>23</v>
      </c>
      <c r="B1203">
        <v>46</v>
      </c>
    </row>
    <row r="1204" spans="1:2" x14ac:dyDescent="0.3">
      <c r="A1204">
        <v>38</v>
      </c>
      <c r="B1204">
        <v>46</v>
      </c>
    </row>
    <row r="1205" spans="1:2" x14ac:dyDescent="0.3">
      <c r="A1205">
        <v>53</v>
      </c>
      <c r="B1205">
        <v>46</v>
      </c>
    </row>
    <row r="1206" spans="1:2" x14ac:dyDescent="0.3">
      <c r="A1206">
        <v>48</v>
      </c>
      <c r="B1206">
        <v>46</v>
      </c>
    </row>
    <row r="1207" spans="1:2" x14ac:dyDescent="0.3">
      <c r="A1207">
        <v>32</v>
      </c>
      <c r="B1207">
        <v>46</v>
      </c>
    </row>
    <row r="1208" spans="1:2" x14ac:dyDescent="0.3">
      <c r="A1208">
        <v>26</v>
      </c>
      <c r="B1208">
        <v>46</v>
      </c>
    </row>
    <row r="1209" spans="1:2" x14ac:dyDescent="0.3">
      <c r="A1209">
        <v>55</v>
      </c>
      <c r="B1209">
        <v>46</v>
      </c>
    </row>
    <row r="1210" spans="1:2" x14ac:dyDescent="0.3">
      <c r="A1210">
        <v>34</v>
      </c>
      <c r="B1210">
        <v>46</v>
      </c>
    </row>
    <row r="1211" spans="1:2" x14ac:dyDescent="0.3">
      <c r="A1211">
        <v>60</v>
      </c>
      <c r="B1211">
        <v>46</v>
      </c>
    </row>
    <row r="1212" spans="1:2" x14ac:dyDescent="0.3">
      <c r="A1212">
        <v>33</v>
      </c>
      <c r="B1212">
        <v>46</v>
      </c>
    </row>
    <row r="1213" spans="1:2" x14ac:dyDescent="0.3">
      <c r="A1213">
        <v>37</v>
      </c>
      <c r="B1213">
        <v>46</v>
      </c>
    </row>
    <row r="1214" spans="1:2" x14ac:dyDescent="0.3">
      <c r="A1214">
        <v>34</v>
      </c>
      <c r="B1214">
        <v>46</v>
      </c>
    </row>
    <row r="1215" spans="1:2" x14ac:dyDescent="0.3">
      <c r="A1215">
        <v>23</v>
      </c>
      <c r="B1215">
        <v>46</v>
      </c>
    </row>
    <row r="1216" spans="1:2" x14ac:dyDescent="0.3">
      <c r="A1216">
        <v>44</v>
      </c>
      <c r="B1216">
        <v>46</v>
      </c>
    </row>
    <row r="1217" spans="1:2" x14ac:dyDescent="0.3">
      <c r="A1217">
        <v>35</v>
      </c>
      <c r="B1217">
        <v>46</v>
      </c>
    </row>
    <row r="1218" spans="1:2" x14ac:dyDescent="0.3">
      <c r="A1218">
        <v>43</v>
      </c>
      <c r="B1218">
        <v>46</v>
      </c>
    </row>
    <row r="1219" spans="1:2" x14ac:dyDescent="0.3">
      <c r="A1219">
        <v>24</v>
      </c>
      <c r="B1219">
        <v>46</v>
      </c>
    </row>
    <row r="1220" spans="1:2" x14ac:dyDescent="0.3">
      <c r="A1220">
        <v>41</v>
      </c>
      <c r="B1220">
        <v>46</v>
      </c>
    </row>
    <row r="1221" spans="1:2" x14ac:dyDescent="0.3">
      <c r="A1221">
        <v>29</v>
      </c>
      <c r="B1221">
        <v>46</v>
      </c>
    </row>
    <row r="1222" spans="1:2" x14ac:dyDescent="0.3">
      <c r="A1222">
        <v>36</v>
      </c>
      <c r="B1222">
        <v>46</v>
      </c>
    </row>
    <row r="1223" spans="1:2" x14ac:dyDescent="0.3">
      <c r="A1223">
        <v>45</v>
      </c>
      <c r="B1223">
        <v>46</v>
      </c>
    </row>
    <row r="1224" spans="1:2" x14ac:dyDescent="0.3">
      <c r="A1224">
        <v>24</v>
      </c>
      <c r="B1224">
        <v>46</v>
      </c>
    </row>
    <row r="1225" spans="1:2" x14ac:dyDescent="0.3">
      <c r="A1225">
        <v>47</v>
      </c>
      <c r="B1225">
        <v>46</v>
      </c>
    </row>
    <row r="1226" spans="1:2" x14ac:dyDescent="0.3">
      <c r="A1226">
        <v>26</v>
      </c>
      <c r="B1226">
        <v>46</v>
      </c>
    </row>
    <row r="1227" spans="1:2" x14ac:dyDescent="0.3">
      <c r="A1227">
        <v>45</v>
      </c>
      <c r="B1227">
        <v>46</v>
      </c>
    </row>
    <row r="1228" spans="1:2" x14ac:dyDescent="0.3">
      <c r="A1228">
        <v>32</v>
      </c>
      <c r="B1228">
        <v>46</v>
      </c>
    </row>
    <row r="1229" spans="1:2" x14ac:dyDescent="0.3">
      <c r="A1229">
        <v>31</v>
      </c>
      <c r="B1229">
        <v>46</v>
      </c>
    </row>
    <row r="1230" spans="1:2" x14ac:dyDescent="0.3">
      <c r="A1230">
        <v>41</v>
      </c>
      <c r="B1230">
        <v>46</v>
      </c>
    </row>
    <row r="1231" spans="1:2" x14ac:dyDescent="0.3">
      <c r="A1231">
        <v>40</v>
      </c>
      <c r="B1231">
        <v>46</v>
      </c>
    </row>
    <row r="1232" spans="1:2" x14ac:dyDescent="0.3">
      <c r="A1232">
        <v>24</v>
      </c>
      <c r="B1232">
        <v>47</v>
      </c>
    </row>
    <row r="1233" spans="1:2" x14ac:dyDescent="0.3">
      <c r="A1233">
        <v>46</v>
      </c>
      <c r="B1233">
        <v>47</v>
      </c>
    </row>
    <row r="1234" spans="1:2" x14ac:dyDescent="0.3">
      <c r="A1234">
        <v>35</v>
      </c>
      <c r="B1234">
        <v>47</v>
      </c>
    </row>
    <row r="1235" spans="1:2" x14ac:dyDescent="0.3">
      <c r="A1235">
        <v>30</v>
      </c>
      <c r="B1235">
        <v>47</v>
      </c>
    </row>
    <row r="1236" spans="1:2" x14ac:dyDescent="0.3">
      <c r="A1236">
        <v>47</v>
      </c>
      <c r="B1236">
        <v>47</v>
      </c>
    </row>
    <row r="1237" spans="1:2" x14ac:dyDescent="0.3">
      <c r="A1237">
        <v>46</v>
      </c>
      <c r="B1237">
        <v>47</v>
      </c>
    </row>
    <row r="1238" spans="1:2" x14ac:dyDescent="0.3">
      <c r="A1238">
        <v>36</v>
      </c>
      <c r="B1238">
        <v>47</v>
      </c>
    </row>
    <row r="1239" spans="1:2" x14ac:dyDescent="0.3">
      <c r="A1239">
        <v>32</v>
      </c>
      <c r="B1239">
        <v>47</v>
      </c>
    </row>
    <row r="1240" spans="1:2" x14ac:dyDescent="0.3">
      <c r="A1240">
        <v>23</v>
      </c>
      <c r="B1240">
        <v>47</v>
      </c>
    </row>
    <row r="1241" spans="1:2" x14ac:dyDescent="0.3">
      <c r="A1241">
        <v>31</v>
      </c>
      <c r="B1241">
        <v>47</v>
      </c>
    </row>
    <row r="1242" spans="1:2" x14ac:dyDescent="0.3">
      <c r="A1242">
        <v>39</v>
      </c>
      <c r="B1242">
        <v>47</v>
      </c>
    </row>
    <row r="1243" spans="1:2" x14ac:dyDescent="0.3">
      <c r="A1243">
        <v>32</v>
      </c>
      <c r="B1243">
        <v>47</v>
      </c>
    </row>
    <row r="1244" spans="1:2" x14ac:dyDescent="0.3">
      <c r="A1244">
        <v>40</v>
      </c>
      <c r="B1244">
        <v>47</v>
      </c>
    </row>
    <row r="1245" spans="1:2" x14ac:dyDescent="0.3">
      <c r="A1245">
        <v>45</v>
      </c>
      <c r="B1245">
        <v>47</v>
      </c>
    </row>
    <row r="1246" spans="1:2" x14ac:dyDescent="0.3">
      <c r="A1246">
        <v>30</v>
      </c>
      <c r="B1246">
        <v>47</v>
      </c>
    </row>
    <row r="1247" spans="1:2" x14ac:dyDescent="0.3">
      <c r="A1247">
        <v>24</v>
      </c>
      <c r="B1247">
        <v>47</v>
      </c>
    </row>
    <row r="1248" spans="1:2" x14ac:dyDescent="0.3">
      <c r="A1248">
        <v>30</v>
      </c>
      <c r="B1248">
        <v>47</v>
      </c>
    </row>
    <row r="1249" spans="1:2" x14ac:dyDescent="0.3">
      <c r="A1249">
        <v>31</v>
      </c>
      <c r="B1249">
        <v>47</v>
      </c>
    </row>
    <row r="1250" spans="1:2" x14ac:dyDescent="0.3">
      <c r="A1250">
        <v>27</v>
      </c>
      <c r="B1250">
        <v>47</v>
      </c>
    </row>
    <row r="1251" spans="1:2" x14ac:dyDescent="0.3">
      <c r="A1251">
        <v>29</v>
      </c>
      <c r="B1251">
        <v>47</v>
      </c>
    </row>
    <row r="1252" spans="1:2" x14ac:dyDescent="0.3">
      <c r="A1252">
        <v>29</v>
      </c>
      <c r="B1252">
        <v>47</v>
      </c>
    </row>
    <row r="1253" spans="1:2" x14ac:dyDescent="0.3">
      <c r="A1253">
        <v>30</v>
      </c>
      <c r="B1253">
        <v>47</v>
      </c>
    </row>
    <row r="1254" spans="1:2" x14ac:dyDescent="0.3">
      <c r="A1254">
        <v>34</v>
      </c>
      <c r="B1254">
        <v>47</v>
      </c>
    </row>
    <row r="1255" spans="1:2" x14ac:dyDescent="0.3">
      <c r="A1255">
        <v>33</v>
      </c>
      <c r="B1255">
        <v>47</v>
      </c>
    </row>
    <row r="1256" spans="1:2" x14ac:dyDescent="0.3">
      <c r="A1256">
        <v>49</v>
      </c>
      <c r="B1256">
        <v>48</v>
      </c>
    </row>
    <row r="1257" spans="1:2" x14ac:dyDescent="0.3">
      <c r="A1257">
        <v>33</v>
      </c>
      <c r="B1257">
        <v>48</v>
      </c>
    </row>
    <row r="1258" spans="1:2" x14ac:dyDescent="0.3">
      <c r="A1258">
        <v>38</v>
      </c>
      <c r="B1258">
        <v>48</v>
      </c>
    </row>
    <row r="1259" spans="1:2" x14ac:dyDescent="0.3">
      <c r="A1259">
        <v>31</v>
      </c>
      <c r="B1259">
        <v>48</v>
      </c>
    </row>
    <row r="1260" spans="1:2" x14ac:dyDescent="0.3">
      <c r="A1260">
        <v>29</v>
      </c>
      <c r="B1260">
        <v>48</v>
      </c>
    </row>
    <row r="1261" spans="1:2" x14ac:dyDescent="0.3">
      <c r="A1261">
        <v>30</v>
      </c>
      <c r="B1261">
        <v>48</v>
      </c>
    </row>
    <row r="1262" spans="1:2" x14ac:dyDescent="0.3">
      <c r="A1262">
        <v>32</v>
      </c>
      <c r="B1262">
        <v>48</v>
      </c>
    </row>
    <row r="1263" spans="1:2" x14ac:dyDescent="0.3">
      <c r="A1263">
        <v>38</v>
      </c>
      <c r="B1263">
        <v>48</v>
      </c>
    </row>
    <row r="1264" spans="1:2" x14ac:dyDescent="0.3">
      <c r="A1264">
        <v>43</v>
      </c>
      <c r="B1264">
        <v>48</v>
      </c>
    </row>
    <row r="1265" spans="1:2" x14ac:dyDescent="0.3">
      <c r="A1265">
        <v>42</v>
      </c>
      <c r="B1265">
        <v>48</v>
      </c>
    </row>
    <row r="1266" spans="1:2" x14ac:dyDescent="0.3">
      <c r="A1266">
        <v>55</v>
      </c>
      <c r="B1266">
        <v>48</v>
      </c>
    </row>
    <row r="1267" spans="1:2" x14ac:dyDescent="0.3">
      <c r="A1267">
        <v>33</v>
      </c>
      <c r="B1267">
        <v>48</v>
      </c>
    </row>
    <row r="1268" spans="1:2" x14ac:dyDescent="0.3">
      <c r="A1268">
        <v>41</v>
      </c>
      <c r="B1268">
        <v>48</v>
      </c>
    </row>
    <row r="1269" spans="1:2" x14ac:dyDescent="0.3">
      <c r="A1269">
        <v>34</v>
      </c>
      <c r="B1269">
        <v>48</v>
      </c>
    </row>
    <row r="1270" spans="1:2" x14ac:dyDescent="0.3">
      <c r="A1270">
        <v>53</v>
      </c>
      <c r="B1270">
        <v>48</v>
      </c>
    </row>
    <row r="1271" spans="1:2" x14ac:dyDescent="0.3">
      <c r="A1271">
        <v>43</v>
      </c>
      <c r="B1271">
        <v>48</v>
      </c>
    </row>
    <row r="1272" spans="1:2" x14ac:dyDescent="0.3">
      <c r="A1272">
        <v>34</v>
      </c>
      <c r="B1272">
        <v>48</v>
      </c>
    </row>
    <row r="1273" spans="1:2" x14ac:dyDescent="0.3">
      <c r="A1273">
        <v>21</v>
      </c>
      <c r="B1273">
        <v>48</v>
      </c>
    </row>
    <row r="1274" spans="1:2" x14ac:dyDescent="0.3">
      <c r="A1274">
        <v>38</v>
      </c>
      <c r="B1274">
        <v>48</v>
      </c>
    </row>
    <row r="1275" spans="1:2" x14ac:dyDescent="0.3">
      <c r="A1275">
        <v>22</v>
      </c>
      <c r="B1275">
        <v>49</v>
      </c>
    </row>
    <row r="1276" spans="1:2" x14ac:dyDescent="0.3">
      <c r="A1276">
        <v>31</v>
      </c>
      <c r="B1276">
        <v>49</v>
      </c>
    </row>
    <row r="1277" spans="1:2" x14ac:dyDescent="0.3">
      <c r="A1277">
        <v>51</v>
      </c>
      <c r="B1277">
        <v>49</v>
      </c>
    </row>
    <row r="1278" spans="1:2" x14ac:dyDescent="0.3">
      <c r="A1278">
        <v>37</v>
      </c>
      <c r="B1278">
        <v>49</v>
      </c>
    </row>
    <row r="1279" spans="1:2" x14ac:dyDescent="0.3">
      <c r="A1279">
        <v>46</v>
      </c>
      <c r="B1279">
        <v>49</v>
      </c>
    </row>
    <row r="1280" spans="1:2" x14ac:dyDescent="0.3">
      <c r="A1280">
        <v>36</v>
      </c>
      <c r="B1280">
        <v>49</v>
      </c>
    </row>
    <row r="1281" spans="1:2" x14ac:dyDescent="0.3">
      <c r="A1281">
        <v>44</v>
      </c>
      <c r="B1281">
        <v>49</v>
      </c>
    </row>
    <row r="1282" spans="1:2" x14ac:dyDescent="0.3">
      <c r="A1282">
        <v>37</v>
      </c>
      <c r="B1282">
        <v>49</v>
      </c>
    </row>
    <row r="1283" spans="1:2" x14ac:dyDescent="0.3">
      <c r="A1283">
        <v>35</v>
      </c>
      <c r="B1283">
        <v>49</v>
      </c>
    </row>
    <row r="1284" spans="1:2" x14ac:dyDescent="0.3">
      <c r="A1284">
        <v>33</v>
      </c>
      <c r="B1284">
        <v>49</v>
      </c>
    </row>
    <row r="1285" spans="1:2" x14ac:dyDescent="0.3">
      <c r="A1285">
        <v>28</v>
      </c>
      <c r="B1285">
        <v>49</v>
      </c>
    </row>
    <row r="1286" spans="1:2" x14ac:dyDescent="0.3">
      <c r="A1286">
        <v>39</v>
      </c>
      <c r="B1286">
        <v>49</v>
      </c>
    </row>
    <row r="1287" spans="1:2" x14ac:dyDescent="0.3">
      <c r="A1287">
        <v>46</v>
      </c>
      <c r="B1287">
        <v>49</v>
      </c>
    </row>
    <row r="1288" spans="1:2" x14ac:dyDescent="0.3">
      <c r="A1288">
        <v>40</v>
      </c>
      <c r="B1288">
        <v>49</v>
      </c>
    </row>
    <row r="1289" spans="1:2" x14ac:dyDescent="0.3">
      <c r="A1289">
        <v>42</v>
      </c>
      <c r="B1289">
        <v>49</v>
      </c>
    </row>
    <row r="1290" spans="1:2" x14ac:dyDescent="0.3">
      <c r="A1290">
        <v>35</v>
      </c>
      <c r="B1290">
        <v>49</v>
      </c>
    </row>
    <row r="1291" spans="1:2" x14ac:dyDescent="0.3">
      <c r="A1291">
        <v>38</v>
      </c>
      <c r="B1291">
        <v>49</v>
      </c>
    </row>
    <row r="1292" spans="1:2" x14ac:dyDescent="0.3">
      <c r="A1292">
        <v>34</v>
      </c>
      <c r="B1292">
        <v>49</v>
      </c>
    </row>
    <row r="1293" spans="1:2" x14ac:dyDescent="0.3">
      <c r="A1293">
        <v>37</v>
      </c>
      <c r="B1293">
        <v>49</v>
      </c>
    </row>
    <row r="1294" spans="1:2" x14ac:dyDescent="0.3">
      <c r="A1294">
        <v>39</v>
      </c>
      <c r="B1294">
        <v>49</v>
      </c>
    </row>
    <row r="1295" spans="1:2" x14ac:dyDescent="0.3">
      <c r="A1295">
        <v>43</v>
      </c>
      <c r="B1295">
        <v>49</v>
      </c>
    </row>
    <row r="1296" spans="1:2" x14ac:dyDescent="0.3">
      <c r="A1296">
        <v>41</v>
      </c>
      <c r="B1296">
        <v>49</v>
      </c>
    </row>
    <row r="1297" spans="1:2" x14ac:dyDescent="0.3">
      <c r="A1297">
        <v>41</v>
      </c>
      <c r="B1297">
        <v>49</v>
      </c>
    </row>
    <row r="1298" spans="1:2" x14ac:dyDescent="0.3">
      <c r="A1298">
        <v>30</v>
      </c>
      <c r="B1298">
        <v>49</v>
      </c>
    </row>
    <row r="1299" spans="1:2" x14ac:dyDescent="0.3">
      <c r="A1299">
        <v>26</v>
      </c>
      <c r="B1299">
        <v>50</v>
      </c>
    </row>
    <row r="1300" spans="1:2" x14ac:dyDescent="0.3">
      <c r="A1300">
        <v>46</v>
      </c>
      <c r="B1300">
        <v>50</v>
      </c>
    </row>
    <row r="1301" spans="1:2" x14ac:dyDescent="0.3">
      <c r="A1301">
        <v>40</v>
      </c>
      <c r="B1301">
        <v>50</v>
      </c>
    </row>
    <row r="1302" spans="1:2" x14ac:dyDescent="0.3">
      <c r="A1302">
        <v>34</v>
      </c>
      <c r="B1302">
        <v>50</v>
      </c>
    </row>
    <row r="1303" spans="1:2" x14ac:dyDescent="0.3">
      <c r="A1303">
        <v>58</v>
      </c>
      <c r="B1303">
        <v>50</v>
      </c>
    </row>
    <row r="1304" spans="1:2" x14ac:dyDescent="0.3">
      <c r="A1304">
        <v>35</v>
      </c>
      <c r="B1304">
        <v>50</v>
      </c>
    </row>
    <row r="1305" spans="1:2" x14ac:dyDescent="0.3">
      <c r="A1305">
        <v>47</v>
      </c>
      <c r="B1305">
        <v>50</v>
      </c>
    </row>
    <row r="1306" spans="1:2" x14ac:dyDescent="0.3">
      <c r="A1306">
        <v>40</v>
      </c>
      <c r="B1306">
        <v>50</v>
      </c>
    </row>
    <row r="1307" spans="1:2" x14ac:dyDescent="0.3">
      <c r="A1307">
        <v>54</v>
      </c>
      <c r="B1307">
        <v>50</v>
      </c>
    </row>
    <row r="1308" spans="1:2" x14ac:dyDescent="0.3">
      <c r="A1308">
        <v>31</v>
      </c>
      <c r="B1308">
        <v>50</v>
      </c>
    </row>
    <row r="1309" spans="1:2" x14ac:dyDescent="0.3">
      <c r="A1309">
        <v>28</v>
      </c>
      <c r="B1309">
        <v>50</v>
      </c>
    </row>
    <row r="1310" spans="1:2" x14ac:dyDescent="0.3">
      <c r="A1310">
        <v>38</v>
      </c>
      <c r="B1310">
        <v>50</v>
      </c>
    </row>
    <row r="1311" spans="1:2" x14ac:dyDescent="0.3">
      <c r="A1311">
        <v>26</v>
      </c>
      <c r="B1311">
        <v>50</v>
      </c>
    </row>
    <row r="1312" spans="1:2" x14ac:dyDescent="0.3">
      <c r="A1312">
        <v>58</v>
      </c>
      <c r="B1312">
        <v>50</v>
      </c>
    </row>
    <row r="1313" spans="1:2" x14ac:dyDescent="0.3">
      <c r="A1313">
        <v>18</v>
      </c>
      <c r="B1313">
        <v>50</v>
      </c>
    </row>
    <row r="1314" spans="1:2" x14ac:dyDescent="0.3">
      <c r="A1314">
        <v>31</v>
      </c>
      <c r="B1314">
        <v>50</v>
      </c>
    </row>
    <row r="1315" spans="1:2" x14ac:dyDescent="0.3">
      <c r="A1315">
        <v>29</v>
      </c>
      <c r="B1315">
        <v>50</v>
      </c>
    </row>
    <row r="1316" spans="1:2" x14ac:dyDescent="0.3">
      <c r="A1316">
        <v>45</v>
      </c>
      <c r="B1316">
        <v>50</v>
      </c>
    </row>
    <row r="1317" spans="1:2" x14ac:dyDescent="0.3">
      <c r="A1317">
        <v>36</v>
      </c>
      <c r="B1317">
        <v>50</v>
      </c>
    </row>
    <row r="1318" spans="1:2" x14ac:dyDescent="0.3">
      <c r="A1318">
        <v>43</v>
      </c>
      <c r="B1318">
        <v>50</v>
      </c>
    </row>
    <row r="1319" spans="1:2" x14ac:dyDescent="0.3">
      <c r="A1319">
        <v>27</v>
      </c>
      <c r="B1319">
        <v>50</v>
      </c>
    </row>
    <row r="1320" spans="1:2" x14ac:dyDescent="0.3">
      <c r="A1320">
        <v>29</v>
      </c>
      <c r="B1320">
        <v>50</v>
      </c>
    </row>
    <row r="1321" spans="1:2" x14ac:dyDescent="0.3">
      <c r="A1321">
        <v>32</v>
      </c>
      <c r="B1321">
        <v>50</v>
      </c>
    </row>
    <row r="1322" spans="1:2" x14ac:dyDescent="0.3">
      <c r="A1322">
        <v>42</v>
      </c>
      <c r="B1322">
        <v>50</v>
      </c>
    </row>
    <row r="1323" spans="1:2" x14ac:dyDescent="0.3">
      <c r="A1323">
        <v>47</v>
      </c>
      <c r="B1323">
        <v>50</v>
      </c>
    </row>
    <row r="1324" spans="1:2" x14ac:dyDescent="0.3">
      <c r="A1324">
        <v>46</v>
      </c>
      <c r="B1324">
        <v>50</v>
      </c>
    </row>
    <row r="1325" spans="1:2" x14ac:dyDescent="0.3">
      <c r="A1325">
        <v>28</v>
      </c>
      <c r="B1325">
        <v>50</v>
      </c>
    </row>
    <row r="1326" spans="1:2" x14ac:dyDescent="0.3">
      <c r="A1326">
        <v>29</v>
      </c>
      <c r="B1326">
        <v>50</v>
      </c>
    </row>
    <row r="1327" spans="1:2" x14ac:dyDescent="0.3">
      <c r="A1327">
        <v>42</v>
      </c>
      <c r="B1327">
        <v>50</v>
      </c>
    </row>
    <row r="1328" spans="1:2" x14ac:dyDescent="0.3">
      <c r="A1328">
        <v>32</v>
      </c>
      <c r="B1328">
        <v>50</v>
      </c>
    </row>
    <row r="1329" spans="1:2" x14ac:dyDescent="0.3">
      <c r="A1329">
        <v>46</v>
      </c>
      <c r="B1329">
        <v>51</v>
      </c>
    </row>
    <row r="1330" spans="1:2" x14ac:dyDescent="0.3">
      <c r="A1330">
        <v>27</v>
      </c>
      <c r="B1330">
        <v>51</v>
      </c>
    </row>
    <row r="1331" spans="1:2" x14ac:dyDescent="0.3">
      <c r="A1331">
        <v>29</v>
      </c>
      <c r="B1331">
        <v>51</v>
      </c>
    </row>
    <row r="1332" spans="1:2" x14ac:dyDescent="0.3">
      <c r="A1332">
        <v>43</v>
      </c>
      <c r="B1332">
        <v>51</v>
      </c>
    </row>
    <row r="1333" spans="1:2" x14ac:dyDescent="0.3">
      <c r="A1333">
        <v>48</v>
      </c>
      <c r="B1333">
        <v>51</v>
      </c>
    </row>
    <row r="1334" spans="1:2" x14ac:dyDescent="0.3">
      <c r="A1334">
        <v>29</v>
      </c>
      <c r="B1334">
        <v>51</v>
      </c>
    </row>
    <row r="1335" spans="1:2" x14ac:dyDescent="0.3">
      <c r="A1335">
        <v>46</v>
      </c>
      <c r="B1335">
        <v>51</v>
      </c>
    </row>
    <row r="1336" spans="1:2" x14ac:dyDescent="0.3">
      <c r="A1336">
        <v>27</v>
      </c>
      <c r="B1336">
        <v>51</v>
      </c>
    </row>
    <row r="1337" spans="1:2" x14ac:dyDescent="0.3">
      <c r="A1337">
        <v>39</v>
      </c>
      <c r="B1337">
        <v>51</v>
      </c>
    </row>
    <row r="1338" spans="1:2" x14ac:dyDescent="0.3">
      <c r="A1338">
        <v>55</v>
      </c>
      <c r="B1338">
        <v>51</v>
      </c>
    </row>
    <row r="1339" spans="1:2" x14ac:dyDescent="0.3">
      <c r="A1339">
        <v>28</v>
      </c>
      <c r="B1339">
        <v>51</v>
      </c>
    </row>
    <row r="1340" spans="1:2" x14ac:dyDescent="0.3">
      <c r="A1340">
        <v>30</v>
      </c>
      <c r="B1340">
        <v>51</v>
      </c>
    </row>
    <row r="1341" spans="1:2" x14ac:dyDescent="0.3">
      <c r="A1341">
        <v>22</v>
      </c>
      <c r="B1341">
        <v>51</v>
      </c>
    </row>
    <row r="1342" spans="1:2" x14ac:dyDescent="0.3">
      <c r="A1342">
        <v>36</v>
      </c>
      <c r="B1342">
        <v>51</v>
      </c>
    </row>
    <row r="1343" spans="1:2" x14ac:dyDescent="0.3">
      <c r="A1343">
        <v>31</v>
      </c>
      <c r="B1343">
        <v>51</v>
      </c>
    </row>
    <row r="1344" spans="1:2" x14ac:dyDescent="0.3">
      <c r="A1344">
        <v>34</v>
      </c>
      <c r="B1344">
        <v>51</v>
      </c>
    </row>
    <row r="1345" spans="1:2" x14ac:dyDescent="0.3">
      <c r="A1345">
        <v>29</v>
      </c>
      <c r="B1345">
        <v>51</v>
      </c>
    </row>
    <row r="1346" spans="1:2" x14ac:dyDescent="0.3">
      <c r="A1346">
        <v>37</v>
      </c>
      <c r="B1346">
        <v>51</v>
      </c>
    </row>
    <row r="1347" spans="1:2" x14ac:dyDescent="0.3">
      <c r="A1347">
        <v>35</v>
      </c>
      <c r="B1347">
        <v>51</v>
      </c>
    </row>
    <row r="1348" spans="1:2" x14ac:dyDescent="0.3">
      <c r="A1348">
        <v>45</v>
      </c>
      <c r="B1348">
        <v>52</v>
      </c>
    </row>
    <row r="1349" spans="1:2" x14ac:dyDescent="0.3">
      <c r="A1349">
        <v>36</v>
      </c>
      <c r="B1349">
        <v>52</v>
      </c>
    </row>
    <row r="1350" spans="1:2" x14ac:dyDescent="0.3">
      <c r="A1350">
        <v>40</v>
      </c>
      <c r="B1350">
        <v>52</v>
      </c>
    </row>
    <row r="1351" spans="1:2" x14ac:dyDescent="0.3">
      <c r="A1351">
        <v>26</v>
      </c>
      <c r="B1351">
        <v>52</v>
      </c>
    </row>
    <row r="1352" spans="1:2" x14ac:dyDescent="0.3">
      <c r="A1352">
        <v>27</v>
      </c>
      <c r="B1352">
        <v>52</v>
      </c>
    </row>
    <row r="1353" spans="1:2" x14ac:dyDescent="0.3">
      <c r="A1353">
        <v>48</v>
      </c>
      <c r="B1353">
        <v>52</v>
      </c>
    </row>
    <row r="1354" spans="1:2" x14ac:dyDescent="0.3">
      <c r="A1354">
        <v>44</v>
      </c>
      <c r="B1354">
        <v>52</v>
      </c>
    </row>
    <row r="1355" spans="1:2" x14ac:dyDescent="0.3">
      <c r="A1355">
        <v>34</v>
      </c>
      <c r="B1355">
        <v>52</v>
      </c>
    </row>
    <row r="1356" spans="1:2" x14ac:dyDescent="0.3">
      <c r="A1356">
        <v>56</v>
      </c>
      <c r="B1356">
        <v>52</v>
      </c>
    </row>
    <row r="1357" spans="1:2" x14ac:dyDescent="0.3">
      <c r="A1357">
        <v>36</v>
      </c>
      <c r="B1357">
        <v>52</v>
      </c>
    </row>
    <row r="1358" spans="1:2" x14ac:dyDescent="0.3">
      <c r="A1358">
        <v>41</v>
      </c>
      <c r="B1358">
        <v>52</v>
      </c>
    </row>
    <row r="1359" spans="1:2" x14ac:dyDescent="0.3">
      <c r="A1359">
        <v>42</v>
      </c>
      <c r="B1359">
        <v>52</v>
      </c>
    </row>
    <row r="1360" spans="1:2" x14ac:dyDescent="0.3">
      <c r="A1360">
        <v>31</v>
      </c>
      <c r="B1360">
        <v>52</v>
      </c>
    </row>
    <row r="1361" spans="1:2" x14ac:dyDescent="0.3">
      <c r="A1361">
        <v>34</v>
      </c>
      <c r="B1361">
        <v>52</v>
      </c>
    </row>
    <row r="1362" spans="1:2" x14ac:dyDescent="0.3">
      <c r="A1362">
        <v>31</v>
      </c>
      <c r="B1362">
        <v>52</v>
      </c>
    </row>
    <row r="1363" spans="1:2" x14ac:dyDescent="0.3">
      <c r="A1363">
        <v>26</v>
      </c>
      <c r="B1363">
        <v>52</v>
      </c>
    </row>
    <row r="1364" spans="1:2" x14ac:dyDescent="0.3">
      <c r="A1364">
        <v>45</v>
      </c>
      <c r="B1364">
        <v>52</v>
      </c>
    </row>
    <row r="1365" spans="1:2" x14ac:dyDescent="0.3">
      <c r="A1365">
        <v>33</v>
      </c>
      <c r="B1365">
        <v>52</v>
      </c>
    </row>
    <row r="1366" spans="1:2" x14ac:dyDescent="0.3">
      <c r="A1366">
        <v>28</v>
      </c>
      <c r="B1366">
        <v>53</v>
      </c>
    </row>
    <row r="1367" spans="1:2" x14ac:dyDescent="0.3">
      <c r="A1367">
        <v>29</v>
      </c>
      <c r="B1367">
        <v>53</v>
      </c>
    </row>
    <row r="1368" spans="1:2" x14ac:dyDescent="0.3">
      <c r="A1368">
        <v>39</v>
      </c>
      <c r="B1368">
        <v>53</v>
      </c>
    </row>
    <row r="1369" spans="1:2" x14ac:dyDescent="0.3">
      <c r="A1369">
        <v>27</v>
      </c>
      <c r="B1369">
        <v>53</v>
      </c>
    </row>
    <row r="1370" spans="1:2" x14ac:dyDescent="0.3">
      <c r="A1370">
        <v>34</v>
      </c>
      <c r="B1370">
        <v>53</v>
      </c>
    </row>
    <row r="1371" spans="1:2" x14ac:dyDescent="0.3">
      <c r="A1371">
        <v>28</v>
      </c>
      <c r="B1371">
        <v>53</v>
      </c>
    </row>
    <row r="1372" spans="1:2" x14ac:dyDescent="0.3">
      <c r="A1372">
        <v>47</v>
      </c>
      <c r="B1372">
        <v>53</v>
      </c>
    </row>
    <row r="1373" spans="1:2" x14ac:dyDescent="0.3">
      <c r="A1373">
        <v>56</v>
      </c>
      <c r="B1373">
        <v>53</v>
      </c>
    </row>
    <row r="1374" spans="1:2" x14ac:dyDescent="0.3">
      <c r="A1374">
        <v>39</v>
      </c>
      <c r="B1374">
        <v>53</v>
      </c>
    </row>
    <row r="1375" spans="1:2" x14ac:dyDescent="0.3">
      <c r="A1375">
        <v>38</v>
      </c>
      <c r="B1375">
        <v>53</v>
      </c>
    </row>
    <row r="1376" spans="1:2" x14ac:dyDescent="0.3">
      <c r="A1376">
        <v>58</v>
      </c>
      <c r="B1376">
        <v>53</v>
      </c>
    </row>
    <row r="1377" spans="1:2" x14ac:dyDescent="0.3">
      <c r="A1377">
        <v>32</v>
      </c>
      <c r="B1377">
        <v>53</v>
      </c>
    </row>
    <row r="1378" spans="1:2" x14ac:dyDescent="0.3">
      <c r="A1378">
        <v>38</v>
      </c>
      <c r="B1378">
        <v>53</v>
      </c>
    </row>
    <row r="1379" spans="1:2" x14ac:dyDescent="0.3">
      <c r="A1379">
        <v>49</v>
      </c>
      <c r="B1379">
        <v>53</v>
      </c>
    </row>
    <row r="1380" spans="1:2" x14ac:dyDescent="0.3">
      <c r="A1380">
        <v>42</v>
      </c>
      <c r="B1380">
        <v>53</v>
      </c>
    </row>
    <row r="1381" spans="1:2" x14ac:dyDescent="0.3">
      <c r="A1381">
        <v>27</v>
      </c>
      <c r="B1381">
        <v>53</v>
      </c>
    </row>
    <row r="1382" spans="1:2" x14ac:dyDescent="0.3">
      <c r="A1382">
        <v>35</v>
      </c>
      <c r="B1382">
        <v>53</v>
      </c>
    </row>
    <row r="1383" spans="1:2" x14ac:dyDescent="0.3">
      <c r="A1383">
        <v>28</v>
      </c>
      <c r="B1383">
        <v>53</v>
      </c>
    </row>
    <row r="1384" spans="1:2" x14ac:dyDescent="0.3">
      <c r="A1384">
        <v>31</v>
      </c>
      <c r="B1384">
        <v>53</v>
      </c>
    </row>
    <row r="1385" spans="1:2" x14ac:dyDescent="0.3">
      <c r="A1385">
        <v>36</v>
      </c>
      <c r="B1385">
        <v>54</v>
      </c>
    </row>
    <row r="1386" spans="1:2" x14ac:dyDescent="0.3">
      <c r="A1386">
        <v>34</v>
      </c>
      <c r="B1386">
        <v>54</v>
      </c>
    </row>
    <row r="1387" spans="1:2" x14ac:dyDescent="0.3">
      <c r="A1387">
        <v>34</v>
      </c>
      <c r="B1387">
        <v>54</v>
      </c>
    </row>
    <row r="1388" spans="1:2" x14ac:dyDescent="0.3">
      <c r="A1388">
        <v>26</v>
      </c>
      <c r="B1388">
        <v>54</v>
      </c>
    </row>
    <row r="1389" spans="1:2" x14ac:dyDescent="0.3">
      <c r="A1389">
        <v>29</v>
      </c>
      <c r="B1389">
        <v>54</v>
      </c>
    </row>
    <row r="1390" spans="1:2" x14ac:dyDescent="0.3">
      <c r="A1390">
        <v>32</v>
      </c>
      <c r="B1390">
        <v>54</v>
      </c>
    </row>
    <row r="1391" spans="1:2" x14ac:dyDescent="0.3">
      <c r="A1391">
        <v>31</v>
      </c>
      <c r="B1391">
        <v>54</v>
      </c>
    </row>
    <row r="1392" spans="1:2" x14ac:dyDescent="0.3">
      <c r="A1392">
        <v>28</v>
      </c>
      <c r="B1392">
        <v>54</v>
      </c>
    </row>
    <row r="1393" spans="1:2" x14ac:dyDescent="0.3">
      <c r="A1393">
        <v>38</v>
      </c>
      <c r="B1393">
        <v>54</v>
      </c>
    </row>
    <row r="1394" spans="1:2" x14ac:dyDescent="0.3">
      <c r="A1394">
        <v>35</v>
      </c>
      <c r="B1394">
        <v>54</v>
      </c>
    </row>
    <row r="1395" spans="1:2" x14ac:dyDescent="0.3">
      <c r="A1395">
        <v>27</v>
      </c>
      <c r="B1395">
        <v>54</v>
      </c>
    </row>
    <row r="1396" spans="1:2" x14ac:dyDescent="0.3">
      <c r="A1396">
        <v>32</v>
      </c>
      <c r="B1396">
        <v>54</v>
      </c>
    </row>
    <row r="1397" spans="1:2" x14ac:dyDescent="0.3">
      <c r="A1397">
        <v>31</v>
      </c>
      <c r="B1397">
        <v>54</v>
      </c>
    </row>
    <row r="1398" spans="1:2" x14ac:dyDescent="0.3">
      <c r="A1398">
        <v>53</v>
      </c>
      <c r="B1398">
        <v>54</v>
      </c>
    </row>
    <row r="1399" spans="1:2" x14ac:dyDescent="0.3">
      <c r="A1399">
        <v>54</v>
      </c>
      <c r="B1399">
        <v>54</v>
      </c>
    </row>
    <row r="1400" spans="1:2" x14ac:dyDescent="0.3">
      <c r="A1400">
        <v>33</v>
      </c>
      <c r="B1400">
        <v>54</v>
      </c>
    </row>
    <row r="1401" spans="1:2" x14ac:dyDescent="0.3">
      <c r="A1401">
        <v>43</v>
      </c>
      <c r="B1401">
        <v>54</v>
      </c>
    </row>
    <row r="1402" spans="1:2" x14ac:dyDescent="0.3">
      <c r="A1402">
        <v>38</v>
      </c>
      <c r="B1402">
        <v>54</v>
      </c>
    </row>
    <row r="1403" spans="1:2" x14ac:dyDescent="0.3">
      <c r="A1403">
        <v>55</v>
      </c>
      <c r="B1403">
        <v>55</v>
      </c>
    </row>
    <row r="1404" spans="1:2" x14ac:dyDescent="0.3">
      <c r="A1404">
        <v>31</v>
      </c>
      <c r="B1404">
        <v>55</v>
      </c>
    </row>
    <row r="1405" spans="1:2" x14ac:dyDescent="0.3">
      <c r="A1405">
        <v>39</v>
      </c>
      <c r="B1405">
        <v>55</v>
      </c>
    </row>
    <row r="1406" spans="1:2" x14ac:dyDescent="0.3">
      <c r="A1406">
        <v>42</v>
      </c>
      <c r="B1406">
        <v>55</v>
      </c>
    </row>
    <row r="1407" spans="1:2" x14ac:dyDescent="0.3">
      <c r="A1407">
        <v>31</v>
      </c>
      <c r="B1407">
        <v>55</v>
      </c>
    </row>
    <row r="1408" spans="1:2" x14ac:dyDescent="0.3">
      <c r="A1408">
        <v>54</v>
      </c>
      <c r="B1408">
        <v>55</v>
      </c>
    </row>
    <row r="1409" spans="1:2" x14ac:dyDescent="0.3">
      <c r="A1409">
        <v>24</v>
      </c>
      <c r="B1409">
        <v>55</v>
      </c>
    </row>
    <row r="1410" spans="1:2" x14ac:dyDescent="0.3">
      <c r="A1410">
        <v>23</v>
      </c>
      <c r="B1410">
        <v>55</v>
      </c>
    </row>
    <row r="1411" spans="1:2" x14ac:dyDescent="0.3">
      <c r="A1411">
        <v>40</v>
      </c>
      <c r="B1411">
        <v>55</v>
      </c>
    </row>
    <row r="1412" spans="1:2" x14ac:dyDescent="0.3">
      <c r="A1412">
        <v>40</v>
      </c>
      <c r="B1412">
        <v>55</v>
      </c>
    </row>
    <row r="1413" spans="1:2" x14ac:dyDescent="0.3">
      <c r="A1413">
        <v>25</v>
      </c>
      <c r="B1413">
        <v>55</v>
      </c>
    </row>
    <row r="1414" spans="1:2" x14ac:dyDescent="0.3">
      <c r="A1414">
        <v>30</v>
      </c>
      <c r="B1414">
        <v>55</v>
      </c>
    </row>
    <row r="1415" spans="1:2" x14ac:dyDescent="0.3">
      <c r="A1415">
        <v>25</v>
      </c>
      <c r="B1415">
        <v>55</v>
      </c>
    </row>
    <row r="1416" spans="1:2" x14ac:dyDescent="0.3">
      <c r="A1416">
        <v>47</v>
      </c>
      <c r="B1416">
        <v>55</v>
      </c>
    </row>
    <row r="1417" spans="1:2" x14ac:dyDescent="0.3">
      <c r="A1417">
        <v>33</v>
      </c>
      <c r="B1417">
        <v>55</v>
      </c>
    </row>
    <row r="1418" spans="1:2" x14ac:dyDescent="0.3">
      <c r="A1418">
        <v>38</v>
      </c>
      <c r="B1418">
        <v>55</v>
      </c>
    </row>
    <row r="1419" spans="1:2" x14ac:dyDescent="0.3">
      <c r="A1419">
        <v>31</v>
      </c>
      <c r="B1419">
        <v>55</v>
      </c>
    </row>
    <row r="1420" spans="1:2" x14ac:dyDescent="0.3">
      <c r="A1420">
        <v>38</v>
      </c>
      <c r="B1420">
        <v>55</v>
      </c>
    </row>
    <row r="1421" spans="1:2" x14ac:dyDescent="0.3">
      <c r="A1421">
        <v>42</v>
      </c>
      <c r="B1421">
        <v>55</v>
      </c>
    </row>
    <row r="1422" spans="1:2" x14ac:dyDescent="0.3">
      <c r="A1422">
        <v>41</v>
      </c>
      <c r="B1422">
        <v>55</v>
      </c>
    </row>
    <row r="1423" spans="1:2" x14ac:dyDescent="0.3">
      <c r="A1423">
        <v>47</v>
      </c>
      <c r="B1423">
        <v>55</v>
      </c>
    </row>
    <row r="1424" spans="1:2" x14ac:dyDescent="0.3">
      <c r="A1424">
        <v>35</v>
      </c>
      <c r="B1424">
        <v>55</v>
      </c>
    </row>
    <row r="1425" spans="1:2" x14ac:dyDescent="0.3">
      <c r="A1425">
        <v>22</v>
      </c>
      <c r="B1425">
        <v>56</v>
      </c>
    </row>
    <row r="1426" spans="1:2" x14ac:dyDescent="0.3">
      <c r="A1426">
        <v>35</v>
      </c>
      <c r="B1426">
        <v>56</v>
      </c>
    </row>
    <row r="1427" spans="1:2" x14ac:dyDescent="0.3">
      <c r="A1427">
        <v>33</v>
      </c>
      <c r="B1427">
        <v>56</v>
      </c>
    </row>
    <row r="1428" spans="1:2" x14ac:dyDescent="0.3">
      <c r="A1428">
        <v>32</v>
      </c>
      <c r="B1428">
        <v>56</v>
      </c>
    </row>
    <row r="1429" spans="1:2" x14ac:dyDescent="0.3">
      <c r="A1429">
        <v>40</v>
      </c>
      <c r="B1429">
        <v>56</v>
      </c>
    </row>
    <row r="1430" spans="1:2" x14ac:dyDescent="0.3">
      <c r="A1430">
        <v>32</v>
      </c>
      <c r="B1430">
        <v>56</v>
      </c>
    </row>
    <row r="1431" spans="1:2" x14ac:dyDescent="0.3">
      <c r="A1431">
        <v>39</v>
      </c>
      <c r="B1431">
        <v>56</v>
      </c>
    </row>
    <row r="1432" spans="1:2" x14ac:dyDescent="0.3">
      <c r="A1432">
        <v>38</v>
      </c>
      <c r="B1432">
        <v>56</v>
      </c>
    </row>
    <row r="1433" spans="1:2" x14ac:dyDescent="0.3">
      <c r="A1433">
        <v>32</v>
      </c>
      <c r="B1433">
        <v>56</v>
      </c>
    </row>
    <row r="1434" spans="1:2" x14ac:dyDescent="0.3">
      <c r="A1434">
        <v>37</v>
      </c>
      <c r="B1434">
        <v>56</v>
      </c>
    </row>
    <row r="1435" spans="1:2" x14ac:dyDescent="0.3">
      <c r="A1435">
        <v>25</v>
      </c>
      <c r="B1435">
        <v>56</v>
      </c>
    </row>
    <row r="1436" spans="1:2" x14ac:dyDescent="0.3">
      <c r="A1436">
        <v>52</v>
      </c>
      <c r="B1436">
        <v>56</v>
      </c>
    </row>
    <row r="1437" spans="1:2" x14ac:dyDescent="0.3">
      <c r="A1437">
        <v>44</v>
      </c>
      <c r="B1437">
        <v>56</v>
      </c>
    </row>
    <row r="1438" spans="1:2" x14ac:dyDescent="0.3">
      <c r="A1438">
        <v>21</v>
      </c>
      <c r="B1438">
        <v>56</v>
      </c>
    </row>
    <row r="1439" spans="1:2" x14ac:dyDescent="0.3">
      <c r="A1439">
        <v>39</v>
      </c>
      <c r="B1439">
        <v>57</v>
      </c>
    </row>
    <row r="1440" spans="1:2" x14ac:dyDescent="0.3">
      <c r="A1440">
        <v>23</v>
      </c>
      <c r="B1440">
        <v>57</v>
      </c>
    </row>
    <row r="1441" spans="1:2" x14ac:dyDescent="0.3">
      <c r="A1441">
        <v>36</v>
      </c>
      <c r="B1441">
        <v>57</v>
      </c>
    </row>
    <row r="1442" spans="1:2" x14ac:dyDescent="0.3">
      <c r="A1442">
        <v>36</v>
      </c>
      <c r="B1442">
        <v>57</v>
      </c>
    </row>
    <row r="1443" spans="1:2" x14ac:dyDescent="0.3">
      <c r="A1443">
        <v>56</v>
      </c>
      <c r="B1443">
        <v>58</v>
      </c>
    </row>
    <row r="1444" spans="1:2" x14ac:dyDescent="0.3">
      <c r="A1444">
        <v>29</v>
      </c>
      <c r="B1444">
        <v>58</v>
      </c>
    </row>
    <row r="1445" spans="1:2" x14ac:dyDescent="0.3">
      <c r="A1445">
        <v>42</v>
      </c>
      <c r="B1445">
        <v>58</v>
      </c>
    </row>
    <row r="1446" spans="1:2" x14ac:dyDescent="0.3">
      <c r="A1446">
        <v>56</v>
      </c>
      <c r="B1446">
        <v>58</v>
      </c>
    </row>
    <row r="1447" spans="1:2" x14ac:dyDescent="0.3">
      <c r="A1447">
        <v>41</v>
      </c>
      <c r="B1447">
        <v>58</v>
      </c>
    </row>
    <row r="1448" spans="1:2" x14ac:dyDescent="0.3">
      <c r="A1448">
        <v>34</v>
      </c>
      <c r="B1448">
        <v>58</v>
      </c>
    </row>
    <row r="1449" spans="1:2" x14ac:dyDescent="0.3">
      <c r="A1449">
        <v>36</v>
      </c>
      <c r="B1449">
        <v>58</v>
      </c>
    </row>
    <row r="1450" spans="1:2" x14ac:dyDescent="0.3">
      <c r="A1450">
        <v>41</v>
      </c>
      <c r="B1450">
        <v>58</v>
      </c>
    </row>
    <row r="1451" spans="1:2" x14ac:dyDescent="0.3">
      <c r="A1451">
        <v>32</v>
      </c>
      <c r="B1451">
        <v>58</v>
      </c>
    </row>
    <row r="1452" spans="1:2" x14ac:dyDescent="0.3">
      <c r="A1452">
        <v>35</v>
      </c>
      <c r="B1452">
        <v>58</v>
      </c>
    </row>
    <row r="1453" spans="1:2" x14ac:dyDescent="0.3">
      <c r="A1453">
        <v>38</v>
      </c>
      <c r="B1453">
        <v>58</v>
      </c>
    </row>
    <row r="1454" spans="1:2" x14ac:dyDescent="0.3">
      <c r="A1454">
        <v>50</v>
      </c>
      <c r="B1454">
        <v>58</v>
      </c>
    </row>
    <row r="1455" spans="1:2" x14ac:dyDescent="0.3">
      <c r="A1455">
        <v>36</v>
      </c>
      <c r="B1455">
        <v>58</v>
      </c>
    </row>
    <row r="1456" spans="1:2" x14ac:dyDescent="0.3">
      <c r="A1456">
        <v>45</v>
      </c>
      <c r="B1456">
        <v>58</v>
      </c>
    </row>
    <row r="1457" spans="1:2" x14ac:dyDescent="0.3">
      <c r="A1457">
        <v>40</v>
      </c>
      <c r="B1457">
        <v>59</v>
      </c>
    </row>
    <row r="1458" spans="1:2" x14ac:dyDescent="0.3">
      <c r="A1458">
        <v>35</v>
      </c>
      <c r="B1458">
        <v>59</v>
      </c>
    </row>
    <row r="1459" spans="1:2" x14ac:dyDescent="0.3">
      <c r="A1459">
        <v>40</v>
      </c>
      <c r="B1459">
        <v>59</v>
      </c>
    </row>
    <row r="1460" spans="1:2" x14ac:dyDescent="0.3">
      <c r="A1460">
        <v>35</v>
      </c>
      <c r="B1460">
        <v>59</v>
      </c>
    </row>
    <row r="1461" spans="1:2" x14ac:dyDescent="0.3">
      <c r="A1461">
        <v>29</v>
      </c>
      <c r="B1461">
        <v>59</v>
      </c>
    </row>
    <row r="1462" spans="1:2" x14ac:dyDescent="0.3">
      <c r="A1462">
        <v>29</v>
      </c>
      <c r="B1462">
        <v>59</v>
      </c>
    </row>
    <row r="1463" spans="1:2" x14ac:dyDescent="0.3">
      <c r="A1463">
        <v>50</v>
      </c>
      <c r="B1463">
        <v>59</v>
      </c>
    </row>
    <row r="1464" spans="1:2" x14ac:dyDescent="0.3">
      <c r="A1464">
        <v>39</v>
      </c>
      <c r="B1464">
        <v>59</v>
      </c>
    </row>
    <row r="1465" spans="1:2" x14ac:dyDescent="0.3">
      <c r="A1465">
        <v>31</v>
      </c>
      <c r="B1465">
        <v>59</v>
      </c>
    </row>
    <row r="1466" spans="1:2" x14ac:dyDescent="0.3">
      <c r="A1466">
        <v>26</v>
      </c>
      <c r="B1466">
        <v>59</v>
      </c>
    </row>
    <row r="1467" spans="1:2" x14ac:dyDescent="0.3">
      <c r="A1467">
        <v>36</v>
      </c>
      <c r="B1467">
        <v>60</v>
      </c>
    </row>
    <row r="1468" spans="1:2" x14ac:dyDescent="0.3">
      <c r="A1468">
        <v>39</v>
      </c>
      <c r="B1468">
        <v>60</v>
      </c>
    </row>
    <row r="1469" spans="1:2" x14ac:dyDescent="0.3">
      <c r="A1469">
        <v>27</v>
      </c>
      <c r="B1469">
        <v>60</v>
      </c>
    </row>
    <row r="1470" spans="1:2" x14ac:dyDescent="0.3">
      <c r="A1470">
        <v>49</v>
      </c>
      <c r="B1470">
        <v>60</v>
      </c>
    </row>
    <row r="1471" spans="1:2" x14ac:dyDescent="0.3">
      <c r="A1471">
        <v>34</v>
      </c>
      <c r="B1471">
        <v>60</v>
      </c>
    </row>
  </sheetData>
  <autoFilter ref="A1:A1471" xr:uid="{00000000-0009-0000-0000-00001B000000}"/>
  <sortState xmlns:xlrd2="http://schemas.microsoft.com/office/spreadsheetml/2017/richdata2" ref="B2:B1471">
    <sortCondition ref="B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election activeCell="H15" sqref="H15"/>
    </sheetView>
  </sheetViews>
  <sheetFormatPr defaultColWidth="8.88671875" defaultRowHeight="19.8" x14ac:dyDescent="0.4"/>
  <cols>
    <col min="1" max="1" width="12" style="1" customWidth="1"/>
    <col min="2" max="2" width="21.88671875" style="1" bestFit="1" customWidth="1"/>
    <col min="3" max="3" width="20.6640625" style="1" bestFit="1" customWidth="1"/>
    <col min="4" max="4" width="24.33203125" style="1" bestFit="1" customWidth="1"/>
    <col min="5" max="5" width="27.33203125" style="1" customWidth="1"/>
    <col min="6" max="16384" width="8.88671875" style="1"/>
  </cols>
  <sheetData>
    <row r="1" spans="1:5" x14ac:dyDescent="0.4">
      <c r="A1" s="202" t="s">
        <v>1</v>
      </c>
      <c r="B1" s="203"/>
    </row>
    <row r="3" spans="1:5" ht="39.6" x14ac:dyDescent="0.4">
      <c r="A3" s="28" t="s">
        <v>42</v>
      </c>
      <c r="B3" s="28" t="s">
        <v>43</v>
      </c>
      <c r="C3" s="28" t="s">
        <v>51</v>
      </c>
      <c r="D3" s="28" t="s">
        <v>52</v>
      </c>
      <c r="E3" s="28" t="s">
        <v>150</v>
      </c>
    </row>
    <row r="4" spans="1:5" x14ac:dyDescent="0.4">
      <c r="A4" s="29" t="s">
        <v>44</v>
      </c>
      <c r="B4" s="29">
        <v>5</v>
      </c>
      <c r="C4" s="50">
        <f t="shared" ref="C4:C9" si="0">B4/$B$10</f>
        <v>0.125</v>
      </c>
      <c r="D4" s="30">
        <v>5</v>
      </c>
      <c r="E4" s="51">
        <f>C4</f>
        <v>0.125</v>
      </c>
    </row>
    <row r="5" spans="1:5" x14ac:dyDescent="0.4">
      <c r="A5" s="29" t="s">
        <v>45</v>
      </c>
      <c r="B5" s="29">
        <v>8</v>
      </c>
      <c r="C5" s="50">
        <f t="shared" si="0"/>
        <v>0.2</v>
      </c>
      <c r="D5" s="30">
        <f t="shared" ref="D5:E9" si="1">D4+B5</f>
        <v>13</v>
      </c>
      <c r="E5" s="51">
        <f t="shared" si="1"/>
        <v>0.32500000000000001</v>
      </c>
    </row>
    <row r="6" spans="1:5" x14ac:dyDescent="0.4">
      <c r="A6" s="29" t="s">
        <v>46</v>
      </c>
      <c r="B6" s="29">
        <v>9</v>
      </c>
      <c r="C6" s="50">
        <f t="shared" si="0"/>
        <v>0.22500000000000001</v>
      </c>
      <c r="D6" s="30">
        <f t="shared" si="1"/>
        <v>22</v>
      </c>
      <c r="E6" s="51">
        <f t="shared" si="1"/>
        <v>0.55000000000000004</v>
      </c>
    </row>
    <row r="7" spans="1:5" x14ac:dyDescent="0.4">
      <c r="A7" s="29" t="s">
        <v>47</v>
      </c>
      <c r="B7" s="29">
        <v>10</v>
      </c>
      <c r="C7" s="50">
        <f t="shared" si="0"/>
        <v>0.25</v>
      </c>
      <c r="D7" s="30">
        <f t="shared" si="1"/>
        <v>32</v>
      </c>
      <c r="E7" s="51">
        <f t="shared" si="1"/>
        <v>0.8</v>
      </c>
    </row>
    <row r="8" spans="1:5" x14ac:dyDescent="0.4">
      <c r="A8" s="29" t="s">
        <v>48</v>
      </c>
      <c r="B8" s="29">
        <v>6</v>
      </c>
      <c r="C8" s="50">
        <f t="shared" si="0"/>
        <v>0.15</v>
      </c>
      <c r="D8" s="30">
        <f t="shared" si="1"/>
        <v>38</v>
      </c>
      <c r="E8" s="51">
        <f t="shared" si="1"/>
        <v>0.95000000000000007</v>
      </c>
    </row>
    <row r="9" spans="1:5" x14ac:dyDescent="0.4">
      <c r="A9" s="29" t="s">
        <v>49</v>
      </c>
      <c r="B9" s="29">
        <v>2</v>
      </c>
      <c r="C9" s="50">
        <f t="shared" si="0"/>
        <v>0.05</v>
      </c>
      <c r="D9" s="30">
        <f t="shared" si="1"/>
        <v>40</v>
      </c>
      <c r="E9" s="51">
        <f t="shared" si="1"/>
        <v>1</v>
      </c>
    </row>
    <row r="10" spans="1:5" x14ac:dyDescent="0.4">
      <c r="A10" s="29" t="s">
        <v>50</v>
      </c>
      <c r="B10" s="29">
        <v>40</v>
      </c>
      <c r="C10" s="30">
        <f>SUM(C4:C9)</f>
        <v>1</v>
      </c>
      <c r="D10" s="30"/>
      <c r="E10" s="52"/>
    </row>
    <row r="13" spans="1:5" x14ac:dyDescent="0.4">
      <c r="D13" s="1" t="s">
        <v>203</v>
      </c>
      <c r="E13" s="1">
        <f>KURT(B4:B9)</f>
        <v>-0.30000000000000249</v>
      </c>
    </row>
    <row r="28" spans="3:4" x14ac:dyDescent="0.4">
      <c r="C28" s="1" t="s">
        <v>1051</v>
      </c>
      <c r="D28" s="1" t="s">
        <v>1052</v>
      </c>
    </row>
    <row r="29" spans="3:4" x14ac:dyDescent="0.4">
      <c r="C29" s="1" t="s">
        <v>1053</v>
      </c>
      <c r="D29" s="1" t="s">
        <v>1054</v>
      </c>
    </row>
    <row r="30" spans="3:4" x14ac:dyDescent="0.4">
      <c r="C30" s="1" t="s">
        <v>1055</v>
      </c>
      <c r="D30" s="1" t="s">
        <v>1056</v>
      </c>
    </row>
  </sheetData>
  <mergeCells count="1">
    <mergeCell ref="A1:B1"/>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7"/>
  <sheetViews>
    <sheetView topLeftCell="A120" workbookViewId="0">
      <selection activeCell="I116" sqref="I116:I126"/>
    </sheetView>
  </sheetViews>
  <sheetFormatPr defaultColWidth="8.88671875" defaultRowHeight="19.8" x14ac:dyDescent="0.4"/>
  <cols>
    <col min="1" max="1" width="9.6640625" style="1" bestFit="1" customWidth="1"/>
    <col min="2" max="2" width="8.88671875" style="1"/>
    <col min="3" max="3" width="16.5546875" style="1" bestFit="1" customWidth="1"/>
    <col min="4" max="4" width="8.88671875" style="1"/>
    <col min="5" max="5" width="14" style="1" customWidth="1"/>
    <col min="6" max="8" width="8.88671875" style="1"/>
    <col min="9" max="9" width="16.44140625" style="1" customWidth="1"/>
    <col min="10" max="11" width="15.33203125" style="1" customWidth="1"/>
    <col min="12" max="12" width="17.109375" style="1" customWidth="1"/>
    <col min="13" max="16384" width="8.88671875" style="1"/>
  </cols>
  <sheetData>
    <row r="1" spans="1:14" x14ac:dyDescent="0.4">
      <c r="A1" s="204" t="s">
        <v>56</v>
      </c>
      <c r="B1" s="204"/>
      <c r="C1" s="204"/>
      <c r="J1" s="43" t="s">
        <v>28</v>
      </c>
      <c r="K1" s="43" t="s">
        <v>30</v>
      </c>
      <c r="L1" s="43" t="s">
        <v>137</v>
      </c>
    </row>
    <row r="2" spans="1:14" x14ac:dyDescent="0.4">
      <c r="J2" s="38">
        <v>0</v>
      </c>
      <c r="K2" s="39">
        <v>0</v>
      </c>
      <c r="L2" s="40">
        <v>0</v>
      </c>
    </row>
    <row r="3" spans="1:14" x14ac:dyDescent="0.4">
      <c r="A3" s="4" t="s">
        <v>3</v>
      </c>
      <c r="C3" s="18" t="s">
        <v>4</v>
      </c>
      <c r="J3" s="38">
        <v>10</v>
      </c>
      <c r="K3" s="39">
        <v>0</v>
      </c>
      <c r="L3" s="40">
        <v>0</v>
      </c>
      <c r="N3" s="1">
        <v>0</v>
      </c>
    </row>
    <row r="4" spans="1:14" x14ac:dyDescent="0.4">
      <c r="A4" s="5">
        <v>12</v>
      </c>
      <c r="C4" s="18" t="s">
        <v>2</v>
      </c>
      <c r="E4" s="1">
        <v>10</v>
      </c>
      <c r="J4" s="38">
        <v>20</v>
      </c>
      <c r="K4" s="39">
        <v>3</v>
      </c>
      <c r="L4" s="40">
        <v>0.15</v>
      </c>
      <c r="N4" s="1">
        <v>10</v>
      </c>
    </row>
    <row r="5" spans="1:14" x14ac:dyDescent="0.4">
      <c r="A5" s="4">
        <v>13</v>
      </c>
      <c r="E5" s="1">
        <v>30</v>
      </c>
      <c r="J5" s="38">
        <v>30</v>
      </c>
      <c r="K5" s="39">
        <v>7</v>
      </c>
      <c r="L5" s="40">
        <v>0.5</v>
      </c>
      <c r="N5" s="1">
        <v>20</v>
      </c>
    </row>
    <row r="6" spans="1:14" x14ac:dyDescent="0.4">
      <c r="A6" s="4">
        <v>17</v>
      </c>
      <c r="E6" s="1">
        <v>50</v>
      </c>
      <c r="J6" s="38">
        <v>40</v>
      </c>
      <c r="K6" s="39">
        <v>4</v>
      </c>
      <c r="L6" s="40">
        <v>0.7</v>
      </c>
      <c r="N6" s="1">
        <v>30</v>
      </c>
    </row>
    <row r="7" spans="1:14" x14ac:dyDescent="0.4">
      <c r="A7" s="4">
        <v>21</v>
      </c>
      <c r="E7" s="1">
        <v>70</v>
      </c>
      <c r="J7" s="38">
        <v>50</v>
      </c>
      <c r="K7" s="39">
        <v>4</v>
      </c>
      <c r="L7" s="40">
        <v>0.9</v>
      </c>
      <c r="N7" s="1">
        <v>40</v>
      </c>
    </row>
    <row r="8" spans="1:14" x14ac:dyDescent="0.4">
      <c r="A8" s="4">
        <v>24</v>
      </c>
      <c r="J8" s="38">
        <v>60</v>
      </c>
      <c r="K8" s="39">
        <v>2</v>
      </c>
      <c r="L8" s="40">
        <v>1</v>
      </c>
      <c r="N8" s="1">
        <v>50</v>
      </c>
    </row>
    <row r="9" spans="1:14" ht="20.399999999999999" thickBot="1" x14ac:dyDescent="0.45">
      <c r="A9" s="4">
        <v>24</v>
      </c>
      <c r="D9" s="1">
        <v>0</v>
      </c>
      <c r="J9" s="41" t="s">
        <v>29</v>
      </c>
      <c r="K9" s="41">
        <v>0</v>
      </c>
      <c r="L9" s="42">
        <v>1</v>
      </c>
      <c r="N9" s="1">
        <v>60</v>
      </c>
    </row>
    <row r="10" spans="1:14" ht="20.399999999999999" thickBot="1" x14ac:dyDescent="0.45">
      <c r="A10" s="4">
        <v>26</v>
      </c>
      <c r="D10" s="1">
        <v>10</v>
      </c>
    </row>
    <row r="11" spans="1:14" x14ac:dyDescent="0.4">
      <c r="A11" s="4">
        <v>27</v>
      </c>
      <c r="D11" s="1">
        <v>20</v>
      </c>
      <c r="G11" s="43" t="s">
        <v>28</v>
      </c>
      <c r="H11" s="43" t="s">
        <v>30</v>
      </c>
      <c r="I11" s="43" t="s">
        <v>137</v>
      </c>
      <c r="K11" s="43" t="s">
        <v>28</v>
      </c>
      <c r="L11" s="43" t="s">
        <v>30</v>
      </c>
    </row>
    <row r="12" spans="1:14" x14ac:dyDescent="0.4">
      <c r="A12" s="4">
        <v>27</v>
      </c>
      <c r="D12" s="1">
        <v>30</v>
      </c>
      <c r="G12" s="38">
        <v>10</v>
      </c>
      <c r="H12" s="39">
        <v>0</v>
      </c>
      <c r="I12" s="40">
        <v>0</v>
      </c>
      <c r="K12" s="38">
        <v>10</v>
      </c>
      <c r="L12" s="39">
        <v>0</v>
      </c>
    </row>
    <row r="13" spans="1:14" x14ac:dyDescent="0.4">
      <c r="A13" s="4">
        <v>30</v>
      </c>
      <c r="D13" s="1">
        <v>40</v>
      </c>
      <c r="G13" s="38">
        <v>30</v>
      </c>
      <c r="H13" s="39">
        <v>10</v>
      </c>
      <c r="I13" s="40">
        <v>0.5</v>
      </c>
      <c r="K13" s="38">
        <v>30</v>
      </c>
      <c r="L13" s="39">
        <v>10</v>
      </c>
    </row>
    <row r="14" spans="1:14" x14ac:dyDescent="0.4">
      <c r="A14" s="4">
        <v>32</v>
      </c>
      <c r="D14" s="1">
        <v>50</v>
      </c>
      <c r="G14" s="38">
        <v>50</v>
      </c>
      <c r="H14" s="39">
        <v>8</v>
      </c>
      <c r="I14" s="40">
        <v>0.9</v>
      </c>
      <c r="K14" s="38">
        <v>50</v>
      </c>
      <c r="L14" s="39">
        <v>8</v>
      </c>
    </row>
    <row r="15" spans="1:14" x14ac:dyDescent="0.4">
      <c r="A15" s="4">
        <v>35</v>
      </c>
      <c r="D15" s="1">
        <v>60</v>
      </c>
      <c r="G15" s="38">
        <v>70</v>
      </c>
      <c r="H15" s="39">
        <v>2</v>
      </c>
      <c r="I15" s="40">
        <v>1</v>
      </c>
      <c r="K15" s="38">
        <v>70</v>
      </c>
      <c r="L15" s="39">
        <v>2</v>
      </c>
    </row>
    <row r="16" spans="1:14" ht="20.399999999999999" thickBot="1" x14ac:dyDescent="0.45">
      <c r="A16" s="4">
        <v>37</v>
      </c>
      <c r="D16" s="1">
        <v>70</v>
      </c>
      <c r="G16" s="41" t="s">
        <v>29</v>
      </c>
      <c r="H16" s="41">
        <v>0</v>
      </c>
      <c r="I16" s="42">
        <v>1</v>
      </c>
      <c r="K16" s="41" t="s">
        <v>29</v>
      </c>
      <c r="L16" s="41">
        <v>0</v>
      </c>
    </row>
    <row r="17" spans="1:5" x14ac:dyDescent="0.4">
      <c r="A17" s="4">
        <v>38</v>
      </c>
      <c r="D17" s="1">
        <v>80</v>
      </c>
    </row>
    <row r="18" spans="1:5" ht="20.399999999999999" thickBot="1" x14ac:dyDescent="0.45">
      <c r="A18" s="4">
        <v>41</v>
      </c>
    </row>
    <row r="19" spans="1:5" x14ac:dyDescent="0.4">
      <c r="A19" s="4">
        <v>43</v>
      </c>
      <c r="D19" s="43" t="s">
        <v>28</v>
      </c>
      <c r="E19" s="43" t="s">
        <v>30</v>
      </c>
    </row>
    <row r="20" spans="1:5" x14ac:dyDescent="0.4">
      <c r="A20" s="4">
        <v>44</v>
      </c>
      <c r="D20" s="38">
        <v>0</v>
      </c>
      <c r="E20" s="39">
        <v>0</v>
      </c>
    </row>
    <row r="21" spans="1:5" x14ac:dyDescent="0.4">
      <c r="A21" s="4">
        <v>46</v>
      </c>
      <c r="D21" s="38">
        <v>10</v>
      </c>
      <c r="E21" s="39">
        <v>0</v>
      </c>
    </row>
    <row r="22" spans="1:5" x14ac:dyDescent="0.4">
      <c r="A22" s="4">
        <v>53</v>
      </c>
      <c r="D22" s="38">
        <v>20</v>
      </c>
      <c r="E22" s="39">
        <v>3</v>
      </c>
    </row>
    <row r="23" spans="1:5" x14ac:dyDescent="0.4">
      <c r="A23" s="4">
        <v>58</v>
      </c>
      <c r="D23" s="38">
        <v>30</v>
      </c>
      <c r="E23" s="39">
        <v>7</v>
      </c>
    </row>
    <row r="24" spans="1:5" x14ac:dyDescent="0.4">
      <c r="D24" s="38">
        <v>40</v>
      </c>
      <c r="E24" s="39">
        <v>4</v>
      </c>
    </row>
    <row r="25" spans="1:5" x14ac:dyDescent="0.4">
      <c r="D25" s="38">
        <v>50</v>
      </c>
      <c r="E25" s="39">
        <v>4</v>
      </c>
    </row>
    <row r="26" spans="1:5" x14ac:dyDescent="0.4">
      <c r="D26" s="38">
        <v>60</v>
      </c>
      <c r="E26" s="39">
        <v>2</v>
      </c>
    </row>
    <row r="27" spans="1:5" x14ac:dyDescent="0.4">
      <c r="D27" s="38">
        <v>70</v>
      </c>
      <c r="E27" s="39">
        <v>0</v>
      </c>
    </row>
    <row r="28" spans="1:5" x14ac:dyDescent="0.4">
      <c r="D28" s="38">
        <v>80</v>
      </c>
      <c r="E28" s="39">
        <v>0</v>
      </c>
    </row>
    <row r="29" spans="1:5" ht="20.399999999999999" thickBot="1" x14ac:dyDescent="0.45">
      <c r="D29" s="41" t="s">
        <v>29</v>
      </c>
      <c r="E29" s="41">
        <v>0</v>
      </c>
    </row>
    <row r="30" spans="1:5" ht="20.399999999999999" thickBot="1" x14ac:dyDescent="0.45"/>
    <row r="31" spans="1:5" x14ac:dyDescent="0.4">
      <c r="D31" s="56" t="s">
        <v>173</v>
      </c>
      <c r="E31" s="56"/>
    </row>
    <row r="32" spans="1:5" x14ac:dyDescent="0.4">
      <c r="D32" s="39"/>
      <c r="E32" s="39"/>
    </row>
    <row r="33" spans="4:17" x14ac:dyDescent="0.4">
      <c r="D33" s="39" t="s">
        <v>53</v>
      </c>
      <c r="E33" s="39">
        <v>32.4</v>
      </c>
    </row>
    <row r="34" spans="4:17" x14ac:dyDescent="0.4">
      <c r="D34" s="39" t="s">
        <v>174</v>
      </c>
      <c r="E34" s="39">
        <v>2.833446850151168</v>
      </c>
    </row>
    <row r="35" spans="4:17" x14ac:dyDescent="0.4">
      <c r="D35" s="39" t="s">
        <v>33</v>
      </c>
      <c r="E35" s="39">
        <v>31</v>
      </c>
    </row>
    <row r="36" spans="4:17" x14ac:dyDescent="0.4">
      <c r="D36" s="39" t="s">
        <v>54</v>
      </c>
      <c r="E36" s="39">
        <v>24</v>
      </c>
    </row>
    <row r="37" spans="4:17" x14ac:dyDescent="0.4">
      <c r="D37" s="39" t="s">
        <v>128</v>
      </c>
      <c r="E37" s="39">
        <v>12.671559535141345</v>
      </c>
    </row>
    <row r="38" spans="4:17" x14ac:dyDescent="0.4">
      <c r="D38" s="39" t="s">
        <v>175</v>
      </c>
      <c r="E38" s="39">
        <v>160.56842105263155</v>
      </c>
    </row>
    <row r="39" spans="4:17" x14ac:dyDescent="0.4">
      <c r="D39" s="39" t="s">
        <v>154</v>
      </c>
      <c r="E39" s="39">
        <v>-0.50529233560612186</v>
      </c>
    </row>
    <row r="40" spans="4:17" x14ac:dyDescent="0.4">
      <c r="D40" s="39" t="s">
        <v>130</v>
      </c>
      <c r="E40" s="39">
        <v>0.25901403743643536</v>
      </c>
    </row>
    <row r="41" spans="4:17" x14ac:dyDescent="0.4">
      <c r="D41" s="39" t="s">
        <v>151</v>
      </c>
      <c r="E41" s="39">
        <v>46</v>
      </c>
    </row>
    <row r="42" spans="4:17" x14ac:dyDescent="0.4">
      <c r="D42" s="39" t="s">
        <v>146</v>
      </c>
      <c r="E42" s="39">
        <v>12</v>
      </c>
    </row>
    <row r="43" spans="4:17" x14ac:dyDescent="0.4">
      <c r="D43" s="39" t="s">
        <v>147</v>
      </c>
      <c r="E43" s="39">
        <v>58</v>
      </c>
    </row>
    <row r="44" spans="4:17" x14ac:dyDescent="0.4">
      <c r="D44" s="39" t="s">
        <v>61</v>
      </c>
      <c r="E44" s="39">
        <v>648</v>
      </c>
    </row>
    <row r="45" spans="4:17" ht="20.399999999999999" thickBot="1" x14ac:dyDescent="0.45">
      <c r="D45" s="41" t="s">
        <v>155</v>
      </c>
      <c r="E45" s="41">
        <v>20</v>
      </c>
    </row>
    <row r="47" spans="4:17" ht="59.4" x14ac:dyDescent="0.4">
      <c r="I47" s="58" t="s">
        <v>177</v>
      </c>
      <c r="J47" s="58" t="s">
        <v>30</v>
      </c>
      <c r="K47" s="58" t="s">
        <v>51</v>
      </c>
      <c r="L47" s="58" t="s">
        <v>150</v>
      </c>
      <c r="M47" s="58"/>
      <c r="N47" s="58"/>
      <c r="O47" s="58"/>
    </row>
    <row r="48" spans="4:17" x14ac:dyDescent="0.4">
      <c r="I48" s="57" t="s">
        <v>45</v>
      </c>
      <c r="J48" s="60" t="s">
        <v>178</v>
      </c>
      <c r="K48" s="59">
        <f t="shared" ref="K48:K53" si="0">(J48/$J$54)*1</f>
        <v>0.125</v>
      </c>
      <c r="L48" s="59">
        <f>K48</f>
        <v>0.125</v>
      </c>
      <c r="M48" s="57"/>
      <c r="N48" s="57"/>
      <c r="O48" s="57"/>
      <c r="P48" s="57"/>
      <c r="Q48" s="57"/>
    </row>
    <row r="49" spans="9:17" x14ac:dyDescent="0.4">
      <c r="I49" s="57" t="s">
        <v>46</v>
      </c>
      <c r="J49" s="60" t="s">
        <v>179</v>
      </c>
      <c r="K49" s="59">
        <f t="shared" si="0"/>
        <v>0.25</v>
      </c>
      <c r="L49" s="59">
        <f>L48+K49</f>
        <v>0.375</v>
      </c>
      <c r="M49" s="57"/>
      <c r="N49" s="57"/>
      <c r="O49" s="57"/>
      <c r="P49" s="57"/>
      <c r="Q49" s="57"/>
    </row>
    <row r="50" spans="9:17" x14ac:dyDescent="0.4">
      <c r="I50" s="57" t="s">
        <v>47</v>
      </c>
      <c r="J50" s="60" t="s">
        <v>180</v>
      </c>
      <c r="K50" s="59">
        <f t="shared" si="0"/>
        <v>0.15</v>
      </c>
      <c r="L50" s="59">
        <f>L49+K50</f>
        <v>0.52500000000000002</v>
      </c>
      <c r="M50" s="57"/>
      <c r="N50" s="57"/>
      <c r="O50" s="57"/>
      <c r="P50" s="57"/>
      <c r="Q50" s="57"/>
    </row>
    <row r="51" spans="9:17" x14ac:dyDescent="0.4">
      <c r="I51" s="57" t="s">
        <v>48</v>
      </c>
      <c r="J51" s="60">
        <v>5</v>
      </c>
      <c r="K51" s="59">
        <f t="shared" si="0"/>
        <v>0.125</v>
      </c>
      <c r="L51" s="59">
        <f>L50+K51</f>
        <v>0.65</v>
      </c>
      <c r="M51" s="57"/>
      <c r="N51" s="57"/>
      <c r="O51" s="57"/>
      <c r="P51" s="57"/>
      <c r="Q51" s="57"/>
    </row>
    <row r="52" spans="9:17" x14ac:dyDescent="0.4">
      <c r="I52" s="57" t="s">
        <v>49</v>
      </c>
      <c r="J52" s="60" t="s">
        <v>180</v>
      </c>
      <c r="K52" s="59">
        <f t="shared" si="0"/>
        <v>0.15</v>
      </c>
      <c r="L52" s="59">
        <f>L51+K52</f>
        <v>0.8</v>
      </c>
      <c r="M52" s="57"/>
      <c r="N52" s="57"/>
      <c r="O52" s="57"/>
      <c r="P52" s="57"/>
      <c r="Q52" s="57"/>
    </row>
    <row r="53" spans="9:17" x14ac:dyDescent="0.4">
      <c r="I53" s="57" t="s">
        <v>176</v>
      </c>
      <c r="J53" s="60" t="s">
        <v>181</v>
      </c>
      <c r="K53" s="59">
        <f t="shared" si="0"/>
        <v>0.2</v>
      </c>
      <c r="L53" s="59">
        <f>L52+K53</f>
        <v>1</v>
      </c>
      <c r="M53" s="57"/>
      <c r="N53" s="57"/>
      <c r="O53" s="57"/>
      <c r="P53" s="57"/>
      <c r="Q53" s="57"/>
    </row>
    <row r="54" spans="9:17" x14ac:dyDescent="0.4">
      <c r="J54" s="60">
        <f>5+10+6+5+6+8</f>
        <v>40</v>
      </c>
      <c r="K54" s="59">
        <f>SUM(K48:K53)</f>
        <v>1</v>
      </c>
      <c r="L54" s="59"/>
      <c r="M54" s="57"/>
      <c r="N54" s="57"/>
      <c r="O54" s="57"/>
      <c r="P54" s="57"/>
      <c r="Q54" s="57"/>
    </row>
    <row r="55" spans="9:17" x14ac:dyDescent="0.4">
      <c r="J55" s="57"/>
      <c r="K55" s="57"/>
      <c r="L55" s="57"/>
      <c r="M55" s="57"/>
      <c r="N55" s="57"/>
      <c r="O55" s="57"/>
      <c r="P55" s="57"/>
      <c r="Q55" s="57"/>
    </row>
    <row r="56" spans="9:17" x14ac:dyDescent="0.4">
      <c r="I56" s="57"/>
      <c r="J56" s="57"/>
      <c r="K56" s="57"/>
      <c r="L56" s="57"/>
      <c r="M56" s="57"/>
      <c r="N56" s="57"/>
      <c r="O56" s="57"/>
      <c r="P56" s="57"/>
      <c r="Q56" s="57"/>
    </row>
    <row r="57" spans="9:17" x14ac:dyDescent="0.4">
      <c r="I57" s="57"/>
      <c r="J57" s="57"/>
      <c r="K57" s="57"/>
      <c r="L57" s="57"/>
      <c r="M57" s="57"/>
      <c r="N57" s="57"/>
      <c r="O57" s="57"/>
      <c r="P57" s="57"/>
      <c r="Q57" s="57"/>
    </row>
    <row r="58" spans="9:17" x14ac:dyDescent="0.4">
      <c r="I58" s="57"/>
      <c r="J58" s="57"/>
      <c r="K58" s="57"/>
      <c r="L58" s="57"/>
      <c r="M58" s="57"/>
      <c r="N58" s="57"/>
      <c r="O58" s="57"/>
      <c r="P58" s="57"/>
      <c r="Q58" s="57"/>
    </row>
    <row r="82" spans="3:4" x14ac:dyDescent="0.4">
      <c r="C82" s="1" t="s">
        <v>209</v>
      </c>
      <c r="D82" s="1" t="s">
        <v>210</v>
      </c>
    </row>
    <row r="83" spans="3:4" x14ac:dyDescent="0.4">
      <c r="C83" s="57" t="s">
        <v>135</v>
      </c>
      <c r="D83" s="60">
        <v>60</v>
      </c>
    </row>
    <row r="84" spans="3:4" x14ac:dyDescent="0.4">
      <c r="C84" s="57" t="s">
        <v>136</v>
      </c>
      <c r="D84" s="60">
        <v>41</v>
      </c>
    </row>
    <row r="85" spans="3:4" x14ac:dyDescent="0.4">
      <c r="C85" s="57" t="s">
        <v>205</v>
      </c>
      <c r="D85" s="60">
        <v>55</v>
      </c>
    </row>
    <row r="86" spans="3:4" x14ac:dyDescent="0.4">
      <c r="C86" s="57" t="s">
        <v>206</v>
      </c>
      <c r="D86" s="60">
        <v>65</v>
      </c>
    </row>
    <row r="87" spans="3:4" x14ac:dyDescent="0.4">
      <c r="C87" s="57" t="s">
        <v>207</v>
      </c>
      <c r="D87" s="60">
        <v>52</v>
      </c>
    </row>
    <row r="88" spans="3:4" x14ac:dyDescent="0.4">
      <c r="C88" s="57" t="s">
        <v>208</v>
      </c>
      <c r="D88" s="60">
        <v>47</v>
      </c>
    </row>
    <row r="98" spans="1:6" x14ac:dyDescent="0.4">
      <c r="A98" s="4" t="s">
        <v>3</v>
      </c>
    </row>
    <row r="99" spans="1:6" ht="20.399999999999999" thickBot="1" x14ac:dyDescent="0.45">
      <c r="A99" s="5">
        <v>12</v>
      </c>
    </row>
    <row r="100" spans="1:6" x14ac:dyDescent="0.4">
      <c r="A100" s="4">
        <v>13</v>
      </c>
      <c r="C100" s="1">
        <v>10</v>
      </c>
      <c r="E100" s="43" t="s">
        <v>28</v>
      </c>
      <c r="F100" s="43" t="s">
        <v>30</v>
      </c>
    </row>
    <row r="101" spans="1:6" x14ac:dyDescent="0.4">
      <c r="A101" s="4">
        <v>17</v>
      </c>
      <c r="C101" s="1">
        <v>15</v>
      </c>
      <c r="E101" s="38">
        <v>10</v>
      </c>
      <c r="F101" s="39">
        <v>0</v>
      </c>
    </row>
    <row r="102" spans="1:6" x14ac:dyDescent="0.4">
      <c r="A102" s="4">
        <v>21</v>
      </c>
      <c r="C102" s="1">
        <v>20</v>
      </c>
      <c r="E102" s="38">
        <v>15</v>
      </c>
      <c r="F102" s="39">
        <v>2</v>
      </c>
    </row>
    <row r="103" spans="1:6" x14ac:dyDescent="0.4">
      <c r="A103" s="4">
        <v>24</v>
      </c>
      <c r="C103" s="1">
        <v>25</v>
      </c>
      <c r="E103" s="38">
        <v>20</v>
      </c>
      <c r="F103" s="39">
        <v>1</v>
      </c>
    </row>
    <row r="104" spans="1:6" x14ac:dyDescent="0.4">
      <c r="A104" s="4">
        <v>24</v>
      </c>
      <c r="C104" s="1">
        <v>30</v>
      </c>
      <c r="E104" s="38">
        <v>25</v>
      </c>
      <c r="F104" s="39">
        <v>3</v>
      </c>
    </row>
    <row r="105" spans="1:6" x14ac:dyDescent="0.4">
      <c r="A105" s="4">
        <v>26</v>
      </c>
      <c r="C105" s="1">
        <v>35</v>
      </c>
      <c r="E105" s="38">
        <v>30</v>
      </c>
      <c r="F105" s="39">
        <v>4</v>
      </c>
    </row>
    <row r="106" spans="1:6" x14ac:dyDescent="0.4">
      <c r="A106" s="4">
        <v>27</v>
      </c>
      <c r="C106" s="1">
        <v>40</v>
      </c>
      <c r="E106" s="38">
        <v>35</v>
      </c>
      <c r="F106" s="39">
        <v>2</v>
      </c>
    </row>
    <row r="107" spans="1:6" x14ac:dyDescent="0.4">
      <c r="A107" s="4">
        <v>27</v>
      </c>
      <c r="C107" s="1">
        <v>45</v>
      </c>
      <c r="E107" s="38">
        <v>40</v>
      </c>
      <c r="F107" s="39">
        <v>2</v>
      </c>
    </row>
    <row r="108" spans="1:6" x14ac:dyDescent="0.4">
      <c r="A108" s="4">
        <v>30</v>
      </c>
      <c r="C108" s="1">
        <v>50</v>
      </c>
      <c r="E108" s="38">
        <v>45</v>
      </c>
      <c r="F108" s="39">
        <v>3</v>
      </c>
    </row>
    <row r="109" spans="1:6" x14ac:dyDescent="0.4">
      <c r="A109" s="4">
        <v>32</v>
      </c>
      <c r="C109" s="1">
        <v>55</v>
      </c>
      <c r="E109" s="38">
        <v>50</v>
      </c>
      <c r="F109" s="39">
        <v>1</v>
      </c>
    </row>
    <row r="110" spans="1:6" x14ac:dyDescent="0.4">
      <c r="A110" s="4">
        <v>35</v>
      </c>
      <c r="C110" s="1">
        <v>60</v>
      </c>
      <c r="E110" s="38">
        <v>55</v>
      </c>
      <c r="F110" s="39">
        <v>1</v>
      </c>
    </row>
    <row r="111" spans="1:6" x14ac:dyDescent="0.4">
      <c r="A111" s="4">
        <v>37</v>
      </c>
      <c r="E111" s="38">
        <v>60</v>
      </c>
      <c r="F111" s="39">
        <v>1</v>
      </c>
    </row>
    <row r="112" spans="1:6" ht="20.399999999999999" thickBot="1" x14ac:dyDescent="0.45">
      <c r="A112" s="4">
        <v>38</v>
      </c>
      <c r="E112" s="41" t="s">
        <v>29</v>
      </c>
      <c r="F112" s="41">
        <v>0</v>
      </c>
    </row>
    <row r="113" spans="1:9" x14ac:dyDescent="0.4">
      <c r="A113" s="4">
        <v>41</v>
      </c>
      <c r="I113" s="1" t="s">
        <v>1049</v>
      </c>
    </row>
    <row r="114" spans="1:9" ht="20.399999999999999" thickBot="1" x14ac:dyDescent="0.45">
      <c r="A114" s="4">
        <v>43</v>
      </c>
    </row>
    <row r="115" spans="1:9" x14ac:dyDescent="0.4">
      <c r="A115" s="4">
        <v>44</v>
      </c>
      <c r="E115" s="43" t="s">
        <v>28</v>
      </c>
      <c r="F115" s="43" t="s">
        <v>30</v>
      </c>
      <c r="G115" s="1" t="s">
        <v>1048</v>
      </c>
      <c r="H115" s="1" t="s">
        <v>51</v>
      </c>
      <c r="I115" s="1" t="s">
        <v>1050</v>
      </c>
    </row>
    <row r="116" spans="1:9" x14ac:dyDescent="0.4">
      <c r="A116" s="4">
        <v>46</v>
      </c>
      <c r="E116" s="38">
        <v>10</v>
      </c>
      <c r="F116" s="39">
        <v>0</v>
      </c>
      <c r="G116" s="1">
        <f>0</f>
        <v>0</v>
      </c>
      <c r="H116" s="1">
        <f>F116/$F$127</f>
        <v>0</v>
      </c>
      <c r="I116" s="1">
        <f>H116</f>
        <v>0</v>
      </c>
    </row>
    <row r="117" spans="1:9" x14ac:dyDescent="0.4">
      <c r="A117" s="4">
        <v>53</v>
      </c>
      <c r="E117" s="38">
        <v>15</v>
      </c>
      <c r="F117" s="39">
        <v>2</v>
      </c>
      <c r="G117" s="1">
        <f>G116+F117</f>
        <v>2</v>
      </c>
      <c r="H117" s="1">
        <f t="shared" ref="H117:H126" si="1">F117/$F$127</f>
        <v>0.1</v>
      </c>
      <c r="I117" s="1">
        <f>I116+H117</f>
        <v>0.1</v>
      </c>
    </row>
    <row r="118" spans="1:9" x14ac:dyDescent="0.4">
      <c r="A118" s="4">
        <v>58</v>
      </c>
      <c r="E118" s="38">
        <v>20</v>
      </c>
      <c r="F118" s="39">
        <v>1</v>
      </c>
      <c r="G118" s="1">
        <f>G117+F118</f>
        <v>3</v>
      </c>
      <c r="H118" s="1">
        <f t="shared" si="1"/>
        <v>0.05</v>
      </c>
      <c r="I118" s="1">
        <f>I117+H118</f>
        <v>0.15000000000000002</v>
      </c>
    </row>
    <row r="119" spans="1:9" x14ac:dyDescent="0.4">
      <c r="E119" s="38">
        <v>25</v>
      </c>
      <c r="F119" s="39">
        <v>3</v>
      </c>
      <c r="G119" s="1">
        <f t="shared" ref="G119:G126" si="2">G118+F119</f>
        <v>6</v>
      </c>
      <c r="H119" s="1">
        <f t="shared" si="1"/>
        <v>0.15</v>
      </c>
      <c r="I119" s="1">
        <f t="shared" ref="I119:I126" si="3">I118+H119</f>
        <v>0.30000000000000004</v>
      </c>
    </row>
    <row r="120" spans="1:9" x14ac:dyDescent="0.4">
      <c r="E120" s="38">
        <v>30</v>
      </c>
      <c r="F120" s="39">
        <v>4</v>
      </c>
      <c r="G120" s="1">
        <f t="shared" si="2"/>
        <v>10</v>
      </c>
      <c r="H120" s="1">
        <f t="shared" si="1"/>
        <v>0.2</v>
      </c>
      <c r="I120" s="1">
        <f t="shared" si="3"/>
        <v>0.5</v>
      </c>
    </row>
    <row r="121" spans="1:9" x14ac:dyDescent="0.4">
      <c r="E121" s="38">
        <v>35</v>
      </c>
      <c r="F121" s="39">
        <v>2</v>
      </c>
      <c r="G121" s="1">
        <f t="shared" si="2"/>
        <v>12</v>
      </c>
      <c r="H121" s="1">
        <f t="shared" si="1"/>
        <v>0.1</v>
      </c>
      <c r="I121" s="1">
        <f t="shared" si="3"/>
        <v>0.6</v>
      </c>
    </row>
    <row r="122" spans="1:9" x14ac:dyDescent="0.4">
      <c r="E122" s="38">
        <v>40</v>
      </c>
      <c r="F122" s="39">
        <v>2</v>
      </c>
      <c r="G122" s="1">
        <f t="shared" si="2"/>
        <v>14</v>
      </c>
      <c r="H122" s="1">
        <f t="shared" si="1"/>
        <v>0.1</v>
      </c>
      <c r="I122" s="1">
        <f t="shared" si="3"/>
        <v>0.7</v>
      </c>
    </row>
    <row r="123" spans="1:9" x14ac:dyDescent="0.4">
      <c r="E123" s="38">
        <v>45</v>
      </c>
      <c r="F123" s="39">
        <v>3</v>
      </c>
      <c r="G123" s="1">
        <f t="shared" si="2"/>
        <v>17</v>
      </c>
      <c r="H123" s="1">
        <f t="shared" si="1"/>
        <v>0.15</v>
      </c>
      <c r="I123" s="1">
        <f t="shared" si="3"/>
        <v>0.85</v>
      </c>
    </row>
    <row r="124" spans="1:9" x14ac:dyDescent="0.4">
      <c r="E124" s="38">
        <v>50</v>
      </c>
      <c r="F124" s="39">
        <v>1</v>
      </c>
      <c r="G124" s="1">
        <f t="shared" si="2"/>
        <v>18</v>
      </c>
      <c r="H124" s="1">
        <f t="shared" si="1"/>
        <v>0.05</v>
      </c>
      <c r="I124" s="1">
        <f t="shared" si="3"/>
        <v>0.9</v>
      </c>
    </row>
    <row r="125" spans="1:9" x14ac:dyDescent="0.4">
      <c r="E125" s="38">
        <v>55</v>
      </c>
      <c r="F125" s="39">
        <v>1</v>
      </c>
      <c r="G125" s="1">
        <f t="shared" si="2"/>
        <v>19</v>
      </c>
      <c r="H125" s="1">
        <f t="shared" si="1"/>
        <v>0.05</v>
      </c>
      <c r="I125" s="1">
        <f t="shared" si="3"/>
        <v>0.95000000000000007</v>
      </c>
    </row>
    <row r="126" spans="1:9" x14ac:dyDescent="0.4">
      <c r="E126" s="38">
        <v>60</v>
      </c>
      <c r="F126" s="39">
        <v>1</v>
      </c>
      <c r="G126" s="1">
        <f t="shared" si="2"/>
        <v>20</v>
      </c>
      <c r="H126" s="1">
        <f t="shared" si="1"/>
        <v>0.05</v>
      </c>
      <c r="I126" s="1">
        <f t="shared" si="3"/>
        <v>1</v>
      </c>
    </row>
    <row r="127" spans="1:9" ht="20.399999999999999" thickBot="1" x14ac:dyDescent="0.45">
      <c r="E127" s="41" t="s">
        <v>50</v>
      </c>
      <c r="F127" s="41">
        <f>SUM(F116:F126)</f>
        <v>20</v>
      </c>
      <c r="H127" s="1">
        <f>SUM(H116:H126)</f>
        <v>1</v>
      </c>
    </row>
  </sheetData>
  <sortState xmlns:xlrd2="http://schemas.microsoft.com/office/spreadsheetml/2017/richdata2" ref="E101:E111">
    <sortCondition ref="E101"/>
  </sortState>
  <mergeCells count="1">
    <mergeCell ref="A1:C1"/>
  </mergeCells>
  <pageMargins left="0.7" right="0.7" top="0.75" bottom="0.75" header="0.3" footer="0.3"/>
  <pageSetup paperSize="9" orientation="portrait" r:id="rId1"/>
  <ignoredErrors>
    <ignoredError sqref="J48:J50 J52:J53"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
  <sheetViews>
    <sheetView topLeftCell="A21" workbookViewId="0">
      <selection activeCell="H33" sqref="H33"/>
    </sheetView>
  </sheetViews>
  <sheetFormatPr defaultColWidth="8.88671875" defaultRowHeight="19.8" x14ac:dyDescent="0.4"/>
  <cols>
    <col min="1" max="1" width="20" style="1" bestFit="1" customWidth="1"/>
    <col min="2" max="2" width="29.6640625" style="1" bestFit="1" customWidth="1"/>
    <col min="3" max="3" width="14" style="1" bestFit="1" customWidth="1"/>
    <col min="4" max="5" width="8.88671875" style="1"/>
    <col min="6" max="6" width="24.88671875" style="1" customWidth="1"/>
    <col min="7" max="16384" width="8.88671875" style="1"/>
  </cols>
  <sheetData>
    <row r="1" spans="1:6" x14ac:dyDescent="0.4">
      <c r="A1" s="27" t="s">
        <v>13</v>
      </c>
    </row>
    <row r="3" spans="1:6" x14ac:dyDescent="0.4">
      <c r="A3" s="3" t="s">
        <v>5</v>
      </c>
      <c r="B3" s="3" t="s">
        <v>6</v>
      </c>
      <c r="C3" s="3" t="s">
        <v>7</v>
      </c>
      <c r="F3" s="6" t="s">
        <v>13</v>
      </c>
    </row>
    <row r="4" spans="1:6" x14ac:dyDescent="0.4">
      <c r="A4" s="3" t="s">
        <v>8</v>
      </c>
      <c r="B4" s="3">
        <v>46.5</v>
      </c>
      <c r="C4" s="3">
        <v>42.27</v>
      </c>
    </row>
    <row r="5" spans="1:6" x14ac:dyDescent="0.4">
      <c r="A5" s="3" t="s">
        <v>9</v>
      </c>
      <c r="B5" s="3">
        <v>32</v>
      </c>
      <c r="C5" s="3">
        <v>29.09</v>
      </c>
    </row>
    <row r="6" spans="1:6" x14ac:dyDescent="0.4">
      <c r="A6" s="3" t="s">
        <v>10</v>
      </c>
      <c r="B6" s="3">
        <v>15.5</v>
      </c>
      <c r="C6" s="3">
        <v>14.09</v>
      </c>
    </row>
    <row r="7" spans="1:6" x14ac:dyDescent="0.4">
      <c r="A7" s="3" t="s">
        <v>11</v>
      </c>
      <c r="B7" s="3">
        <v>16</v>
      </c>
      <c r="C7" s="3">
        <v>14.55</v>
      </c>
    </row>
    <row r="8" spans="1:6" x14ac:dyDescent="0.4">
      <c r="A8" s="3" t="s">
        <v>12</v>
      </c>
      <c r="B8" s="3">
        <v>110</v>
      </c>
      <c r="C8" s="3">
        <v>100</v>
      </c>
    </row>
    <row r="11" spans="1:6" x14ac:dyDescent="0.4">
      <c r="A11" s="3" t="s">
        <v>5</v>
      </c>
      <c r="B11" s="3" t="s">
        <v>6</v>
      </c>
      <c r="C11" s="3" t="s">
        <v>7</v>
      </c>
    </row>
    <row r="12" spans="1:6" x14ac:dyDescent="0.4">
      <c r="A12" s="3" t="s">
        <v>8</v>
      </c>
      <c r="B12" s="3">
        <v>46.5</v>
      </c>
      <c r="C12" s="1">
        <f>(B12/B$16)*100</f>
        <v>42.272727272727273</v>
      </c>
    </row>
    <row r="13" spans="1:6" x14ac:dyDescent="0.4">
      <c r="A13" s="3" t="s">
        <v>9</v>
      </c>
      <c r="B13" s="3">
        <v>32</v>
      </c>
      <c r="C13" s="1">
        <f>(B13/B$16)*100</f>
        <v>29.09090909090909</v>
      </c>
    </row>
    <row r="14" spans="1:6" x14ac:dyDescent="0.4">
      <c r="A14" s="3" t="s">
        <v>10</v>
      </c>
      <c r="B14" s="3">
        <v>15.5</v>
      </c>
      <c r="C14" s="1">
        <f>(B14/B$16)*100</f>
        <v>14.09090909090909</v>
      </c>
    </row>
    <row r="15" spans="1:6" x14ac:dyDescent="0.4">
      <c r="A15" s="3" t="s">
        <v>11</v>
      </c>
      <c r="B15" s="3">
        <v>16</v>
      </c>
      <c r="C15" s="1">
        <f>(B15/B$16)*100</f>
        <v>14.545454545454545</v>
      </c>
    </row>
    <row r="16" spans="1:6" x14ac:dyDescent="0.4">
      <c r="A16" s="3" t="s">
        <v>12</v>
      </c>
      <c r="B16" s="3">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5"/>
  <sheetViews>
    <sheetView workbookViewId="0">
      <selection activeCell="A4" sqref="A4"/>
    </sheetView>
  </sheetViews>
  <sheetFormatPr defaultColWidth="8.88671875" defaultRowHeight="19.8" x14ac:dyDescent="0.4"/>
  <cols>
    <col min="1" max="1" width="7" style="1" bestFit="1" customWidth="1"/>
    <col min="2" max="2" width="16.5546875" style="1" bestFit="1" customWidth="1"/>
    <col min="3" max="16384" width="8.88671875" style="1"/>
  </cols>
  <sheetData>
    <row r="1" spans="1:2" x14ac:dyDescent="0.4">
      <c r="A1" s="204" t="s">
        <v>57</v>
      </c>
      <c r="B1" s="204"/>
    </row>
    <row r="3" spans="1:2" x14ac:dyDescent="0.4">
      <c r="A3" s="7" t="s">
        <v>14</v>
      </c>
      <c r="B3" s="7" t="s">
        <v>15</v>
      </c>
    </row>
    <row r="4" spans="1:2" x14ac:dyDescent="0.4">
      <c r="A4" s="7">
        <v>1985</v>
      </c>
      <c r="B4" s="7">
        <v>3.56</v>
      </c>
    </row>
    <row r="5" spans="1:2" x14ac:dyDescent="0.4">
      <c r="A5" s="7">
        <v>1986</v>
      </c>
      <c r="B5" s="7">
        <v>1.86</v>
      </c>
    </row>
    <row r="6" spans="1:2" x14ac:dyDescent="0.4">
      <c r="A6" s="7">
        <v>1987</v>
      </c>
      <c r="B6" s="7">
        <v>3.65</v>
      </c>
    </row>
    <row r="7" spans="1:2" x14ac:dyDescent="0.4">
      <c r="A7" s="7">
        <v>1988</v>
      </c>
      <c r="B7" s="7">
        <v>4.1399999999999997</v>
      </c>
    </row>
    <row r="8" spans="1:2" x14ac:dyDescent="0.4">
      <c r="A8" s="7">
        <v>1989</v>
      </c>
      <c r="B8" s="7">
        <v>4.82</v>
      </c>
    </row>
    <row r="9" spans="1:2" x14ac:dyDescent="0.4">
      <c r="A9" s="7">
        <v>1990</v>
      </c>
      <c r="B9" s="7">
        <v>5.4</v>
      </c>
    </row>
    <row r="10" spans="1:2" x14ac:dyDescent="0.4">
      <c r="A10" s="7">
        <v>1991</v>
      </c>
      <c r="B10" s="7">
        <v>4.21</v>
      </c>
    </row>
    <row r="11" spans="1:2" x14ac:dyDescent="0.4">
      <c r="A11" s="7">
        <v>1992</v>
      </c>
      <c r="B11" s="7">
        <v>3.01</v>
      </c>
    </row>
    <row r="12" spans="1:2" x14ac:dyDescent="0.4">
      <c r="A12" s="7">
        <v>1993</v>
      </c>
      <c r="B12" s="7">
        <v>2.99</v>
      </c>
    </row>
    <row r="13" spans="1:2" x14ac:dyDescent="0.4">
      <c r="A13" s="7">
        <v>1994</v>
      </c>
      <c r="B13" s="7">
        <v>2.56</v>
      </c>
    </row>
    <row r="14" spans="1:2" x14ac:dyDescent="0.4">
      <c r="A14" s="7">
        <v>1995</v>
      </c>
      <c r="B14" s="7">
        <v>2.83</v>
      </c>
    </row>
    <row r="15" spans="1:2" x14ac:dyDescent="0.4">
      <c r="A15" s="7">
        <v>1996</v>
      </c>
      <c r="B15" s="7">
        <v>2.95</v>
      </c>
    </row>
    <row r="16" spans="1:2" x14ac:dyDescent="0.4">
      <c r="A16" s="7">
        <v>1997</v>
      </c>
      <c r="B16" s="7">
        <v>2.29</v>
      </c>
    </row>
    <row r="17" spans="1:2" x14ac:dyDescent="0.4">
      <c r="A17" s="7">
        <v>1998</v>
      </c>
      <c r="B17" s="7">
        <v>1.56</v>
      </c>
    </row>
    <row r="18" spans="1:2" x14ac:dyDescent="0.4">
      <c r="A18" s="7">
        <v>1999</v>
      </c>
      <c r="B18" s="7">
        <v>2.21</v>
      </c>
    </row>
    <row r="19" spans="1:2" x14ac:dyDescent="0.4">
      <c r="A19" s="7">
        <v>2000</v>
      </c>
      <c r="B19" s="7">
        <v>3.36</v>
      </c>
    </row>
    <row r="20" spans="1:2" x14ac:dyDescent="0.4">
      <c r="A20" s="7">
        <v>2001</v>
      </c>
      <c r="B20" s="7">
        <v>2.85</v>
      </c>
    </row>
    <row r="21" spans="1:2" x14ac:dyDescent="0.4">
      <c r="A21" s="7">
        <v>2002</v>
      </c>
      <c r="B21" s="7">
        <v>1.59</v>
      </c>
    </row>
    <row r="22" spans="1:2" x14ac:dyDescent="0.4">
      <c r="A22" s="7">
        <v>2003</v>
      </c>
      <c r="B22" s="7">
        <v>2.27</v>
      </c>
    </row>
    <row r="23" spans="1:2" x14ac:dyDescent="0.4">
      <c r="A23" s="7">
        <v>2004</v>
      </c>
      <c r="B23" s="7">
        <v>2.68</v>
      </c>
    </row>
    <row r="24" spans="1:2" x14ac:dyDescent="0.4">
      <c r="A24" s="7">
        <v>2005</v>
      </c>
      <c r="B24" s="7">
        <v>3.39</v>
      </c>
    </row>
    <row r="25" spans="1:2" x14ac:dyDescent="0.4">
      <c r="A25" s="7">
        <v>2006</v>
      </c>
      <c r="B25" s="7">
        <v>3.24</v>
      </c>
    </row>
  </sheetData>
  <mergeCells count="1">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5"/>
  <sheetViews>
    <sheetView topLeftCell="A11" workbookViewId="0">
      <selection activeCell="D18" sqref="D18"/>
    </sheetView>
  </sheetViews>
  <sheetFormatPr defaultColWidth="8.88671875" defaultRowHeight="19.8" x14ac:dyDescent="0.4"/>
  <cols>
    <col min="1" max="1" width="19.33203125" style="1" bestFit="1" customWidth="1"/>
    <col min="2" max="2" width="15.33203125" style="1" bestFit="1" customWidth="1"/>
    <col min="3" max="4" width="8.88671875" style="1"/>
    <col min="5" max="5" width="14.33203125" style="1" bestFit="1" customWidth="1"/>
    <col min="6" max="16384" width="8.88671875" style="1"/>
  </cols>
  <sheetData>
    <row r="1" spans="1:2" x14ac:dyDescent="0.4">
      <c r="A1" s="204" t="s">
        <v>18</v>
      </c>
      <c r="B1" s="204"/>
    </row>
    <row r="3" spans="1:2" x14ac:dyDescent="0.4">
      <c r="A3" s="7" t="s">
        <v>16</v>
      </c>
      <c r="B3" s="7" t="s">
        <v>17</v>
      </c>
    </row>
    <row r="4" spans="1:2" x14ac:dyDescent="0.4">
      <c r="A4" s="7">
        <v>23</v>
      </c>
      <c r="B4" s="7">
        <v>125</v>
      </c>
    </row>
    <row r="5" spans="1:2" x14ac:dyDescent="0.4">
      <c r="A5" s="7">
        <v>26</v>
      </c>
      <c r="B5" s="7">
        <v>140</v>
      </c>
    </row>
    <row r="6" spans="1:2" x14ac:dyDescent="0.4">
      <c r="A6" s="7">
        <v>29</v>
      </c>
      <c r="B6" s="7">
        <v>146</v>
      </c>
    </row>
    <row r="7" spans="1:2" x14ac:dyDescent="0.4">
      <c r="A7" s="7">
        <v>33</v>
      </c>
      <c r="B7" s="7">
        <v>160</v>
      </c>
    </row>
    <row r="8" spans="1:2" x14ac:dyDescent="0.4">
      <c r="A8" s="7">
        <v>38</v>
      </c>
      <c r="B8" s="7">
        <v>167</v>
      </c>
    </row>
    <row r="9" spans="1:2" x14ac:dyDescent="0.4">
      <c r="A9" s="7">
        <v>42</v>
      </c>
      <c r="B9" s="7">
        <v>170</v>
      </c>
    </row>
    <row r="10" spans="1:2" x14ac:dyDescent="0.4">
      <c r="A10" s="7">
        <v>50</v>
      </c>
      <c r="B10" s="7">
        <v>188</v>
      </c>
    </row>
    <row r="11" spans="1:2" x14ac:dyDescent="0.4">
      <c r="A11" s="7">
        <v>55</v>
      </c>
      <c r="B11" s="7">
        <v>195</v>
      </c>
    </row>
    <row r="12" spans="1:2" x14ac:dyDescent="0.4">
      <c r="A12" s="7">
        <v>60</v>
      </c>
      <c r="B12" s="7">
        <v>200</v>
      </c>
    </row>
    <row r="16" spans="1:2" x14ac:dyDescent="0.4">
      <c r="A16" s="7" t="s">
        <v>16</v>
      </c>
      <c r="B16" s="7" t="s">
        <v>17</v>
      </c>
    </row>
    <row r="17" spans="1:2" x14ac:dyDescent="0.4">
      <c r="A17" s="7">
        <v>23</v>
      </c>
      <c r="B17" s="7">
        <v>45</v>
      </c>
    </row>
    <row r="18" spans="1:2" x14ac:dyDescent="0.4">
      <c r="A18" s="7">
        <v>26</v>
      </c>
      <c r="B18" s="7">
        <v>556</v>
      </c>
    </row>
    <row r="19" spans="1:2" x14ac:dyDescent="0.4">
      <c r="A19" s="7">
        <v>29</v>
      </c>
      <c r="B19" s="7">
        <v>561</v>
      </c>
    </row>
    <row r="20" spans="1:2" x14ac:dyDescent="0.4">
      <c r="A20" s="7">
        <v>33</v>
      </c>
      <c r="B20" s="7">
        <v>84</v>
      </c>
    </row>
    <row r="21" spans="1:2" x14ac:dyDescent="0.4">
      <c r="A21" s="7">
        <v>38</v>
      </c>
      <c r="B21" s="7">
        <v>16</v>
      </c>
    </row>
    <row r="22" spans="1:2" x14ac:dyDescent="0.4">
      <c r="A22" s="7">
        <v>42</v>
      </c>
      <c r="B22" s="7">
        <v>674</v>
      </c>
    </row>
    <row r="23" spans="1:2" x14ac:dyDescent="0.4">
      <c r="A23" s="7">
        <v>50</v>
      </c>
      <c r="B23" s="7">
        <v>64</v>
      </c>
    </row>
    <row r="24" spans="1:2" x14ac:dyDescent="0.4">
      <c r="A24" s="7">
        <v>55</v>
      </c>
      <c r="B24" s="7">
        <v>45</v>
      </c>
    </row>
    <row r="25" spans="1:2" x14ac:dyDescent="0.4">
      <c r="A25" s="7">
        <v>60</v>
      </c>
      <c r="B25" s="7">
        <v>85</v>
      </c>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5"/>
  <sheetViews>
    <sheetView topLeftCell="A11" workbookViewId="0">
      <selection activeCell="I38" sqref="I38"/>
    </sheetView>
  </sheetViews>
  <sheetFormatPr defaultColWidth="8.88671875" defaultRowHeight="19.8" x14ac:dyDescent="0.4"/>
  <cols>
    <col min="1" max="1" width="8.88671875" style="1"/>
    <col min="2" max="2" width="11" style="1" customWidth="1"/>
    <col min="3" max="3" width="19.88671875" style="1" bestFit="1" customWidth="1"/>
    <col min="4" max="4" width="8" style="1" customWidth="1"/>
    <col min="5" max="5" width="22.6640625" style="1" bestFit="1" customWidth="1"/>
    <col min="6" max="6" width="26.6640625" style="1" customWidth="1"/>
    <col min="7" max="16384" width="8.88671875" style="1"/>
  </cols>
  <sheetData>
    <row r="1" spans="1:11" x14ac:dyDescent="0.4">
      <c r="A1" s="204" t="s">
        <v>58</v>
      </c>
      <c r="B1" s="204"/>
    </row>
    <row r="3" spans="1:11" x14ac:dyDescent="0.4">
      <c r="A3" s="1" t="s">
        <v>184</v>
      </c>
    </row>
    <row r="6" spans="1:11" x14ac:dyDescent="0.4">
      <c r="A6" s="1">
        <v>0</v>
      </c>
    </row>
    <row r="7" spans="1:11" x14ac:dyDescent="0.4">
      <c r="A7" s="1">
        <v>0</v>
      </c>
      <c r="C7" s="13" t="s">
        <v>37</v>
      </c>
      <c r="D7" s="13"/>
      <c r="E7" s="13" t="s">
        <v>36</v>
      </c>
      <c r="I7" s="1">
        <v>50</v>
      </c>
      <c r="K7" s="1" t="s">
        <v>182</v>
      </c>
    </row>
    <row r="8" spans="1:11" x14ac:dyDescent="0.4">
      <c r="A8" s="1">
        <v>0</v>
      </c>
      <c r="C8" s="14" t="s">
        <v>31</v>
      </c>
      <c r="D8" s="14">
        <v>0</v>
      </c>
      <c r="E8" s="14">
        <f>QUARTILE(A$6:A$155,D8)</f>
        <v>0</v>
      </c>
      <c r="I8" s="1">
        <v>100</v>
      </c>
      <c r="K8" s="1">
        <v>150</v>
      </c>
    </row>
    <row r="9" spans="1:11" x14ac:dyDescent="0.4">
      <c r="A9" s="1">
        <v>0</v>
      </c>
      <c r="C9" s="14" t="s">
        <v>32</v>
      </c>
      <c r="D9" s="14">
        <v>1</v>
      </c>
      <c r="E9" s="14">
        <f>QUARTILE(A$6:A$155,D9)</f>
        <v>9</v>
      </c>
    </row>
    <row r="10" spans="1:11" x14ac:dyDescent="0.4">
      <c r="A10" s="1">
        <v>0</v>
      </c>
      <c r="C10" s="14" t="s">
        <v>33</v>
      </c>
      <c r="D10" s="14">
        <v>2</v>
      </c>
      <c r="E10" s="14">
        <f>QUARTILE(A$6:A$155,D10)</f>
        <v>31</v>
      </c>
    </row>
    <row r="11" spans="1:11" x14ac:dyDescent="0.4">
      <c r="A11" s="1">
        <v>0</v>
      </c>
      <c r="C11" s="14" t="s">
        <v>34</v>
      </c>
      <c r="D11" s="14">
        <v>3</v>
      </c>
      <c r="E11" s="14">
        <f>QUARTILE(A$6:A$155,D11)</f>
        <v>68</v>
      </c>
    </row>
    <row r="12" spans="1:11" x14ac:dyDescent="0.4">
      <c r="A12" s="1">
        <v>0</v>
      </c>
      <c r="C12" s="14" t="s">
        <v>35</v>
      </c>
      <c r="D12" s="14">
        <v>4</v>
      </c>
      <c r="E12" s="14">
        <f>QUARTILE(A$6:A$155,D12)</f>
        <v>183</v>
      </c>
    </row>
    <row r="13" spans="1:11" x14ac:dyDescent="0.4">
      <c r="A13" s="1">
        <v>0</v>
      </c>
      <c r="C13" s="15" t="s">
        <v>38</v>
      </c>
      <c r="D13" s="14"/>
      <c r="E13" s="15">
        <f>68+1.5*(68-9)</f>
        <v>156.5</v>
      </c>
    </row>
    <row r="14" spans="1:11" x14ac:dyDescent="0.4">
      <c r="A14" s="1">
        <v>0</v>
      </c>
      <c r="C14" s="15" t="s">
        <v>39</v>
      </c>
      <c r="D14" s="14"/>
      <c r="E14" s="15">
        <f>9-1.5*(68-9)</f>
        <v>-79.5</v>
      </c>
      <c r="F14" s="1">
        <v>0</v>
      </c>
    </row>
    <row r="15" spans="1:11" ht="16.95" customHeight="1" x14ac:dyDescent="0.4">
      <c r="A15" s="1">
        <v>0</v>
      </c>
      <c r="C15" s="206" t="s">
        <v>40</v>
      </c>
      <c r="D15" s="207"/>
      <c r="E15" s="205" t="s">
        <v>41</v>
      </c>
    </row>
    <row r="16" spans="1:11" x14ac:dyDescent="0.4">
      <c r="A16" s="1">
        <v>1</v>
      </c>
      <c r="C16" s="206"/>
      <c r="D16" s="207"/>
      <c r="E16" s="205"/>
    </row>
    <row r="17" spans="1:10" x14ac:dyDescent="0.4">
      <c r="A17" s="1">
        <v>1</v>
      </c>
      <c r="C17" s="206"/>
      <c r="D17" s="207"/>
      <c r="E17" s="205"/>
    </row>
    <row r="18" spans="1:10" x14ac:dyDescent="0.4">
      <c r="A18" s="1">
        <v>1</v>
      </c>
    </row>
    <row r="19" spans="1:10" x14ac:dyDescent="0.4">
      <c r="A19" s="1">
        <v>1</v>
      </c>
    </row>
    <row r="20" spans="1:10" x14ac:dyDescent="0.4">
      <c r="A20" s="1">
        <v>1</v>
      </c>
      <c r="B20" s="1" t="s">
        <v>188</v>
      </c>
    </row>
    <row r="21" spans="1:10" x14ac:dyDescent="0.4">
      <c r="A21" s="1">
        <v>2</v>
      </c>
      <c r="E21" s="1" t="s">
        <v>53</v>
      </c>
      <c r="F21" s="1">
        <f>AVERAGE(A6:A155)</f>
        <v>43.413333333333334</v>
      </c>
      <c r="H21" s="1" t="s">
        <v>130</v>
      </c>
      <c r="J21" s="1">
        <f>SKEW(A6:A155)</f>
        <v>0.90017629003952671</v>
      </c>
    </row>
    <row r="22" spans="1:10" x14ac:dyDescent="0.4">
      <c r="A22" s="1">
        <v>2</v>
      </c>
      <c r="E22" s="1" t="s">
        <v>33</v>
      </c>
      <c r="F22" s="1">
        <f>MEDIAN(A6:A155)</f>
        <v>31</v>
      </c>
    </row>
    <row r="23" spans="1:10" x14ac:dyDescent="0.4">
      <c r="A23" s="1">
        <v>2</v>
      </c>
      <c r="E23" s="1" t="s">
        <v>54</v>
      </c>
      <c r="F23" s="1">
        <f>MODE(A6:A155)</f>
        <v>0</v>
      </c>
    </row>
    <row r="24" spans="1:10" x14ac:dyDescent="0.4">
      <c r="A24" s="1">
        <v>2</v>
      </c>
      <c r="E24" s="1" t="s">
        <v>138</v>
      </c>
      <c r="F24" s="1">
        <f>QUARTILE(A6:A155, 1)</f>
        <v>9</v>
      </c>
      <c r="H24" s="1" t="s">
        <v>215</v>
      </c>
    </row>
    <row r="25" spans="1:10" x14ac:dyDescent="0.4">
      <c r="A25" s="1">
        <v>2</v>
      </c>
      <c r="E25" s="1" t="s">
        <v>140</v>
      </c>
      <c r="F25" s="1">
        <f>QUARTILE(A6:A155,3)</f>
        <v>68</v>
      </c>
      <c r="H25" s="1" t="s">
        <v>216</v>
      </c>
    </row>
    <row r="26" spans="1:10" x14ac:dyDescent="0.4">
      <c r="A26" s="1">
        <v>2</v>
      </c>
      <c r="E26" s="1" t="s">
        <v>213</v>
      </c>
      <c r="F26" s="1">
        <f>F25-F24</f>
        <v>59</v>
      </c>
    </row>
    <row r="27" spans="1:10" x14ac:dyDescent="0.4">
      <c r="A27" s="1">
        <v>2</v>
      </c>
      <c r="E27" s="1" t="s">
        <v>214</v>
      </c>
      <c r="F27" s="1">
        <f>F25+1.5*F26</f>
        <v>156.5</v>
      </c>
      <c r="H27" s="1" t="s">
        <v>217</v>
      </c>
    </row>
    <row r="28" spans="1:10" x14ac:dyDescent="0.4">
      <c r="A28" s="1">
        <v>2</v>
      </c>
      <c r="E28" s="1" t="s">
        <v>39</v>
      </c>
      <c r="F28" s="1">
        <f>F24-1.5*F26</f>
        <v>-79.5</v>
      </c>
      <c r="H28" s="1" t="s">
        <v>218</v>
      </c>
    </row>
    <row r="29" spans="1:10" x14ac:dyDescent="0.4">
      <c r="A29" s="1">
        <v>2</v>
      </c>
      <c r="E29" s="1" t="s">
        <v>152</v>
      </c>
      <c r="F29" s="1">
        <v>183</v>
      </c>
    </row>
    <row r="30" spans="1:10" x14ac:dyDescent="0.4">
      <c r="A30" s="1">
        <v>3</v>
      </c>
      <c r="E30" s="1" t="s">
        <v>231</v>
      </c>
      <c r="F30" s="1">
        <f>STDEV(A6:A155)</f>
        <v>40.684773905485727</v>
      </c>
    </row>
    <row r="31" spans="1:10" x14ac:dyDescent="0.4">
      <c r="A31" s="1">
        <v>3</v>
      </c>
    </row>
    <row r="32" spans="1:10" x14ac:dyDescent="0.4">
      <c r="A32" s="1">
        <v>3</v>
      </c>
      <c r="F32" s="1" t="s">
        <v>228</v>
      </c>
      <c r="G32" s="85">
        <f>F21-F30</f>
        <v>2.7285594278476069</v>
      </c>
      <c r="H32" s="85">
        <f>F21+F30</f>
        <v>84.098107238819068</v>
      </c>
      <c r="J32" s="1">
        <f>(98/150)*100</f>
        <v>65.333333333333329</v>
      </c>
    </row>
    <row r="33" spans="1:10" x14ac:dyDescent="0.4">
      <c r="A33" s="1">
        <v>4</v>
      </c>
      <c r="F33" s="1" t="s">
        <v>229</v>
      </c>
      <c r="G33" s="85">
        <f>F21-2*F30</f>
        <v>-37.95621447763812</v>
      </c>
      <c r="H33" s="85">
        <f>F21+2*F30</f>
        <v>124.78288114430478</v>
      </c>
      <c r="J33" s="1">
        <f>(144/150)*100</f>
        <v>96</v>
      </c>
    </row>
    <row r="34" spans="1:10" x14ac:dyDescent="0.4">
      <c r="A34" s="1">
        <v>5</v>
      </c>
      <c r="F34" s="1" t="s">
        <v>230</v>
      </c>
      <c r="G34" s="85">
        <f>F21-3*F30</f>
        <v>-78.64098838312384</v>
      </c>
      <c r="H34" s="85">
        <f>F21+3*F30</f>
        <v>165.46765504979052</v>
      </c>
      <c r="J34" s="1">
        <f>(149/150)*100</f>
        <v>99.333333333333329</v>
      </c>
    </row>
    <row r="35" spans="1:10" x14ac:dyDescent="0.4">
      <c r="A35" s="1">
        <v>6</v>
      </c>
      <c r="B35" s="1" t="s">
        <v>189</v>
      </c>
      <c r="C35" s="1" t="s">
        <v>190</v>
      </c>
    </row>
    <row r="36" spans="1:10" x14ac:dyDescent="0.4">
      <c r="A36" s="1">
        <v>6</v>
      </c>
      <c r="H36" s="80"/>
    </row>
    <row r="37" spans="1:10" x14ac:dyDescent="0.4">
      <c r="A37" s="1">
        <v>7</v>
      </c>
      <c r="H37" s="80"/>
    </row>
    <row r="38" spans="1:10" x14ac:dyDescent="0.4">
      <c r="A38" s="1">
        <v>7</v>
      </c>
      <c r="H38" s="80"/>
    </row>
    <row r="39" spans="1:10" x14ac:dyDescent="0.4">
      <c r="A39" s="1">
        <v>8</v>
      </c>
      <c r="H39" s="80"/>
    </row>
    <row r="40" spans="1:10" x14ac:dyDescent="0.4">
      <c r="A40" s="1">
        <v>8</v>
      </c>
      <c r="H40" s="80"/>
    </row>
    <row r="41" spans="1:10" x14ac:dyDescent="0.4">
      <c r="A41" s="1">
        <v>8</v>
      </c>
      <c r="H41" s="80"/>
    </row>
    <row r="42" spans="1:10" x14ac:dyDescent="0.4">
      <c r="A42" s="1">
        <v>9</v>
      </c>
      <c r="H42" s="80"/>
    </row>
    <row r="43" spans="1:10" x14ac:dyDescent="0.4">
      <c r="A43" s="1">
        <v>9</v>
      </c>
      <c r="B43" s="1" t="s">
        <v>32</v>
      </c>
      <c r="C43" s="1" t="s">
        <v>183</v>
      </c>
      <c r="H43" s="80"/>
    </row>
    <row r="44" spans="1:10" x14ac:dyDescent="0.4">
      <c r="A44" s="1">
        <v>9</v>
      </c>
      <c r="H44" s="80"/>
    </row>
    <row r="45" spans="1:10" x14ac:dyDescent="0.4">
      <c r="A45" s="1">
        <v>9</v>
      </c>
      <c r="H45" s="80"/>
    </row>
    <row r="46" spans="1:10" x14ac:dyDescent="0.4">
      <c r="A46" s="1">
        <v>10</v>
      </c>
      <c r="H46" s="80"/>
    </row>
    <row r="47" spans="1:10" x14ac:dyDescent="0.4">
      <c r="A47" s="1">
        <v>10</v>
      </c>
      <c r="H47" s="80"/>
    </row>
    <row r="48" spans="1:10" x14ac:dyDescent="0.4">
      <c r="A48" s="1">
        <v>11</v>
      </c>
      <c r="H48" s="80"/>
    </row>
    <row r="49" spans="1:8" x14ac:dyDescent="0.4">
      <c r="A49" s="1">
        <v>11</v>
      </c>
      <c r="H49" s="80"/>
    </row>
    <row r="50" spans="1:8" x14ac:dyDescent="0.4">
      <c r="A50" s="1">
        <v>12</v>
      </c>
      <c r="H50" s="80"/>
    </row>
    <row r="51" spans="1:8" x14ac:dyDescent="0.4">
      <c r="A51" s="1">
        <v>12</v>
      </c>
      <c r="H51" s="80"/>
    </row>
    <row r="52" spans="1:8" x14ac:dyDescent="0.4">
      <c r="A52" s="1">
        <v>13</v>
      </c>
      <c r="H52" s="80"/>
    </row>
    <row r="53" spans="1:8" x14ac:dyDescent="0.4">
      <c r="A53" s="1">
        <v>14</v>
      </c>
      <c r="H53" s="80"/>
    </row>
    <row r="54" spans="1:8" x14ac:dyDescent="0.4">
      <c r="A54" s="1">
        <v>15</v>
      </c>
      <c r="H54" s="80"/>
    </row>
    <row r="55" spans="1:8" x14ac:dyDescent="0.4">
      <c r="A55" s="1">
        <v>15</v>
      </c>
      <c r="H55" s="80"/>
    </row>
    <row r="56" spans="1:8" x14ac:dyDescent="0.4">
      <c r="A56" s="1">
        <v>16</v>
      </c>
      <c r="H56" s="80"/>
    </row>
    <row r="57" spans="1:8" x14ac:dyDescent="0.4">
      <c r="A57" s="1">
        <v>16</v>
      </c>
      <c r="H57" s="80"/>
    </row>
    <row r="58" spans="1:8" x14ac:dyDescent="0.4">
      <c r="A58" s="1">
        <v>18</v>
      </c>
      <c r="H58" s="80"/>
    </row>
    <row r="59" spans="1:8" x14ac:dyDescent="0.4">
      <c r="A59" s="1">
        <v>18</v>
      </c>
      <c r="H59" s="80"/>
    </row>
    <row r="60" spans="1:8" x14ac:dyDescent="0.4">
      <c r="A60" s="1">
        <v>18</v>
      </c>
      <c r="H60" s="80"/>
    </row>
    <row r="61" spans="1:8" x14ac:dyDescent="0.4">
      <c r="A61" s="1">
        <v>19</v>
      </c>
      <c r="H61" s="80"/>
    </row>
    <row r="62" spans="1:8" x14ac:dyDescent="0.4">
      <c r="A62" s="1">
        <v>20</v>
      </c>
      <c r="H62" s="80"/>
    </row>
    <row r="63" spans="1:8" x14ac:dyDescent="0.4">
      <c r="A63" s="1">
        <v>21</v>
      </c>
      <c r="H63" s="80"/>
    </row>
    <row r="64" spans="1:8" x14ac:dyDescent="0.4">
      <c r="A64" s="1">
        <v>22</v>
      </c>
      <c r="H64" s="80"/>
    </row>
    <row r="65" spans="1:8" x14ac:dyDescent="0.4">
      <c r="A65" s="1">
        <v>22</v>
      </c>
      <c r="H65" s="80"/>
    </row>
    <row r="66" spans="1:8" x14ac:dyDescent="0.4">
      <c r="A66" s="1">
        <v>22</v>
      </c>
      <c r="H66" s="80"/>
    </row>
    <row r="67" spans="1:8" x14ac:dyDescent="0.4">
      <c r="A67" s="1">
        <v>22</v>
      </c>
      <c r="H67" s="80"/>
    </row>
    <row r="68" spans="1:8" x14ac:dyDescent="0.4">
      <c r="A68" s="1">
        <v>22</v>
      </c>
      <c r="H68" s="80"/>
    </row>
    <row r="69" spans="1:8" x14ac:dyDescent="0.4">
      <c r="A69" s="1">
        <v>23</v>
      </c>
      <c r="H69" s="80"/>
    </row>
    <row r="70" spans="1:8" x14ac:dyDescent="0.4">
      <c r="A70" s="1">
        <v>23</v>
      </c>
      <c r="H70" s="80"/>
    </row>
    <row r="71" spans="1:8" x14ac:dyDescent="0.4">
      <c r="A71" s="1">
        <v>23</v>
      </c>
      <c r="H71" s="80"/>
    </row>
    <row r="72" spans="1:8" x14ac:dyDescent="0.4">
      <c r="A72" s="1">
        <v>24</v>
      </c>
      <c r="H72" s="80"/>
    </row>
    <row r="73" spans="1:8" x14ac:dyDescent="0.4">
      <c r="A73" s="1">
        <v>25</v>
      </c>
      <c r="H73" s="80"/>
    </row>
    <row r="74" spans="1:8" x14ac:dyDescent="0.4">
      <c r="A74" s="1">
        <v>26</v>
      </c>
      <c r="H74" s="80"/>
    </row>
    <row r="75" spans="1:8" x14ac:dyDescent="0.4">
      <c r="A75" s="1">
        <v>27</v>
      </c>
      <c r="H75" s="80"/>
    </row>
    <row r="76" spans="1:8" x14ac:dyDescent="0.4">
      <c r="A76" s="1">
        <v>28</v>
      </c>
      <c r="H76" s="80"/>
    </row>
    <row r="77" spans="1:8" x14ac:dyDescent="0.4">
      <c r="A77" s="1">
        <v>28</v>
      </c>
      <c r="H77" s="80"/>
    </row>
    <row r="78" spans="1:8" x14ac:dyDescent="0.4">
      <c r="A78" s="1">
        <v>30</v>
      </c>
      <c r="H78" s="80"/>
    </row>
    <row r="79" spans="1:8" x14ac:dyDescent="0.4">
      <c r="A79" s="1">
        <v>31</v>
      </c>
      <c r="H79" s="80"/>
    </row>
    <row r="80" spans="1:8" x14ac:dyDescent="0.4">
      <c r="A80" s="1">
        <v>31</v>
      </c>
      <c r="B80" s="1" t="s">
        <v>185</v>
      </c>
      <c r="C80" s="1" t="s">
        <v>186</v>
      </c>
      <c r="D80" s="1" t="s">
        <v>33</v>
      </c>
      <c r="H80" s="80"/>
    </row>
    <row r="81" spans="1:8" x14ac:dyDescent="0.4">
      <c r="A81" s="1">
        <v>31</v>
      </c>
      <c r="H81" s="80"/>
    </row>
    <row r="82" spans="1:8" x14ac:dyDescent="0.4">
      <c r="A82" s="1">
        <v>31</v>
      </c>
      <c r="H82" s="80"/>
    </row>
    <row r="83" spans="1:8" x14ac:dyDescent="0.4">
      <c r="A83" s="1">
        <v>31</v>
      </c>
      <c r="H83" s="80"/>
    </row>
    <row r="84" spans="1:8" x14ac:dyDescent="0.4">
      <c r="A84" s="1">
        <v>31</v>
      </c>
      <c r="H84" s="80"/>
    </row>
    <row r="85" spans="1:8" x14ac:dyDescent="0.4">
      <c r="A85" s="1">
        <v>33</v>
      </c>
      <c r="H85" s="80"/>
    </row>
    <row r="86" spans="1:8" x14ac:dyDescent="0.4">
      <c r="A86" s="1">
        <v>33</v>
      </c>
      <c r="H86" s="80"/>
    </row>
    <row r="87" spans="1:8" x14ac:dyDescent="0.4">
      <c r="A87" s="1">
        <v>34</v>
      </c>
      <c r="H87" s="80"/>
    </row>
    <row r="88" spans="1:8" x14ac:dyDescent="0.4">
      <c r="A88" s="1">
        <v>35</v>
      </c>
      <c r="H88" s="80"/>
    </row>
    <row r="89" spans="1:8" x14ac:dyDescent="0.4">
      <c r="A89" s="1">
        <v>35</v>
      </c>
      <c r="H89" s="80"/>
    </row>
    <row r="90" spans="1:8" x14ac:dyDescent="0.4">
      <c r="A90" s="1">
        <v>37</v>
      </c>
      <c r="H90" s="80"/>
    </row>
    <row r="91" spans="1:8" x14ac:dyDescent="0.4">
      <c r="A91" s="1">
        <v>37</v>
      </c>
      <c r="H91" s="80"/>
    </row>
    <row r="92" spans="1:8" x14ac:dyDescent="0.4">
      <c r="A92" s="1">
        <v>37</v>
      </c>
      <c r="H92" s="80"/>
    </row>
    <row r="93" spans="1:8" x14ac:dyDescent="0.4">
      <c r="A93" s="1">
        <v>38</v>
      </c>
      <c r="H93" s="80"/>
    </row>
    <row r="94" spans="1:8" x14ac:dyDescent="0.4">
      <c r="A94" s="1">
        <v>38</v>
      </c>
      <c r="H94" s="80"/>
    </row>
    <row r="95" spans="1:8" x14ac:dyDescent="0.4">
      <c r="A95" s="1">
        <v>40</v>
      </c>
      <c r="H95" s="80"/>
    </row>
    <row r="96" spans="1:8" x14ac:dyDescent="0.4">
      <c r="A96" s="1">
        <v>43</v>
      </c>
      <c r="H96" s="80"/>
    </row>
    <row r="97" spans="1:8" x14ac:dyDescent="0.4">
      <c r="A97" s="1">
        <v>44</v>
      </c>
      <c r="H97" s="80"/>
    </row>
    <row r="98" spans="1:8" x14ac:dyDescent="0.4">
      <c r="A98" s="1">
        <v>46</v>
      </c>
      <c r="H98" s="80"/>
    </row>
    <row r="99" spans="1:8" x14ac:dyDescent="0.4">
      <c r="A99" s="1">
        <v>48</v>
      </c>
      <c r="H99" s="80"/>
    </row>
    <row r="100" spans="1:8" x14ac:dyDescent="0.4">
      <c r="A100" s="1">
        <v>49</v>
      </c>
      <c r="H100" s="80"/>
    </row>
    <row r="101" spans="1:8" x14ac:dyDescent="0.4">
      <c r="A101" s="1">
        <v>53</v>
      </c>
      <c r="H101" s="80"/>
    </row>
    <row r="102" spans="1:8" x14ac:dyDescent="0.4">
      <c r="A102" s="1">
        <v>54</v>
      </c>
      <c r="H102" s="80"/>
    </row>
    <row r="103" spans="1:8" x14ac:dyDescent="0.4">
      <c r="A103" s="1">
        <v>54</v>
      </c>
      <c r="H103" s="80"/>
    </row>
    <row r="104" spans="1:8" x14ac:dyDescent="0.4">
      <c r="A104" s="1">
        <v>54</v>
      </c>
      <c r="H104" s="80"/>
    </row>
    <row r="105" spans="1:8" x14ac:dyDescent="0.4">
      <c r="A105" s="1">
        <v>55</v>
      </c>
      <c r="H105" s="80"/>
    </row>
    <row r="106" spans="1:8" x14ac:dyDescent="0.4">
      <c r="A106" s="1">
        <v>57</v>
      </c>
      <c r="H106" s="80"/>
    </row>
    <row r="107" spans="1:8" x14ac:dyDescent="0.4">
      <c r="A107" s="1">
        <v>58</v>
      </c>
      <c r="H107" s="80"/>
    </row>
    <row r="108" spans="1:8" x14ac:dyDescent="0.4">
      <c r="A108" s="1">
        <v>59</v>
      </c>
      <c r="H108" s="80"/>
    </row>
    <row r="109" spans="1:8" x14ac:dyDescent="0.4">
      <c r="A109" s="1">
        <v>61</v>
      </c>
      <c r="H109" s="80"/>
    </row>
    <row r="110" spans="1:8" x14ac:dyDescent="0.4">
      <c r="A110" s="1">
        <v>62</v>
      </c>
      <c r="H110" s="80"/>
    </row>
    <row r="111" spans="1:8" x14ac:dyDescent="0.4">
      <c r="A111" s="1">
        <v>63</v>
      </c>
      <c r="H111" s="80"/>
    </row>
    <row r="112" spans="1:8" x14ac:dyDescent="0.4">
      <c r="A112" s="1">
        <v>64</v>
      </c>
      <c r="H112" s="80"/>
    </row>
    <row r="113" spans="1:8" x14ac:dyDescent="0.4">
      <c r="A113" s="1">
        <v>66</v>
      </c>
      <c r="H113" s="80"/>
    </row>
    <row r="114" spans="1:8" x14ac:dyDescent="0.4">
      <c r="A114" s="1">
        <v>66</v>
      </c>
      <c r="H114" s="80"/>
    </row>
    <row r="115" spans="1:8" x14ac:dyDescent="0.4">
      <c r="A115" s="1">
        <v>66</v>
      </c>
      <c r="H115" s="80"/>
    </row>
    <row r="116" spans="1:8" x14ac:dyDescent="0.4">
      <c r="A116" s="1">
        <v>68</v>
      </c>
      <c r="H116" s="80"/>
    </row>
    <row r="117" spans="1:8" x14ac:dyDescent="0.4">
      <c r="A117" s="1">
        <v>68</v>
      </c>
      <c r="H117" s="80"/>
    </row>
    <row r="118" spans="1:8" x14ac:dyDescent="0.4">
      <c r="A118" s="1">
        <v>68</v>
      </c>
      <c r="B118" s="1" t="s">
        <v>34</v>
      </c>
      <c r="C118" s="1" t="s">
        <v>187</v>
      </c>
      <c r="H118" s="80"/>
    </row>
    <row r="119" spans="1:8" x14ac:dyDescent="0.4">
      <c r="A119" s="1">
        <v>71</v>
      </c>
      <c r="H119" s="80"/>
    </row>
    <row r="120" spans="1:8" x14ac:dyDescent="0.4">
      <c r="A120" s="1">
        <v>77</v>
      </c>
      <c r="H120" s="80"/>
    </row>
    <row r="121" spans="1:8" x14ac:dyDescent="0.4">
      <c r="A121" s="1">
        <v>77</v>
      </c>
      <c r="H121" s="80"/>
    </row>
    <row r="122" spans="1:8" x14ac:dyDescent="0.4">
      <c r="A122" s="1">
        <v>78</v>
      </c>
      <c r="H122" s="80"/>
    </row>
    <row r="123" spans="1:8" x14ac:dyDescent="0.4">
      <c r="A123" s="1">
        <v>79</v>
      </c>
      <c r="H123" s="80"/>
    </row>
    <row r="124" spans="1:8" x14ac:dyDescent="0.4">
      <c r="A124" s="1">
        <v>80</v>
      </c>
      <c r="H124" s="80"/>
    </row>
    <row r="125" spans="1:8" x14ac:dyDescent="0.4">
      <c r="A125" s="1">
        <v>81</v>
      </c>
      <c r="H125" s="80"/>
    </row>
    <row r="126" spans="1:8" x14ac:dyDescent="0.4">
      <c r="A126" s="1">
        <v>82</v>
      </c>
      <c r="H126" s="80"/>
    </row>
    <row r="127" spans="1:8" x14ac:dyDescent="0.4">
      <c r="A127" s="1">
        <v>82</v>
      </c>
      <c r="H127" s="80"/>
    </row>
    <row r="128" spans="1:8" x14ac:dyDescent="0.4">
      <c r="A128" s="1">
        <v>86</v>
      </c>
      <c r="H128" s="80"/>
    </row>
    <row r="129" spans="1:8" x14ac:dyDescent="0.4">
      <c r="A129" s="1">
        <v>86</v>
      </c>
      <c r="H129" s="80"/>
    </row>
    <row r="130" spans="1:8" x14ac:dyDescent="0.4">
      <c r="A130" s="1">
        <v>87</v>
      </c>
      <c r="H130" s="80"/>
    </row>
    <row r="131" spans="1:8" x14ac:dyDescent="0.4">
      <c r="A131" s="1">
        <v>91</v>
      </c>
      <c r="H131" s="80"/>
    </row>
    <row r="132" spans="1:8" x14ac:dyDescent="0.4">
      <c r="A132" s="1">
        <v>94</v>
      </c>
      <c r="H132" s="80"/>
    </row>
    <row r="133" spans="1:8" x14ac:dyDescent="0.4">
      <c r="A133" s="1">
        <v>99</v>
      </c>
      <c r="H133" s="80"/>
    </row>
    <row r="134" spans="1:8" x14ac:dyDescent="0.4">
      <c r="A134" s="1">
        <v>100</v>
      </c>
      <c r="H134" s="80"/>
    </row>
    <row r="135" spans="1:8" x14ac:dyDescent="0.4">
      <c r="A135" s="1">
        <v>100</v>
      </c>
      <c r="H135" s="80"/>
    </row>
    <row r="136" spans="1:8" x14ac:dyDescent="0.4">
      <c r="A136" s="1">
        <v>102</v>
      </c>
      <c r="H136" s="80"/>
    </row>
    <row r="137" spans="1:8" x14ac:dyDescent="0.4">
      <c r="A137" s="1">
        <v>102</v>
      </c>
      <c r="H137" s="80"/>
    </row>
    <row r="138" spans="1:8" x14ac:dyDescent="0.4">
      <c r="A138" s="1">
        <v>105</v>
      </c>
      <c r="H138" s="80"/>
    </row>
    <row r="139" spans="1:8" x14ac:dyDescent="0.4">
      <c r="A139" s="1">
        <v>106</v>
      </c>
      <c r="H139" s="80"/>
    </row>
    <row r="140" spans="1:8" x14ac:dyDescent="0.4">
      <c r="A140" s="1">
        <v>107</v>
      </c>
      <c r="H140" s="80"/>
    </row>
    <row r="141" spans="1:8" x14ac:dyDescent="0.4">
      <c r="A141" s="1">
        <v>107</v>
      </c>
      <c r="H141" s="80"/>
    </row>
    <row r="142" spans="1:8" x14ac:dyDescent="0.4">
      <c r="A142" s="1">
        <v>107</v>
      </c>
      <c r="H142" s="80"/>
    </row>
    <row r="143" spans="1:8" x14ac:dyDescent="0.4">
      <c r="A143" s="1">
        <v>108</v>
      </c>
      <c r="H143" s="80"/>
    </row>
    <row r="144" spans="1:8" x14ac:dyDescent="0.4">
      <c r="A144" s="1">
        <v>112</v>
      </c>
      <c r="H144" s="80"/>
    </row>
    <row r="145" spans="1:8" x14ac:dyDescent="0.4">
      <c r="A145" s="1">
        <v>115</v>
      </c>
      <c r="H145" s="80"/>
    </row>
    <row r="146" spans="1:8" x14ac:dyDescent="0.4">
      <c r="A146" s="1">
        <v>115</v>
      </c>
      <c r="H146" s="80"/>
    </row>
    <row r="147" spans="1:8" x14ac:dyDescent="0.4">
      <c r="A147" s="1">
        <v>117</v>
      </c>
      <c r="H147" s="80"/>
    </row>
    <row r="148" spans="1:8" x14ac:dyDescent="0.4">
      <c r="A148" s="1">
        <v>118</v>
      </c>
      <c r="H148" s="80"/>
    </row>
    <row r="149" spans="1:8" x14ac:dyDescent="0.4">
      <c r="A149" s="1">
        <v>123</v>
      </c>
      <c r="H149" s="80"/>
    </row>
    <row r="150" spans="1:8" x14ac:dyDescent="0.4">
      <c r="A150" s="1">
        <v>127</v>
      </c>
      <c r="H150" s="80"/>
    </row>
    <row r="151" spans="1:8" x14ac:dyDescent="0.4">
      <c r="A151" s="1">
        <v>128</v>
      </c>
      <c r="H151" s="80"/>
    </row>
    <row r="152" spans="1:8" x14ac:dyDescent="0.4">
      <c r="A152" s="1">
        <v>133</v>
      </c>
      <c r="H152" s="80"/>
    </row>
    <row r="153" spans="1:8" x14ac:dyDescent="0.4">
      <c r="A153" s="1">
        <v>136</v>
      </c>
      <c r="H153" s="80"/>
    </row>
    <row r="154" spans="1:8" x14ac:dyDescent="0.4">
      <c r="A154" s="1">
        <v>139</v>
      </c>
      <c r="H154" s="80"/>
    </row>
    <row r="155" spans="1:8" x14ac:dyDescent="0.4">
      <c r="A155" s="1">
        <v>183</v>
      </c>
      <c r="H155" s="80"/>
    </row>
    <row r="156" spans="1:8" x14ac:dyDescent="0.4">
      <c r="H156" s="80"/>
    </row>
    <row r="157" spans="1:8" x14ac:dyDescent="0.4">
      <c r="H157" s="80"/>
    </row>
    <row r="158" spans="1:8" x14ac:dyDescent="0.4">
      <c r="H158" s="80"/>
    </row>
    <row r="159" spans="1:8" x14ac:dyDescent="0.4">
      <c r="H159" s="80"/>
    </row>
    <row r="160" spans="1:8" x14ac:dyDescent="0.4">
      <c r="H160" s="80"/>
    </row>
    <row r="161" spans="8:8" x14ac:dyDescent="0.4">
      <c r="H161" s="80"/>
    </row>
    <row r="162" spans="8:8" x14ac:dyDescent="0.4">
      <c r="H162" s="80"/>
    </row>
    <row r="163" spans="8:8" x14ac:dyDescent="0.4">
      <c r="H163" s="80"/>
    </row>
    <row r="164" spans="8:8" x14ac:dyDescent="0.4">
      <c r="H164" s="80"/>
    </row>
    <row r="165" spans="8:8" x14ac:dyDescent="0.4">
      <c r="H165" s="80"/>
    </row>
    <row r="166" spans="8:8" x14ac:dyDescent="0.4">
      <c r="H166" s="80"/>
    </row>
    <row r="167" spans="8:8" x14ac:dyDescent="0.4">
      <c r="H167" s="80"/>
    </row>
    <row r="168" spans="8:8" x14ac:dyDescent="0.4">
      <c r="H168" s="80"/>
    </row>
    <row r="169" spans="8:8" x14ac:dyDescent="0.4">
      <c r="H169" s="80"/>
    </row>
    <row r="170" spans="8:8" x14ac:dyDescent="0.4">
      <c r="H170" s="80"/>
    </row>
    <row r="171" spans="8:8" x14ac:dyDescent="0.4">
      <c r="H171" s="80"/>
    </row>
    <row r="172" spans="8:8" x14ac:dyDescent="0.4">
      <c r="H172" s="80"/>
    </row>
    <row r="173" spans="8:8" x14ac:dyDescent="0.4">
      <c r="H173" s="80"/>
    </row>
    <row r="174" spans="8:8" x14ac:dyDescent="0.4">
      <c r="H174" s="80"/>
    </row>
    <row r="175" spans="8:8" x14ac:dyDescent="0.4">
      <c r="H175" s="80"/>
    </row>
    <row r="176" spans="8:8" x14ac:dyDescent="0.4">
      <c r="H176" s="80"/>
    </row>
    <row r="177" spans="8:8" x14ac:dyDescent="0.4">
      <c r="H177" s="80"/>
    </row>
    <row r="178" spans="8:8" x14ac:dyDescent="0.4">
      <c r="H178" s="80"/>
    </row>
    <row r="179" spans="8:8" x14ac:dyDescent="0.4">
      <c r="H179" s="80"/>
    </row>
    <row r="180" spans="8:8" x14ac:dyDescent="0.4">
      <c r="H180" s="80"/>
    </row>
    <row r="181" spans="8:8" x14ac:dyDescent="0.4">
      <c r="H181" s="80"/>
    </row>
    <row r="182" spans="8:8" x14ac:dyDescent="0.4">
      <c r="H182" s="80"/>
    </row>
    <row r="183" spans="8:8" x14ac:dyDescent="0.4">
      <c r="H183" s="80"/>
    </row>
    <row r="184" spans="8:8" x14ac:dyDescent="0.4">
      <c r="H184" s="80"/>
    </row>
    <row r="185" spans="8:8" x14ac:dyDescent="0.4">
      <c r="H185" s="80"/>
    </row>
  </sheetData>
  <sortState xmlns:xlrd2="http://schemas.microsoft.com/office/spreadsheetml/2017/richdata2" ref="H36:H185">
    <sortCondition ref="H36"/>
  </sortState>
  <mergeCells count="4">
    <mergeCell ref="A1:B1"/>
    <mergeCell ref="E15:E17"/>
    <mergeCell ref="C15:C17"/>
    <mergeCell ref="D15:D1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61"/>
  <sheetViews>
    <sheetView topLeftCell="A54" zoomScale="90" zoomScaleNormal="90" workbookViewId="0">
      <selection activeCell="G50" sqref="G50:H70"/>
    </sheetView>
  </sheetViews>
  <sheetFormatPr defaultColWidth="8.88671875" defaultRowHeight="19.8" x14ac:dyDescent="0.4"/>
  <cols>
    <col min="1" max="1" width="16.33203125" style="11" bestFit="1" customWidth="1"/>
    <col min="2" max="5" width="8.88671875" style="11"/>
    <col min="6" max="6" width="16.88671875" style="11" customWidth="1"/>
    <col min="7" max="13" width="8.88671875" style="11"/>
    <col min="14" max="14" width="9.6640625" style="11" bestFit="1" customWidth="1"/>
    <col min="15" max="16384" width="8.88671875" style="11"/>
  </cols>
  <sheetData>
    <row r="1" spans="1:4" x14ac:dyDescent="0.4">
      <c r="A1" s="204" t="s">
        <v>63</v>
      </c>
      <c r="B1" s="204"/>
      <c r="C1" s="204"/>
      <c r="D1" s="204"/>
    </row>
    <row r="4" spans="1:4" x14ac:dyDescent="0.4">
      <c r="A4" s="11" t="s">
        <v>68</v>
      </c>
    </row>
    <row r="5" spans="1:4" x14ac:dyDescent="0.4">
      <c r="A5" s="11">
        <v>600</v>
      </c>
      <c r="B5" s="11">
        <f>A5-$A$11</f>
        <v>206</v>
      </c>
      <c r="C5" s="11">
        <f>B5^2</f>
        <v>42436</v>
      </c>
    </row>
    <row r="6" spans="1:4" x14ac:dyDescent="0.4">
      <c r="A6" s="11">
        <v>470</v>
      </c>
      <c r="B6" s="47">
        <f>A6-$A$11</f>
        <v>76</v>
      </c>
      <c r="C6" s="47">
        <f>B6^2</f>
        <v>5776</v>
      </c>
    </row>
    <row r="7" spans="1:4" x14ac:dyDescent="0.4">
      <c r="A7" s="11">
        <v>170</v>
      </c>
      <c r="B7" s="47">
        <f>A7-$A$11</f>
        <v>-224</v>
      </c>
      <c r="C7" s="47">
        <f>B7^2</f>
        <v>50176</v>
      </c>
    </row>
    <row r="8" spans="1:4" x14ac:dyDescent="0.4">
      <c r="A8" s="11">
        <v>430</v>
      </c>
      <c r="B8" s="47">
        <f>A8-$A$11</f>
        <v>36</v>
      </c>
      <c r="C8" s="47">
        <f>B8^2</f>
        <v>1296</v>
      </c>
    </row>
    <row r="9" spans="1:4" x14ac:dyDescent="0.4">
      <c r="A9" s="11">
        <v>300</v>
      </c>
      <c r="B9" s="47">
        <f>A9-$A$11</f>
        <v>-94</v>
      </c>
      <c r="C9" s="47">
        <f>B9^2</f>
        <v>8836</v>
      </c>
    </row>
    <row r="10" spans="1:4" x14ac:dyDescent="0.4">
      <c r="C10" s="11">
        <f>SUM(C5:C9)/5</f>
        <v>21704</v>
      </c>
    </row>
    <row r="11" spans="1:4" x14ac:dyDescent="0.4">
      <c r="A11" s="11">
        <f>AVERAGE(A5:A9)</f>
        <v>394</v>
      </c>
      <c r="C11" s="11">
        <f>SQRT(C10)</f>
        <v>147.32277488562318</v>
      </c>
    </row>
    <row r="18" spans="1:3" x14ac:dyDescent="0.4">
      <c r="A18" s="1">
        <v>50</v>
      </c>
      <c r="B18" s="11">
        <f>A18-$B$37</f>
        <v>12.777777777777779</v>
      </c>
      <c r="C18" s="11">
        <f>B18^2</f>
        <v>163.27160493827162</v>
      </c>
    </row>
    <row r="19" spans="1:3" x14ac:dyDescent="0.4">
      <c r="A19" s="1">
        <v>36</v>
      </c>
      <c r="B19" s="73">
        <f t="shared" ref="B19:B34" si="0">A19-$B$37</f>
        <v>-1.2222222222222214</v>
      </c>
      <c r="C19" s="73">
        <f t="shared" ref="C19:C35" si="1">B19^2</f>
        <v>1.4938271604938251</v>
      </c>
    </row>
    <row r="20" spans="1:3" x14ac:dyDescent="0.4">
      <c r="A20" s="1">
        <v>45</v>
      </c>
      <c r="B20" s="73">
        <f t="shared" si="0"/>
        <v>7.7777777777777786</v>
      </c>
      <c r="C20" s="73">
        <f t="shared" si="1"/>
        <v>60.493827160493836</v>
      </c>
    </row>
    <row r="21" spans="1:3" x14ac:dyDescent="0.4">
      <c r="A21" s="1">
        <v>40</v>
      </c>
      <c r="B21" s="73">
        <f t="shared" si="0"/>
        <v>2.7777777777777786</v>
      </c>
      <c r="C21" s="73">
        <f t="shared" si="1"/>
        <v>7.7160493827160535</v>
      </c>
    </row>
    <row r="22" spans="1:3" x14ac:dyDescent="0.4">
      <c r="A22" s="1">
        <v>35</v>
      </c>
      <c r="B22" s="73">
        <f t="shared" si="0"/>
        <v>-2.2222222222222214</v>
      </c>
      <c r="C22" s="73">
        <f t="shared" si="1"/>
        <v>4.9382716049382678</v>
      </c>
    </row>
    <row r="23" spans="1:3" x14ac:dyDescent="0.4">
      <c r="A23" s="1">
        <v>40</v>
      </c>
      <c r="B23" s="73">
        <f t="shared" si="0"/>
        <v>2.7777777777777786</v>
      </c>
      <c r="C23" s="73">
        <f t="shared" si="1"/>
        <v>7.7160493827160535</v>
      </c>
    </row>
    <row r="24" spans="1:3" x14ac:dyDescent="0.4">
      <c r="A24" s="1">
        <v>35</v>
      </c>
      <c r="B24" s="73">
        <f t="shared" si="0"/>
        <v>-2.2222222222222214</v>
      </c>
      <c r="C24" s="73">
        <f t="shared" si="1"/>
        <v>4.9382716049382678</v>
      </c>
    </row>
    <row r="25" spans="1:3" x14ac:dyDescent="0.4">
      <c r="A25" s="1">
        <v>29</v>
      </c>
      <c r="B25" s="73">
        <f t="shared" si="0"/>
        <v>-8.2222222222222214</v>
      </c>
      <c r="C25" s="73">
        <f t="shared" si="1"/>
        <v>67.604938271604922</v>
      </c>
    </row>
    <row r="26" spans="1:3" x14ac:dyDescent="0.4">
      <c r="A26" s="1">
        <v>29</v>
      </c>
      <c r="B26" s="73">
        <f t="shared" si="0"/>
        <v>-8.2222222222222214</v>
      </c>
      <c r="C26" s="73">
        <f t="shared" si="1"/>
        <v>67.604938271604922</v>
      </c>
    </row>
    <row r="27" spans="1:3" x14ac:dyDescent="0.4">
      <c r="A27" s="1">
        <v>50</v>
      </c>
      <c r="B27" s="73">
        <f t="shared" si="0"/>
        <v>12.777777777777779</v>
      </c>
      <c r="C27" s="73">
        <f t="shared" si="1"/>
        <v>163.27160493827162</v>
      </c>
    </row>
    <row r="28" spans="1:3" x14ac:dyDescent="0.4">
      <c r="A28" s="1">
        <v>39</v>
      </c>
      <c r="B28" s="73">
        <f t="shared" si="0"/>
        <v>1.7777777777777786</v>
      </c>
      <c r="C28" s="73">
        <f t="shared" si="1"/>
        <v>3.1604938271604968</v>
      </c>
    </row>
    <row r="29" spans="1:3" x14ac:dyDescent="0.4">
      <c r="A29" s="1">
        <v>31</v>
      </c>
      <c r="B29" s="73">
        <f t="shared" si="0"/>
        <v>-6.2222222222222214</v>
      </c>
      <c r="C29" s="73">
        <f t="shared" si="1"/>
        <v>38.716049382716037</v>
      </c>
    </row>
    <row r="30" spans="1:3" x14ac:dyDescent="0.4">
      <c r="A30" s="1">
        <v>26</v>
      </c>
      <c r="B30" s="73">
        <f t="shared" si="0"/>
        <v>-11.222222222222221</v>
      </c>
      <c r="C30" s="73">
        <f t="shared" si="1"/>
        <v>125.93827160493825</v>
      </c>
    </row>
    <row r="31" spans="1:3" x14ac:dyDescent="0.4">
      <c r="A31" s="1">
        <v>36</v>
      </c>
      <c r="B31" s="73">
        <f t="shared" si="0"/>
        <v>-1.2222222222222214</v>
      </c>
      <c r="C31" s="73">
        <f t="shared" si="1"/>
        <v>1.4938271604938251</v>
      </c>
    </row>
    <row r="32" spans="1:3" x14ac:dyDescent="0.4">
      <c r="A32" s="1">
        <v>39</v>
      </c>
      <c r="B32" s="73">
        <f t="shared" si="0"/>
        <v>1.7777777777777786</v>
      </c>
      <c r="C32" s="73">
        <f t="shared" si="1"/>
        <v>3.1604938271604968</v>
      </c>
    </row>
    <row r="33" spans="1:6" x14ac:dyDescent="0.4">
      <c r="A33" s="1">
        <v>27</v>
      </c>
      <c r="B33" s="73">
        <f t="shared" si="0"/>
        <v>-10.222222222222221</v>
      </c>
      <c r="C33" s="73">
        <f t="shared" si="1"/>
        <v>104.49382716049381</v>
      </c>
    </row>
    <row r="34" spans="1:6" x14ac:dyDescent="0.4">
      <c r="A34" s="1">
        <v>49</v>
      </c>
      <c r="B34" s="73">
        <f t="shared" si="0"/>
        <v>11.777777777777779</v>
      </c>
      <c r="C34" s="73">
        <f t="shared" si="1"/>
        <v>138.71604938271608</v>
      </c>
    </row>
    <row r="35" spans="1:6" x14ac:dyDescent="0.4">
      <c r="A35" s="1">
        <v>34</v>
      </c>
      <c r="B35" s="73">
        <f>A35-$B$37</f>
        <v>-3.2222222222222214</v>
      </c>
      <c r="C35" s="73">
        <f t="shared" si="1"/>
        <v>10.382716049382712</v>
      </c>
    </row>
    <row r="36" spans="1:6" x14ac:dyDescent="0.4">
      <c r="C36" s="11">
        <f>SUM(C18:C35)</f>
        <v>975.11111111111109</v>
      </c>
      <c r="D36" s="11">
        <f>C36/B38</f>
        <v>54.172839506172835</v>
      </c>
      <c r="E36" s="74" t="s">
        <v>142</v>
      </c>
    </row>
    <row r="37" spans="1:6" x14ac:dyDescent="0.4">
      <c r="A37" s="73" t="s">
        <v>53</v>
      </c>
      <c r="B37" s="11">
        <f>AVERAGE(A18:A35)</f>
        <v>37.222222222222221</v>
      </c>
      <c r="D37" s="11">
        <f>SQRT(D36)</f>
        <v>7.3602200718574196</v>
      </c>
      <c r="E37" s="74" t="s">
        <v>212</v>
      </c>
    </row>
    <row r="38" spans="1:6" x14ac:dyDescent="0.4">
      <c r="A38" s="73" t="s">
        <v>211</v>
      </c>
      <c r="B38" s="11">
        <f>COUNT(A18:A35)</f>
        <v>18</v>
      </c>
    </row>
    <row r="44" spans="1:6" ht="21" x14ac:dyDescent="0.4">
      <c r="B44" s="81" t="s">
        <v>219</v>
      </c>
      <c r="C44" s="82"/>
      <c r="D44" s="82"/>
      <c r="E44" s="82"/>
      <c r="F44" s="82"/>
    </row>
    <row r="45" spans="1:6" ht="21" x14ac:dyDescent="0.4">
      <c r="B45" s="81" t="s">
        <v>220</v>
      </c>
      <c r="C45" s="82"/>
      <c r="D45" s="82"/>
      <c r="E45" s="82"/>
      <c r="F45" s="82"/>
    </row>
    <row r="46" spans="1:6" ht="21" x14ac:dyDescent="0.4">
      <c r="B46" s="81"/>
      <c r="C46" s="82"/>
      <c r="D46" s="82"/>
      <c r="E46" s="82"/>
      <c r="F46" s="82"/>
    </row>
    <row r="47" spans="1:6" ht="21" x14ac:dyDescent="0.4">
      <c r="B47" s="81" t="s">
        <v>221</v>
      </c>
      <c r="C47" s="82"/>
      <c r="D47" s="82"/>
      <c r="E47" s="82"/>
      <c r="F47" s="82"/>
    </row>
    <row r="48" spans="1:6" ht="21" x14ac:dyDescent="0.4">
      <c r="B48" s="83"/>
      <c r="C48" s="82"/>
      <c r="D48" s="82"/>
      <c r="E48" s="82"/>
      <c r="F48" s="82"/>
    </row>
    <row r="50" spans="5:8" x14ac:dyDescent="0.4">
      <c r="E50" s="76" t="s">
        <v>224</v>
      </c>
      <c r="G50" s="76" t="s">
        <v>222</v>
      </c>
      <c r="H50" s="76" t="s">
        <v>223</v>
      </c>
    </row>
    <row r="51" spans="5:8" x14ac:dyDescent="0.4">
      <c r="E51" s="11">
        <v>1</v>
      </c>
      <c r="G51" s="11">
        <v>12</v>
      </c>
      <c r="H51" s="11">
        <v>34</v>
      </c>
    </row>
    <row r="52" spans="5:8" x14ac:dyDescent="0.4">
      <c r="E52" s="11">
        <v>2</v>
      </c>
      <c r="G52" s="11">
        <v>13</v>
      </c>
      <c r="H52" s="11">
        <v>14</v>
      </c>
    </row>
    <row r="53" spans="5:8" x14ac:dyDescent="0.4">
      <c r="E53" s="76">
        <v>3</v>
      </c>
      <c r="G53" s="11">
        <v>17</v>
      </c>
      <c r="H53" s="11">
        <v>31</v>
      </c>
    </row>
    <row r="54" spans="5:8" x14ac:dyDescent="0.4">
      <c r="E54" s="76">
        <v>4</v>
      </c>
      <c r="G54" s="11">
        <v>21</v>
      </c>
      <c r="H54" s="11">
        <v>59</v>
      </c>
    </row>
    <row r="55" spans="5:8" x14ac:dyDescent="0.4">
      <c r="E55" s="76">
        <v>5</v>
      </c>
      <c r="G55" s="11">
        <v>24</v>
      </c>
      <c r="H55" s="11">
        <v>11</v>
      </c>
    </row>
    <row r="56" spans="5:8" x14ac:dyDescent="0.4">
      <c r="E56" s="76">
        <v>6</v>
      </c>
      <c r="G56" s="11">
        <v>24</v>
      </c>
      <c r="H56" s="11">
        <v>50</v>
      </c>
    </row>
    <row r="57" spans="5:8" x14ac:dyDescent="0.4">
      <c r="E57" s="76">
        <v>7</v>
      </c>
      <c r="G57" s="11">
        <v>26</v>
      </c>
      <c r="H57" s="11">
        <v>27</v>
      </c>
    </row>
    <row r="58" spans="5:8" x14ac:dyDescent="0.4">
      <c r="E58" s="76">
        <v>8</v>
      </c>
      <c r="G58" s="11">
        <v>27</v>
      </c>
      <c r="H58" s="11">
        <v>33</v>
      </c>
    </row>
    <row r="59" spans="5:8" x14ac:dyDescent="0.4">
      <c r="E59" s="76">
        <v>9</v>
      </c>
      <c r="G59" s="11">
        <v>27</v>
      </c>
      <c r="H59" s="11">
        <v>53</v>
      </c>
    </row>
    <row r="60" spans="5:8" x14ac:dyDescent="0.4">
      <c r="E60" s="76">
        <v>10</v>
      </c>
      <c r="G60" s="11">
        <v>30</v>
      </c>
      <c r="H60" s="11">
        <v>34</v>
      </c>
    </row>
    <row r="61" spans="5:8" x14ac:dyDescent="0.4">
      <c r="E61" s="76">
        <v>11</v>
      </c>
      <c r="G61" s="11">
        <v>32</v>
      </c>
      <c r="H61" s="11">
        <v>13</v>
      </c>
    </row>
    <row r="62" spans="5:8" x14ac:dyDescent="0.4">
      <c r="E62" s="76">
        <v>12</v>
      </c>
      <c r="G62" s="11">
        <v>35</v>
      </c>
      <c r="H62" s="11">
        <v>13</v>
      </c>
    </row>
    <row r="63" spans="5:8" x14ac:dyDescent="0.4">
      <c r="E63" s="76">
        <v>13</v>
      </c>
      <c r="G63" s="11">
        <v>37</v>
      </c>
      <c r="H63" s="11">
        <v>42</v>
      </c>
    </row>
    <row r="64" spans="5:8" x14ac:dyDescent="0.4">
      <c r="E64" s="76">
        <v>14</v>
      </c>
      <c r="G64" s="11">
        <v>38</v>
      </c>
      <c r="H64" s="11">
        <v>29</v>
      </c>
    </row>
    <row r="65" spans="5:17" x14ac:dyDescent="0.4">
      <c r="E65" s="76">
        <v>15</v>
      </c>
      <c r="G65" s="11">
        <v>41</v>
      </c>
      <c r="H65" s="11">
        <v>33</v>
      </c>
      <c r="N65" s="11" t="s">
        <v>158</v>
      </c>
    </row>
    <row r="66" spans="5:17" x14ac:dyDescent="0.4">
      <c r="E66" s="76">
        <v>16</v>
      </c>
      <c r="G66" s="11">
        <v>43</v>
      </c>
      <c r="H66" s="11">
        <v>42</v>
      </c>
    </row>
    <row r="67" spans="5:17" x14ac:dyDescent="0.4">
      <c r="E67" s="76">
        <v>17</v>
      </c>
      <c r="G67" s="11">
        <v>44</v>
      </c>
      <c r="H67" s="11">
        <v>34</v>
      </c>
      <c r="N67" s="199" t="s">
        <v>1154</v>
      </c>
    </row>
    <row r="68" spans="5:17" x14ac:dyDescent="0.4">
      <c r="E68" s="76">
        <v>18</v>
      </c>
      <c r="G68" s="11">
        <v>46</v>
      </c>
      <c r="H68" s="11">
        <v>33</v>
      </c>
      <c r="N68" s="199" t="s">
        <v>1155</v>
      </c>
    </row>
    <row r="69" spans="5:17" x14ac:dyDescent="0.4">
      <c r="E69" s="76">
        <v>19</v>
      </c>
      <c r="G69" s="11">
        <v>53</v>
      </c>
      <c r="H69" s="11">
        <v>44</v>
      </c>
      <c r="N69" s="199" t="s">
        <v>1156</v>
      </c>
    </row>
    <row r="70" spans="5:17" x14ac:dyDescent="0.4">
      <c r="E70" s="76">
        <v>20</v>
      </c>
      <c r="G70" s="11">
        <v>60</v>
      </c>
      <c r="H70" s="11">
        <v>21</v>
      </c>
    </row>
    <row r="72" spans="5:17" x14ac:dyDescent="0.4">
      <c r="F72" s="77" t="s">
        <v>53</v>
      </c>
      <c r="G72" s="11">
        <f>AVERAGE(G51:G70)</f>
        <v>32.5</v>
      </c>
      <c r="H72" s="76">
        <f>AVERAGE(H51:H70)</f>
        <v>32.5</v>
      </c>
      <c r="N72" s="84">
        <v>0.69</v>
      </c>
      <c r="P72" s="11">
        <f>32.5-1*12.89</f>
        <v>19.61</v>
      </c>
      <c r="Q72" s="11">
        <f>32.5+1*12.89</f>
        <v>45.39</v>
      </c>
    </row>
    <row r="73" spans="5:17" x14ac:dyDescent="0.4">
      <c r="F73" s="77" t="s">
        <v>142</v>
      </c>
      <c r="G73" s="11">
        <f>VAR(G51:G70)</f>
        <v>166.15789473684211</v>
      </c>
      <c r="H73" s="76">
        <f>VAR(H51:H70)</f>
        <v>183.73684210526315</v>
      </c>
      <c r="N73" s="84">
        <v>0.95</v>
      </c>
      <c r="P73" s="198">
        <f>32.5-2*12.89</f>
        <v>6.7199999999999989</v>
      </c>
      <c r="Q73" s="198">
        <f>32.5+2*12.89</f>
        <v>58.28</v>
      </c>
    </row>
    <row r="74" spans="5:17" x14ac:dyDescent="0.4">
      <c r="F74" s="77" t="s">
        <v>153</v>
      </c>
      <c r="G74" s="11">
        <f>STDEV(G51:G70)</f>
        <v>12.890224774488694</v>
      </c>
      <c r="H74" s="76">
        <f>STDEV(H51:H70)</f>
        <v>13.554956366778285</v>
      </c>
      <c r="N74" s="201">
        <v>0.997</v>
      </c>
      <c r="P74" s="198">
        <f>32.5-3*12.89</f>
        <v>-6.1700000000000017</v>
      </c>
      <c r="Q74" s="198">
        <f>32.5+3*12.89</f>
        <v>71.17</v>
      </c>
    </row>
    <row r="77" spans="5:17" x14ac:dyDescent="0.4">
      <c r="H77" s="78" t="s">
        <v>167</v>
      </c>
      <c r="I77" s="78" t="s">
        <v>168</v>
      </c>
    </row>
    <row r="78" spans="5:17" x14ac:dyDescent="0.4">
      <c r="G78" s="78" t="s">
        <v>169</v>
      </c>
      <c r="H78" s="84">
        <v>0.17</v>
      </c>
      <c r="I78" s="84">
        <v>0.09</v>
      </c>
    </row>
    <row r="79" spans="5:17" x14ac:dyDescent="0.4">
      <c r="G79" s="78" t="s">
        <v>225</v>
      </c>
      <c r="H79" s="11">
        <v>8</v>
      </c>
      <c r="I79" s="11">
        <v>3</v>
      </c>
    </row>
    <row r="81" spans="3:14" x14ac:dyDescent="0.4">
      <c r="F81" s="79" t="s">
        <v>226</v>
      </c>
      <c r="N81" s="78" t="s">
        <v>168</v>
      </c>
    </row>
    <row r="82" spans="3:14" x14ac:dyDescent="0.4">
      <c r="F82" s="78" t="s">
        <v>227</v>
      </c>
      <c r="N82" s="78" t="s">
        <v>167</v>
      </c>
    </row>
    <row r="87" spans="3:14" x14ac:dyDescent="0.4">
      <c r="C87" s="11">
        <v>4</v>
      </c>
      <c r="D87" s="11">
        <f>C87-$C$131</f>
        <v>-10.883720930232558</v>
      </c>
      <c r="E87" s="11">
        <f>D87^2</f>
        <v>118.45538128718226</v>
      </c>
    </row>
    <row r="88" spans="3:14" x14ac:dyDescent="0.4">
      <c r="C88" s="11">
        <v>8</v>
      </c>
      <c r="D88" s="191">
        <f t="shared" ref="D88:D129" si="2">C88-$C$131</f>
        <v>-6.8837209302325579</v>
      </c>
      <c r="E88" s="191">
        <f t="shared" ref="E88:E129" si="3">D88^2</f>
        <v>47.385613845321792</v>
      </c>
    </row>
    <row r="89" spans="3:14" x14ac:dyDescent="0.4">
      <c r="C89" s="11">
        <v>13</v>
      </c>
      <c r="D89" s="191">
        <f t="shared" si="2"/>
        <v>-1.8837209302325579</v>
      </c>
      <c r="E89" s="191">
        <f t="shared" si="3"/>
        <v>3.5484045429962134</v>
      </c>
    </row>
    <row r="90" spans="3:14" x14ac:dyDescent="0.4">
      <c r="C90" s="11">
        <v>29</v>
      </c>
      <c r="D90" s="191">
        <f t="shared" si="2"/>
        <v>14.116279069767442</v>
      </c>
      <c r="E90" s="191">
        <f t="shared" si="3"/>
        <v>199.26933477555437</v>
      </c>
    </row>
    <row r="91" spans="3:14" x14ac:dyDescent="0.4">
      <c r="C91" s="11">
        <v>5</v>
      </c>
      <c r="D91" s="191">
        <f t="shared" si="2"/>
        <v>-9.8837209302325579</v>
      </c>
      <c r="E91" s="191">
        <f t="shared" si="3"/>
        <v>97.687939426717136</v>
      </c>
    </row>
    <row r="92" spans="3:14" x14ac:dyDescent="0.4">
      <c r="C92" s="11">
        <v>2</v>
      </c>
      <c r="D92" s="191">
        <f t="shared" si="2"/>
        <v>-12.883720930232558</v>
      </c>
      <c r="E92" s="191">
        <f t="shared" si="3"/>
        <v>165.99026500811249</v>
      </c>
    </row>
    <row r="93" spans="3:14" x14ac:dyDescent="0.4">
      <c r="C93" s="11">
        <v>6</v>
      </c>
      <c r="D93" s="191">
        <f t="shared" si="2"/>
        <v>-8.8837209302325579</v>
      </c>
      <c r="E93" s="191">
        <f t="shared" si="3"/>
        <v>78.920497566252024</v>
      </c>
    </row>
    <row r="94" spans="3:14" x14ac:dyDescent="0.4">
      <c r="C94" s="11">
        <v>30</v>
      </c>
      <c r="D94" s="191">
        <f t="shared" si="2"/>
        <v>15.116279069767442</v>
      </c>
      <c r="E94" s="191">
        <f t="shared" si="3"/>
        <v>228.50189291508926</v>
      </c>
    </row>
    <row r="95" spans="3:14" x14ac:dyDescent="0.4">
      <c r="C95" s="11">
        <v>27</v>
      </c>
      <c r="D95" s="191">
        <f t="shared" si="2"/>
        <v>12.116279069767442</v>
      </c>
      <c r="E95" s="191">
        <f t="shared" si="3"/>
        <v>146.80421849648459</v>
      </c>
    </row>
    <row r="96" spans="3:14" x14ac:dyDescent="0.4">
      <c r="C96" s="11">
        <v>20</v>
      </c>
      <c r="D96" s="191">
        <f t="shared" si="2"/>
        <v>5.1162790697674421</v>
      </c>
      <c r="E96" s="191">
        <f t="shared" si="3"/>
        <v>26.176311519740402</v>
      </c>
    </row>
    <row r="97" spans="3:5" x14ac:dyDescent="0.4">
      <c r="C97" s="11">
        <v>16</v>
      </c>
      <c r="D97" s="191">
        <f t="shared" si="2"/>
        <v>1.1162790697674421</v>
      </c>
      <c r="E97" s="191">
        <f t="shared" si="3"/>
        <v>1.2460789616008658</v>
      </c>
    </row>
    <row r="98" spans="3:5" x14ac:dyDescent="0.4">
      <c r="C98" s="11">
        <v>8</v>
      </c>
      <c r="D98" s="191">
        <f t="shared" si="2"/>
        <v>-6.8837209302325579</v>
      </c>
      <c r="E98" s="191">
        <f t="shared" si="3"/>
        <v>47.385613845321792</v>
      </c>
    </row>
    <row r="99" spans="3:5" x14ac:dyDescent="0.4">
      <c r="C99" s="11">
        <v>7</v>
      </c>
      <c r="D99" s="191">
        <f t="shared" si="2"/>
        <v>-7.8837209302325579</v>
      </c>
      <c r="E99" s="191">
        <f t="shared" si="3"/>
        <v>62.153055705786912</v>
      </c>
    </row>
    <row r="100" spans="3:5" x14ac:dyDescent="0.4">
      <c r="C100" s="11">
        <v>5</v>
      </c>
      <c r="D100" s="191">
        <f t="shared" si="2"/>
        <v>-9.8837209302325579</v>
      </c>
      <c r="E100" s="191">
        <f t="shared" si="3"/>
        <v>97.687939426717136</v>
      </c>
    </row>
    <row r="101" spans="3:5" x14ac:dyDescent="0.4">
      <c r="C101" s="11">
        <v>11</v>
      </c>
      <c r="D101" s="191">
        <f t="shared" si="2"/>
        <v>-3.8837209302325579</v>
      </c>
      <c r="E101" s="191">
        <f t="shared" si="3"/>
        <v>15.083288263926445</v>
      </c>
    </row>
    <row r="102" spans="3:5" x14ac:dyDescent="0.4">
      <c r="C102" s="11">
        <v>18</v>
      </c>
      <c r="D102" s="191">
        <f t="shared" si="2"/>
        <v>3.1162790697674421</v>
      </c>
      <c r="E102" s="191">
        <f t="shared" si="3"/>
        <v>9.7111952406706337</v>
      </c>
    </row>
    <row r="103" spans="3:5" x14ac:dyDescent="0.4">
      <c r="C103" s="11">
        <v>16</v>
      </c>
      <c r="D103" s="191">
        <f t="shared" si="2"/>
        <v>1.1162790697674421</v>
      </c>
      <c r="E103" s="191">
        <f t="shared" si="3"/>
        <v>1.2460789616008658</v>
      </c>
    </row>
    <row r="104" spans="3:5" x14ac:dyDescent="0.4">
      <c r="C104" s="11">
        <v>26</v>
      </c>
      <c r="D104" s="191">
        <f t="shared" si="2"/>
        <v>11.116279069767442</v>
      </c>
      <c r="E104" s="191">
        <f t="shared" si="3"/>
        <v>123.57166035694971</v>
      </c>
    </row>
    <row r="105" spans="3:5" x14ac:dyDescent="0.4">
      <c r="C105" s="11">
        <v>22</v>
      </c>
      <c r="D105" s="191">
        <f t="shared" si="2"/>
        <v>7.1162790697674421</v>
      </c>
      <c r="E105" s="191">
        <f t="shared" si="3"/>
        <v>50.64142779881017</v>
      </c>
    </row>
    <row r="106" spans="3:5" x14ac:dyDescent="0.4">
      <c r="C106" s="11">
        <v>26</v>
      </c>
      <c r="D106" s="191">
        <f t="shared" si="2"/>
        <v>11.116279069767442</v>
      </c>
      <c r="E106" s="191">
        <f t="shared" si="3"/>
        <v>123.57166035694971</v>
      </c>
    </row>
    <row r="107" spans="3:5" x14ac:dyDescent="0.4">
      <c r="C107" s="11">
        <v>13</v>
      </c>
      <c r="D107" s="191">
        <f t="shared" si="2"/>
        <v>-1.8837209302325579</v>
      </c>
      <c r="E107" s="191">
        <f t="shared" si="3"/>
        <v>3.5484045429962134</v>
      </c>
    </row>
    <row r="108" spans="3:5" x14ac:dyDescent="0.4">
      <c r="C108" s="11">
        <v>24</v>
      </c>
      <c r="D108" s="191">
        <f t="shared" si="2"/>
        <v>9.1162790697674421</v>
      </c>
      <c r="E108" s="191">
        <f t="shared" si="3"/>
        <v>83.106544077879946</v>
      </c>
    </row>
    <row r="109" spans="3:5" x14ac:dyDescent="0.4">
      <c r="C109" s="11">
        <v>20</v>
      </c>
      <c r="D109" s="191">
        <f t="shared" si="2"/>
        <v>5.1162790697674421</v>
      </c>
      <c r="E109" s="191">
        <f t="shared" si="3"/>
        <v>26.176311519740402</v>
      </c>
    </row>
    <row r="110" spans="3:5" x14ac:dyDescent="0.4">
      <c r="C110" s="11">
        <v>4</v>
      </c>
      <c r="D110" s="191">
        <f t="shared" si="2"/>
        <v>-10.883720930232558</v>
      </c>
      <c r="E110" s="191">
        <f t="shared" si="3"/>
        <v>118.45538128718226</v>
      </c>
    </row>
    <row r="111" spans="3:5" x14ac:dyDescent="0.4">
      <c r="C111" s="11">
        <v>17</v>
      </c>
      <c r="D111" s="191">
        <f t="shared" si="2"/>
        <v>2.1162790697674421</v>
      </c>
      <c r="E111" s="191">
        <f t="shared" si="3"/>
        <v>4.4786371011357495</v>
      </c>
    </row>
    <row r="112" spans="3:5" x14ac:dyDescent="0.4">
      <c r="C112" s="11">
        <v>1</v>
      </c>
      <c r="D112" s="191">
        <f t="shared" si="2"/>
        <v>-13.883720930232558</v>
      </c>
      <c r="E112" s="191">
        <f t="shared" si="3"/>
        <v>192.7577068685776</v>
      </c>
    </row>
    <row r="113" spans="3:13" x14ac:dyDescent="0.4">
      <c r="C113" s="11">
        <v>18</v>
      </c>
      <c r="D113" s="191">
        <f t="shared" si="2"/>
        <v>3.1162790697674421</v>
      </c>
      <c r="E113" s="191">
        <f t="shared" si="3"/>
        <v>9.7111952406706337</v>
      </c>
    </row>
    <row r="114" spans="3:13" x14ac:dyDescent="0.4">
      <c r="C114" s="11">
        <v>2</v>
      </c>
      <c r="D114" s="191">
        <f t="shared" si="2"/>
        <v>-12.883720930232558</v>
      </c>
      <c r="E114" s="191">
        <f t="shared" si="3"/>
        <v>165.99026500811249</v>
      </c>
    </row>
    <row r="115" spans="3:13" x14ac:dyDescent="0.4">
      <c r="C115" s="11">
        <v>6</v>
      </c>
      <c r="D115" s="191">
        <f t="shared" si="2"/>
        <v>-8.8837209302325579</v>
      </c>
      <c r="E115" s="191">
        <f t="shared" si="3"/>
        <v>78.920497566252024</v>
      </c>
    </row>
    <row r="116" spans="3:13" x14ac:dyDescent="0.4">
      <c r="C116" s="11">
        <v>17</v>
      </c>
      <c r="D116" s="191">
        <f t="shared" si="2"/>
        <v>2.1162790697674421</v>
      </c>
      <c r="E116" s="191">
        <f t="shared" si="3"/>
        <v>4.4786371011357495</v>
      </c>
    </row>
    <row r="117" spans="3:13" x14ac:dyDescent="0.4">
      <c r="C117" s="11">
        <v>22</v>
      </c>
      <c r="D117" s="191">
        <f t="shared" si="2"/>
        <v>7.1162790697674421</v>
      </c>
      <c r="E117" s="191">
        <f t="shared" si="3"/>
        <v>50.64142779881017</v>
      </c>
    </row>
    <row r="118" spans="3:13" x14ac:dyDescent="0.4">
      <c r="C118" s="11">
        <v>27</v>
      </c>
      <c r="D118" s="191">
        <f t="shared" si="2"/>
        <v>12.116279069767442</v>
      </c>
      <c r="E118" s="191">
        <f t="shared" si="3"/>
        <v>146.80421849648459</v>
      </c>
    </row>
    <row r="119" spans="3:13" x14ac:dyDescent="0.4">
      <c r="C119" s="11">
        <v>8</v>
      </c>
      <c r="D119" s="191">
        <f t="shared" si="2"/>
        <v>-6.8837209302325579</v>
      </c>
      <c r="E119" s="191">
        <f t="shared" si="3"/>
        <v>47.385613845321792</v>
      </c>
    </row>
    <row r="120" spans="3:13" x14ac:dyDescent="0.4">
      <c r="C120" s="11">
        <v>30</v>
      </c>
      <c r="D120" s="191">
        <f t="shared" si="2"/>
        <v>15.116279069767442</v>
      </c>
      <c r="E120" s="191">
        <f t="shared" si="3"/>
        <v>228.50189291508926</v>
      </c>
    </row>
    <row r="121" spans="3:13" x14ac:dyDescent="0.4">
      <c r="C121" s="11">
        <v>5</v>
      </c>
      <c r="D121" s="191">
        <f t="shared" si="2"/>
        <v>-9.8837209302325579</v>
      </c>
      <c r="E121" s="191">
        <f t="shared" si="3"/>
        <v>97.687939426717136</v>
      </c>
    </row>
    <row r="122" spans="3:13" x14ac:dyDescent="0.4">
      <c r="C122" s="11">
        <v>19</v>
      </c>
      <c r="D122" s="191">
        <f t="shared" si="2"/>
        <v>4.1162790697674421</v>
      </c>
      <c r="E122" s="191">
        <f t="shared" si="3"/>
        <v>16.943753380205518</v>
      </c>
    </row>
    <row r="123" spans="3:13" x14ac:dyDescent="0.4">
      <c r="C123" s="11">
        <v>6</v>
      </c>
      <c r="D123" s="191">
        <f t="shared" si="2"/>
        <v>-8.8837209302325579</v>
      </c>
      <c r="E123" s="191">
        <f t="shared" si="3"/>
        <v>78.920497566252024</v>
      </c>
    </row>
    <row r="124" spans="3:13" x14ac:dyDescent="0.4">
      <c r="C124" s="11">
        <v>6</v>
      </c>
      <c r="D124" s="191">
        <f t="shared" si="2"/>
        <v>-8.8837209302325579</v>
      </c>
      <c r="E124" s="191">
        <f t="shared" si="3"/>
        <v>78.920497566252024</v>
      </c>
    </row>
    <row r="125" spans="3:13" x14ac:dyDescent="0.4">
      <c r="C125" s="11">
        <v>17</v>
      </c>
      <c r="D125" s="191">
        <f t="shared" si="2"/>
        <v>2.1162790697674421</v>
      </c>
      <c r="E125" s="191">
        <f t="shared" si="3"/>
        <v>4.4786371011357495</v>
      </c>
    </row>
    <row r="126" spans="3:13" x14ac:dyDescent="0.4">
      <c r="C126" s="11">
        <v>18</v>
      </c>
      <c r="D126" s="191">
        <f t="shared" si="2"/>
        <v>3.1162790697674421</v>
      </c>
      <c r="E126" s="191">
        <f t="shared" si="3"/>
        <v>9.7111952406706337</v>
      </c>
    </row>
    <row r="127" spans="3:13" x14ac:dyDescent="0.4">
      <c r="C127" s="11">
        <v>11</v>
      </c>
      <c r="D127" s="191">
        <f t="shared" si="2"/>
        <v>-3.8837209302325579</v>
      </c>
      <c r="E127" s="191">
        <f t="shared" si="3"/>
        <v>15.083288263926445</v>
      </c>
      <c r="H127" s="191" t="s">
        <v>1043</v>
      </c>
      <c r="J127" s="11">
        <f>C131-E135</f>
        <v>6.0003246944356547</v>
      </c>
      <c r="K127" s="11">
        <f>C131+E135</f>
        <v>23.767117166029461</v>
      </c>
      <c r="M127" s="84">
        <v>0.69</v>
      </c>
    </row>
    <row r="128" spans="3:13" x14ac:dyDescent="0.4">
      <c r="C128" s="11">
        <v>26</v>
      </c>
      <c r="D128" s="191">
        <f t="shared" si="2"/>
        <v>11.116279069767442</v>
      </c>
      <c r="E128" s="191">
        <f t="shared" si="3"/>
        <v>123.57166035694971</v>
      </c>
      <c r="H128" s="191" t="s">
        <v>1044</v>
      </c>
      <c r="J128" s="11">
        <f>C131-(2*E135)</f>
        <v>-2.8830715413612484</v>
      </c>
      <c r="K128" s="11">
        <f>C131+(2*E135)</f>
        <v>32.650513401826366</v>
      </c>
      <c r="M128" s="84">
        <v>0.95</v>
      </c>
    </row>
    <row r="129" spans="3:13" x14ac:dyDescent="0.4">
      <c r="C129" s="11">
        <v>24</v>
      </c>
      <c r="D129" s="191">
        <f t="shared" si="2"/>
        <v>9.1162790697674421</v>
      </c>
      <c r="E129" s="191">
        <f t="shared" si="3"/>
        <v>83.106544077879946</v>
      </c>
      <c r="H129" s="191" t="s">
        <v>1045</v>
      </c>
      <c r="J129" s="11">
        <f>C131-(3*E135)</f>
        <v>-11.766467777158153</v>
      </c>
      <c r="K129" s="11">
        <f>C131+(3*E135)</f>
        <v>41.533909637623267</v>
      </c>
      <c r="M129" s="84">
        <v>0.99</v>
      </c>
    </row>
    <row r="131" spans="3:13" x14ac:dyDescent="0.4">
      <c r="C131" s="11">
        <f>AVERAGE(C87:C129)</f>
        <v>14.883720930232558</v>
      </c>
      <c r="E131" s="11">
        <f>SUM(E87:E129)</f>
        <v>3314.4186046511641</v>
      </c>
    </row>
    <row r="133" spans="3:13" x14ac:dyDescent="0.4">
      <c r="D133" s="191" t="s">
        <v>142</v>
      </c>
      <c r="E133" s="11">
        <f>E131/(43-1)</f>
        <v>78.914728682170576</v>
      </c>
    </row>
    <row r="135" spans="3:13" x14ac:dyDescent="0.4">
      <c r="D135" s="191" t="s">
        <v>225</v>
      </c>
      <c r="E135" s="11">
        <f>SQRT(E133)</f>
        <v>8.8833962357969032</v>
      </c>
    </row>
    <row r="137" spans="3:13" x14ac:dyDescent="0.4">
      <c r="E137" s="191" t="s">
        <v>1042</v>
      </c>
      <c r="F137" s="11">
        <f>(11-14.88)/9</f>
        <v>-0.43111111111111122</v>
      </c>
    </row>
    <row r="140" spans="3:13" x14ac:dyDescent="0.4">
      <c r="C140" s="11">
        <v>44</v>
      </c>
      <c r="D140" s="11">
        <f>C140-$C$151</f>
        <v>-5.2000000000000028</v>
      </c>
      <c r="E140" s="11">
        <f>D140^2</f>
        <v>27.040000000000031</v>
      </c>
    </row>
    <row r="141" spans="3:13" x14ac:dyDescent="0.4">
      <c r="C141" s="11">
        <v>50</v>
      </c>
      <c r="D141" s="191">
        <f t="shared" ref="D141:D149" si="4">C141-$C$151</f>
        <v>0.79999999999999716</v>
      </c>
      <c r="E141" s="191">
        <f t="shared" ref="E141:E149" si="5">D141^2</f>
        <v>0.63999999999999546</v>
      </c>
    </row>
    <row r="142" spans="3:13" x14ac:dyDescent="0.4">
      <c r="C142" s="11">
        <v>38</v>
      </c>
      <c r="D142" s="191">
        <f t="shared" si="4"/>
        <v>-11.200000000000003</v>
      </c>
      <c r="E142" s="191">
        <f t="shared" si="5"/>
        <v>125.44000000000007</v>
      </c>
    </row>
    <row r="143" spans="3:13" x14ac:dyDescent="0.4">
      <c r="C143" s="11">
        <v>96</v>
      </c>
      <c r="D143" s="191">
        <f t="shared" si="4"/>
        <v>46.8</v>
      </c>
      <c r="E143" s="191">
        <f t="shared" si="5"/>
        <v>2190.2399999999998</v>
      </c>
    </row>
    <row r="144" spans="3:13" x14ac:dyDescent="0.4">
      <c r="C144" s="11">
        <v>42</v>
      </c>
      <c r="D144" s="191">
        <f t="shared" si="4"/>
        <v>-7.2000000000000028</v>
      </c>
      <c r="E144" s="191">
        <f t="shared" si="5"/>
        <v>51.840000000000039</v>
      </c>
    </row>
    <row r="145" spans="3:6" x14ac:dyDescent="0.4">
      <c r="C145" s="11">
        <v>47</v>
      </c>
      <c r="D145" s="191">
        <f t="shared" si="4"/>
        <v>-2.2000000000000028</v>
      </c>
      <c r="E145" s="191">
        <f t="shared" si="5"/>
        <v>4.8400000000000123</v>
      </c>
    </row>
    <row r="146" spans="3:6" x14ac:dyDescent="0.4">
      <c r="C146" s="11">
        <v>40</v>
      </c>
      <c r="D146" s="191">
        <f t="shared" si="4"/>
        <v>-9.2000000000000028</v>
      </c>
      <c r="E146" s="191">
        <f t="shared" si="5"/>
        <v>84.640000000000057</v>
      </c>
    </row>
    <row r="147" spans="3:6" x14ac:dyDescent="0.4">
      <c r="C147" s="11">
        <v>39</v>
      </c>
      <c r="D147" s="191">
        <f t="shared" si="4"/>
        <v>-10.200000000000003</v>
      </c>
      <c r="E147" s="191">
        <f t="shared" si="5"/>
        <v>104.04000000000006</v>
      </c>
    </row>
    <row r="148" spans="3:6" x14ac:dyDescent="0.4">
      <c r="C148" s="11">
        <v>46</v>
      </c>
      <c r="D148" s="191">
        <f t="shared" si="4"/>
        <v>-3.2000000000000028</v>
      </c>
      <c r="E148" s="191">
        <f t="shared" si="5"/>
        <v>10.240000000000018</v>
      </c>
    </row>
    <row r="149" spans="3:6" x14ac:dyDescent="0.4">
      <c r="C149" s="11">
        <v>50</v>
      </c>
      <c r="D149" s="191">
        <f t="shared" si="4"/>
        <v>0.79999999999999716</v>
      </c>
      <c r="E149" s="191">
        <f t="shared" si="5"/>
        <v>0.63999999999999546</v>
      </c>
    </row>
    <row r="151" spans="3:6" x14ac:dyDescent="0.4">
      <c r="C151" s="11">
        <f>AVERAGE(C140:C149)</f>
        <v>49.2</v>
      </c>
      <c r="E151" s="11">
        <f>SUM(E140:E149)</f>
        <v>2599.6</v>
      </c>
    </row>
    <row r="153" spans="3:6" x14ac:dyDescent="0.4">
      <c r="D153" s="191" t="s">
        <v>142</v>
      </c>
      <c r="E153" s="11">
        <f>E151/(10-1)</f>
        <v>288.84444444444443</v>
      </c>
    </row>
    <row r="155" spans="3:6" x14ac:dyDescent="0.4">
      <c r="D155" s="191" t="s">
        <v>231</v>
      </c>
      <c r="E155" s="11">
        <f>SQRT(E153)</f>
        <v>16.995424220784972</v>
      </c>
    </row>
    <row r="157" spans="3:6" x14ac:dyDescent="0.4">
      <c r="D157" s="191" t="s">
        <v>33</v>
      </c>
      <c r="E157" s="11">
        <f>MEDIAN(C140:C149)</f>
        <v>45</v>
      </c>
    </row>
    <row r="159" spans="3:6" x14ac:dyDescent="0.4">
      <c r="F159" s="191" t="s">
        <v>1046</v>
      </c>
    </row>
    <row r="161" spans="6:7" x14ac:dyDescent="0.4">
      <c r="F161" s="191" t="s">
        <v>1047</v>
      </c>
      <c r="G161" s="11">
        <f>SKEW(C140:C149)</f>
        <v>2.792531830971301</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Index</vt:lpstr>
      <vt:lpstr>MeanMedianMode</vt:lpstr>
      <vt:lpstr>Freq. Dist</vt:lpstr>
      <vt:lpstr>Ogives and Hist.</vt:lpstr>
      <vt:lpstr>Pie Chart</vt:lpstr>
      <vt:lpstr>Line Chart</vt:lpstr>
      <vt:lpstr>Scatter Plot</vt:lpstr>
      <vt:lpstr>Box and whiskers</vt:lpstr>
      <vt:lpstr>VAR and SD Ex 1</vt:lpstr>
      <vt:lpstr> VAR and SD Ex 2</vt:lpstr>
      <vt:lpstr>Empirical</vt:lpstr>
      <vt:lpstr>Skewness and kurt</vt:lpstr>
      <vt:lpstr>Descr. Stat</vt:lpstr>
      <vt:lpstr>Descr. Stat Exp</vt:lpstr>
      <vt:lpstr>Desc. Stat</vt:lpstr>
      <vt:lpstr>Freq. Dist.</vt:lpstr>
      <vt:lpstr>Calculation of Variance &amp; SD</vt:lpstr>
      <vt:lpstr>Probability Distribution</vt:lpstr>
      <vt:lpstr>Box-Plot</vt:lpstr>
      <vt:lpstr>Probability</vt:lpstr>
      <vt:lpstr>Practice Problems</vt:lpstr>
      <vt:lpstr>Contiuous Probability</vt:lpstr>
      <vt:lpstr>Solutions to Practice Problems</vt:lpstr>
      <vt:lpstr>Hypothesis Testing &amp; ANOVA</vt:lpstr>
      <vt:lpstr>Sheet1</vt:lpstr>
      <vt:lpstr>Sheet2</vt:lpstr>
      <vt:lpstr>Sheet3</vt:lpstr>
      <vt:lpstr>Sheet4</vt:lpstr>
      <vt:lpstr>Sheet3!OLE_LINK2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User01</dc:creator>
  <cp:lastModifiedBy>Bali</cp:lastModifiedBy>
  <dcterms:created xsi:type="dcterms:W3CDTF">2017-09-29T08:44:53Z</dcterms:created>
  <dcterms:modified xsi:type="dcterms:W3CDTF">2021-11-11T15:24:22Z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4076211a-4d5d-405e-ad56-bc56ce291a8d</vt:lpwstr>
  </property>
</Properties>
</file>