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jeetprabhu/Desktop/Projects/Meter Tracking/carnatic-meter-tracking/data/"/>
    </mc:Choice>
  </mc:AlternateContent>
  <xr:revisionPtr revIDLastSave="0" documentId="13_ncr:1_{8B43A9C3-98FB-564A-BA45-33F0A605C6B9}" xr6:coauthVersionLast="47" xr6:coauthVersionMax="47" xr10:uidLastSave="{00000000-0000-0000-0000-000000000000}"/>
  <bookViews>
    <workbookView xWindow="0" yWindow="500" windowWidth="38400" windowHeight="19440" tabRatio="500" xr2:uid="{00000000-000D-0000-FFFF-FFFF00000000}"/>
  </bookViews>
  <sheets>
    <sheet name="Carnatic" sheetId="1" r:id="rId1"/>
    <sheet name="Fold1" sheetId="4" r:id="rId2"/>
    <sheet name="Fold2" sheetId="6" r:id="rId3"/>
  </sheets>
  <definedNames>
    <definedName name="_xlnm._FilterDatabase" localSheetId="0" hidden="1">Carnatic!$A$1:$W$177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77" i="1" l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177" i="1"/>
  <c r="L177" i="1" s="1"/>
  <c r="M177" i="1" s="1"/>
  <c r="K176" i="1"/>
  <c r="L176" i="1" s="1"/>
  <c r="M176" i="1" s="1"/>
  <c r="K175" i="1"/>
  <c r="J175" i="1"/>
  <c r="K174" i="1"/>
  <c r="L174" i="1" s="1"/>
  <c r="M174" i="1" s="1"/>
  <c r="J174" i="1"/>
  <c r="K173" i="1"/>
  <c r="L173" i="1" s="1"/>
  <c r="M173" i="1" s="1"/>
  <c r="K172" i="1"/>
  <c r="L172" i="1" s="1"/>
  <c r="M172" i="1" s="1"/>
  <c r="K171" i="1"/>
  <c r="L171" i="1" s="1"/>
  <c r="M171" i="1" s="1"/>
  <c r="K170" i="1"/>
  <c r="L170" i="1" s="1"/>
  <c r="M170" i="1" s="1"/>
  <c r="L169" i="1"/>
  <c r="M169" i="1" s="1"/>
  <c r="K169" i="1"/>
  <c r="K168" i="1"/>
  <c r="L168" i="1" s="1"/>
  <c r="M168" i="1" s="1"/>
  <c r="K167" i="1"/>
  <c r="L167" i="1" s="1"/>
  <c r="M167" i="1" s="1"/>
  <c r="K166" i="1"/>
  <c r="L166" i="1" s="1"/>
  <c r="M166" i="1" s="1"/>
  <c r="K165" i="1"/>
  <c r="L165" i="1" s="1"/>
  <c r="M165" i="1" s="1"/>
  <c r="J165" i="1"/>
  <c r="K164" i="1"/>
  <c r="L164" i="1" s="1"/>
  <c r="M164" i="1" s="1"/>
  <c r="L163" i="1"/>
  <c r="M163" i="1" s="1"/>
  <c r="K163" i="1"/>
  <c r="L162" i="1"/>
  <c r="M162" i="1" s="1"/>
  <c r="K162" i="1"/>
  <c r="K161" i="1"/>
  <c r="L161" i="1" s="1"/>
  <c r="M161" i="1" s="1"/>
  <c r="K160" i="1"/>
  <c r="J160" i="1"/>
  <c r="L160" i="1" s="1"/>
  <c r="M160" i="1" s="1"/>
  <c r="K159" i="1"/>
  <c r="L159" i="1" s="1"/>
  <c r="M159" i="1" s="1"/>
  <c r="K158" i="1"/>
  <c r="J158" i="1"/>
  <c r="L158" i="1" s="1"/>
  <c r="M158" i="1" s="1"/>
  <c r="K157" i="1"/>
  <c r="L157" i="1" s="1"/>
  <c r="M157" i="1" s="1"/>
  <c r="K156" i="1"/>
  <c r="L156" i="1" s="1"/>
  <c r="M156" i="1" s="1"/>
  <c r="K155" i="1"/>
  <c r="J155" i="1"/>
  <c r="K154" i="1"/>
  <c r="J154" i="1"/>
  <c r="L154" i="1" s="1"/>
  <c r="M154" i="1" s="1"/>
  <c r="K153" i="1"/>
  <c r="L153" i="1" s="1"/>
  <c r="M153" i="1" s="1"/>
  <c r="K152" i="1"/>
  <c r="L152" i="1" s="1"/>
  <c r="M152" i="1" s="1"/>
  <c r="K151" i="1"/>
  <c r="L151" i="1" s="1"/>
  <c r="M151" i="1" s="1"/>
  <c r="K150" i="1"/>
  <c r="L150" i="1" s="1"/>
  <c r="M150" i="1" s="1"/>
  <c r="J150" i="1"/>
  <c r="K149" i="1"/>
  <c r="L149" i="1" s="1"/>
  <c r="M149" i="1" s="1"/>
  <c r="J149" i="1"/>
  <c r="K148" i="1"/>
  <c r="L148" i="1" s="1"/>
  <c r="M148" i="1" s="1"/>
  <c r="K147" i="1"/>
  <c r="L147" i="1" s="1"/>
  <c r="M147" i="1" s="1"/>
  <c r="K146" i="1"/>
  <c r="L146" i="1" s="1"/>
  <c r="M146" i="1" s="1"/>
  <c r="K145" i="1"/>
  <c r="L145" i="1" s="1"/>
  <c r="M145" i="1" s="1"/>
  <c r="K144" i="1"/>
  <c r="J144" i="1"/>
  <c r="K143" i="1"/>
  <c r="L143" i="1" s="1"/>
  <c r="M143" i="1" s="1"/>
  <c r="K142" i="1"/>
  <c r="J142" i="1"/>
  <c r="K141" i="1"/>
  <c r="J141" i="1"/>
  <c r="L140" i="1"/>
  <c r="M140" i="1" s="1"/>
  <c r="K140" i="1"/>
  <c r="K139" i="1"/>
  <c r="J139" i="1"/>
  <c r="K138" i="1"/>
  <c r="J138" i="1"/>
  <c r="K137" i="1"/>
  <c r="L137" i="1" s="1"/>
  <c r="M137" i="1" s="1"/>
  <c r="K136" i="1"/>
  <c r="J136" i="1"/>
  <c r="K135" i="1"/>
  <c r="J135" i="1"/>
  <c r="L135" i="1" s="1"/>
  <c r="M135" i="1" s="1"/>
  <c r="K134" i="1"/>
  <c r="L134" i="1" s="1"/>
  <c r="M134" i="1" s="1"/>
  <c r="K133" i="1"/>
  <c r="L133" i="1" s="1"/>
  <c r="M133" i="1" s="1"/>
  <c r="K132" i="1"/>
  <c r="L132" i="1" s="1"/>
  <c r="M132" i="1" s="1"/>
  <c r="K131" i="1"/>
  <c r="J131" i="1"/>
  <c r="K130" i="1"/>
  <c r="L130" i="1" s="1"/>
  <c r="M130" i="1" s="1"/>
  <c r="K129" i="1"/>
  <c r="J129" i="1"/>
  <c r="K128" i="1"/>
  <c r="J128" i="1"/>
  <c r="L128" i="1" s="1"/>
  <c r="M128" i="1" s="1"/>
  <c r="K127" i="1"/>
  <c r="L127" i="1" s="1"/>
  <c r="M127" i="1" s="1"/>
  <c r="K126" i="1"/>
  <c r="L126" i="1" s="1"/>
  <c r="M126" i="1" s="1"/>
  <c r="K125" i="1"/>
  <c r="L125" i="1" s="1"/>
  <c r="M125" i="1" s="1"/>
  <c r="K124" i="1"/>
  <c r="L124" i="1" s="1"/>
  <c r="M124" i="1" s="1"/>
  <c r="K123" i="1"/>
  <c r="L123" i="1" s="1"/>
  <c r="M123" i="1" s="1"/>
  <c r="K122" i="1"/>
  <c r="J122" i="1"/>
  <c r="L122" i="1" s="1"/>
  <c r="M122" i="1" s="1"/>
  <c r="L121" i="1"/>
  <c r="M121" i="1" s="1"/>
  <c r="K121" i="1"/>
  <c r="K120" i="1"/>
  <c r="J120" i="1"/>
  <c r="K119" i="1"/>
  <c r="J119" i="1"/>
  <c r="K118" i="1"/>
  <c r="L118" i="1" s="1"/>
  <c r="M118" i="1" s="1"/>
  <c r="K117" i="1"/>
  <c r="J117" i="1"/>
  <c r="K116" i="1"/>
  <c r="L116" i="1" s="1"/>
  <c r="M116" i="1" s="1"/>
  <c r="J116" i="1"/>
  <c r="K115" i="1"/>
  <c r="J115" i="1"/>
  <c r="K114" i="1"/>
  <c r="J114" i="1"/>
  <c r="K113" i="1"/>
  <c r="L113" i="1" s="1"/>
  <c r="M113" i="1" s="1"/>
  <c r="K112" i="1"/>
  <c r="L112" i="1" s="1"/>
  <c r="M112" i="1" s="1"/>
  <c r="K111" i="1"/>
  <c r="L111" i="1" s="1"/>
  <c r="M111" i="1" s="1"/>
  <c r="J111" i="1"/>
  <c r="K110" i="1"/>
  <c r="L110" i="1" s="1"/>
  <c r="M110" i="1" s="1"/>
  <c r="J110" i="1"/>
  <c r="K109" i="1"/>
  <c r="L109" i="1" s="1"/>
  <c r="M109" i="1" s="1"/>
  <c r="K108" i="1"/>
  <c r="J108" i="1"/>
  <c r="K107" i="1"/>
  <c r="J107" i="1"/>
  <c r="K106" i="1"/>
  <c r="L106" i="1" s="1"/>
  <c r="M106" i="1" s="1"/>
  <c r="J106" i="1"/>
  <c r="K105" i="1"/>
  <c r="L105" i="1" s="1"/>
  <c r="M105" i="1" s="1"/>
  <c r="K104" i="1"/>
  <c r="L104" i="1" s="1"/>
  <c r="M104" i="1" s="1"/>
  <c r="J104" i="1"/>
  <c r="K103" i="1"/>
  <c r="L103" i="1" s="1"/>
  <c r="M103" i="1" s="1"/>
  <c r="K102" i="1"/>
  <c r="L102" i="1" s="1"/>
  <c r="M102" i="1" s="1"/>
  <c r="K101" i="1"/>
  <c r="L101" i="1" s="1"/>
  <c r="M101" i="1" s="1"/>
  <c r="K100" i="1"/>
  <c r="J100" i="1"/>
  <c r="K99" i="1"/>
  <c r="J99" i="1"/>
  <c r="K98" i="1"/>
  <c r="L98" i="1" s="1"/>
  <c r="M98" i="1" s="1"/>
  <c r="K97" i="1"/>
  <c r="L97" i="1" s="1"/>
  <c r="M97" i="1" s="1"/>
  <c r="J97" i="1"/>
  <c r="K96" i="1"/>
  <c r="L96" i="1" s="1"/>
  <c r="M96" i="1" s="1"/>
  <c r="K95" i="1"/>
  <c r="J95" i="1"/>
  <c r="K94" i="1"/>
  <c r="L94" i="1" s="1"/>
  <c r="M94" i="1" s="1"/>
  <c r="K93" i="1"/>
  <c r="L93" i="1" s="1"/>
  <c r="M93" i="1" s="1"/>
  <c r="K92" i="1"/>
  <c r="L92" i="1" s="1"/>
  <c r="M92" i="1" s="1"/>
  <c r="K91" i="1"/>
  <c r="L91" i="1" s="1"/>
  <c r="M91" i="1" s="1"/>
  <c r="K90" i="1"/>
  <c r="L90" i="1" s="1"/>
  <c r="M90" i="1" s="1"/>
  <c r="K89" i="1"/>
  <c r="L89" i="1" s="1"/>
  <c r="M89" i="1" s="1"/>
  <c r="K88" i="1"/>
  <c r="J88" i="1"/>
  <c r="K87" i="1"/>
  <c r="L87" i="1" s="1"/>
  <c r="M87" i="1" s="1"/>
  <c r="K86" i="1"/>
  <c r="L86" i="1" s="1"/>
  <c r="M86" i="1" s="1"/>
  <c r="K85" i="1"/>
  <c r="L85" i="1" s="1"/>
  <c r="M85" i="1" s="1"/>
  <c r="K84" i="1"/>
  <c r="J84" i="1"/>
  <c r="K83" i="1"/>
  <c r="J83" i="1"/>
  <c r="K82" i="1"/>
  <c r="L82" i="1" s="1"/>
  <c r="M82" i="1" s="1"/>
  <c r="K81" i="1"/>
  <c r="L81" i="1" s="1"/>
  <c r="M81" i="1" s="1"/>
  <c r="J81" i="1"/>
  <c r="K80" i="1"/>
  <c r="L80" i="1" s="1"/>
  <c r="M80" i="1" s="1"/>
  <c r="J80" i="1"/>
  <c r="K79" i="1"/>
  <c r="L79" i="1" s="1"/>
  <c r="M79" i="1" s="1"/>
  <c r="K78" i="1"/>
  <c r="L78" i="1" s="1"/>
  <c r="M78" i="1" s="1"/>
  <c r="J78" i="1"/>
  <c r="K77" i="1"/>
  <c r="L77" i="1" s="1"/>
  <c r="M77" i="1" s="1"/>
  <c r="K76" i="1"/>
  <c r="L76" i="1" s="1"/>
  <c r="M76" i="1" s="1"/>
  <c r="K75" i="1"/>
  <c r="L75" i="1" s="1"/>
  <c r="M75" i="1" s="1"/>
  <c r="J75" i="1"/>
  <c r="K74" i="1"/>
  <c r="J74" i="1"/>
  <c r="L74" i="1" s="1"/>
  <c r="M74" i="1" s="1"/>
  <c r="K73" i="1"/>
  <c r="L73" i="1" s="1"/>
  <c r="M73" i="1" s="1"/>
  <c r="J73" i="1"/>
  <c r="K72" i="1"/>
  <c r="J72" i="1"/>
  <c r="L72" i="1" s="1"/>
  <c r="M72" i="1" s="1"/>
  <c r="K71" i="1"/>
  <c r="L71" i="1" s="1"/>
  <c r="M71" i="1" s="1"/>
  <c r="J71" i="1"/>
  <c r="K70" i="1"/>
  <c r="L70" i="1" s="1"/>
  <c r="M70" i="1" s="1"/>
  <c r="K69" i="1"/>
  <c r="L69" i="1" s="1"/>
  <c r="M69" i="1" s="1"/>
  <c r="K68" i="1"/>
  <c r="L68" i="1" s="1"/>
  <c r="M68" i="1" s="1"/>
  <c r="K67" i="1"/>
  <c r="J67" i="1"/>
  <c r="L67" i="1" s="1"/>
  <c r="M67" i="1" s="1"/>
  <c r="L66" i="1"/>
  <c r="M66" i="1" s="1"/>
  <c r="K66" i="1"/>
  <c r="K65" i="1"/>
  <c r="L65" i="1" s="1"/>
  <c r="M65" i="1" s="1"/>
  <c r="K64" i="1"/>
  <c r="J64" i="1"/>
  <c r="K63" i="1"/>
  <c r="L63" i="1" s="1"/>
  <c r="M63" i="1" s="1"/>
  <c r="J63" i="1"/>
  <c r="K62" i="1"/>
  <c r="L62" i="1" s="1"/>
  <c r="M62" i="1" s="1"/>
  <c r="J62" i="1"/>
  <c r="K61" i="1"/>
  <c r="L61" i="1" s="1"/>
  <c r="M61" i="1" s="1"/>
  <c r="K60" i="1"/>
  <c r="L60" i="1" s="1"/>
  <c r="M60" i="1" s="1"/>
  <c r="K59" i="1"/>
  <c r="L59" i="1" s="1"/>
  <c r="M59" i="1" s="1"/>
  <c r="L58" i="1"/>
  <c r="M58" i="1" s="1"/>
  <c r="K58" i="1"/>
  <c r="K57" i="1"/>
  <c r="L57" i="1" s="1"/>
  <c r="M57" i="1" s="1"/>
  <c r="K56" i="1"/>
  <c r="J56" i="1"/>
  <c r="K55" i="1"/>
  <c r="L55" i="1" s="1"/>
  <c r="M55" i="1" s="1"/>
  <c r="K54" i="1"/>
  <c r="J54" i="1"/>
  <c r="L54" i="1" s="1"/>
  <c r="M54" i="1" s="1"/>
  <c r="K53" i="1"/>
  <c r="L53" i="1" s="1"/>
  <c r="M53" i="1" s="1"/>
  <c r="K52" i="1"/>
  <c r="L52" i="1" s="1"/>
  <c r="M52" i="1" s="1"/>
  <c r="K51" i="1"/>
  <c r="L51" i="1" s="1"/>
  <c r="M51" i="1" s="1"/>
  <c r="L50" i="1"/>
  <c r="M50" i="1" s="1"/>
  <c r="K50" i="1"/>
  <c r="K49" i="1"/>
  <c r="L49" i="1" s="1"/>
  <c r="M49" i="1" s="1"/>
  <c r="L48" i="1"/>
  <c r="M48" i="1" s="1"/>
  <c r="K47" i="1"/>
  <c r="L47" i="1" s="1"/>
  <c r="M47" i="1" s="1"/>
  <c r="L46" i="1"/>
  <c r="M46" i="1" s="1"/>
  <c r="K46" i="1"/>
  <c r="K45" i="1"/>
  <c r="J45" i="1"/>
  <c r="K44" i="1"/>
  <c r="L44" i="1" s="1"/>
  <c r="M44" i="1" s="1"/>
  <c r="K43" i="1"/>
  <c r="L43" i="1" s="1"/>
  <c r="M43" i="1" s="1"/>
  <c r="K42" i="1"/>
  <c r="L42" i="1" s="1"/>
  <c r="M42" i="1" s="1"/>
  <c r="J42" i="1"/>
  <c r="K41" i="1"/>
  <c r="J41" i="1"/>
  <c r="K40" i="1"/>
  <c r="L40" i="1" s="1"/>
  <c r="M40" i="1" s="1"/>
  <c r="K39" i="1"/>
  <c r="L39" i="1" s="1"/>
  <c r="M39" i="1" s="1"/>
  <c r="K38" i="1"/>
  <c r="J38" i="1"/>
  <c r="K37" i="1"/>
  <c r="L37" i="1" s="1"/>
  <c r="M37" i="1" s="1"/>
  <c r="J37" i="1"/>
  <c r="K36" i="1"/>
  <c r="L36" i="1" s="1"/>
  <c r="M36" i="1" s="1"/>
  <c r="K35" i="1"/>
  <c r="L35" i="1" s="1"/>
  <c r="M35" i="1" s="1"/>
  <c r="J35" i="1"/>
  <c r="K34" i="1"/>
  <c r="L34" i="1" s="1"/>
  <c r="M34" i="1" s="1"/>
  <c r="K33" i="1"/>
  <c r="L33" i="1" s="1"/>
  <c r="M33" i="1" s="1"/>
  <c r="K32" i="1"/>
  <c r="L32" i="1" s="1"/>
  <c r="M32" i="1" s="1"/>
  <c r="J32" i="1"/>
  <c r="K31" i="1"/>
  <c r="L31" i="1" s="1"/>
  <c r="M31" i="1" s="1"/>
  <c r="L30" i="1"/>
  <c r="M30" i="1" s="1"/>
  <c r="K30" i="1"/>
  <c r="K29" i="1"/>
  <c r="L29" i="1" s="1"/>
  <c r="M29" i="1" s="1"/>
  <c r="K28" i="1"/>
  <c r="L28" i="1" s="1"/>
  <c r="M28" i="1" s="1"/>
  <c r="K27" i="1"/>
  <c r="L27" i="1" s="1"/>
  <c r="M27" i="1" s="1"/>
  <c r="L26" i="1"/>
  <c r="M26" i="1" s="1"/>
  <c r="K25" i="1"/>
  <c r="L25" i="1" s="1"/>
  <c r="M25" i="1" s="1"/>
  <c r="L24" i="1"/>
  <c r="M24" i="1" s="1"/>
  <c r="K24" i="1"/>
  <c r="J24" i="1"/>
  <c r="K23" i="1"/>
  <c r="L23" i="1" s="1"/>
  <c r="M23" i="1" s="1"/>
  <c r="K22" i="1"/>
  <c r="L22" i="1" s="1"/>
  <c r="M22" i="1" s="1"/>
  <c r="K21" i="1"/>
  <c r="L21" i="1" s="1"/>
  <c r="M21" i="1" s="1"/>
  <c r="K20" i="1"/>
  <c r="J20" i="1"/>
  <c r="K19" i="1"/>
  <c r="L19" i="1" s="1"/>
  <c r="M19" i="1" s="1"/>
  <c r="K18" i="1"/>
  <c r="L18" i="1" s="1"/>
  <c r="M18" i="1" s="1"/>
  <c r="K17" i="1"/>
  <c r="L17" i="1" s="1"/>
  <c r="M17" i="1" s="1"/>
  <c r="K16" i="1"/>
  <c r="L16" i="1" s="1"/>
  <c r="M16" i="1" s="1"/>
  <c r="K15" i="1"/>
  <c r="L15" i="1" s="1"/>
  <c r="M15" i="1" s="1"/>
  <c r="L14" i="1"/>
  <c r="M14" i="1" s="1"/>
  <c r="K14" i="1"/>
  <c r="K13" i="1"/>
  <c r="L13" i="1" s="1"/>
  <c r="M13" i="1" s="1"/>
  <c r="K12" i="1"/>
  <c r="J12" i="1"/>
  <c r="K11" i="1"/>
  <c r="J11" i="1"/>
  <c r="K10" i="1"/>
  <c r="L10" i="1" s="1"/>
  <c r="M10" i="1" s="1"/>
  <c r="K9" i="1"/>
  <c r="L9" i="1" s="1"/>
  <c r="M9" i="1" s="1"/>
  <c r="K8" i="1"/>
  <c r="L8" i="1" s="1"/>
  <c r="M8" i="1" s="1"/>
  <c r="K7" i="1"/>
  <c r="J7" i="1"/>
  <c r="K6" i="1"/>
  <c r="L6" i="1" s="1"/>
  <c r="M6" i="1" s="1"/>
  <c r="L5" i="1"/>
  <c r="M5" i="1" s="1"/>
  <c r="K5" i="1"/>
  <c r="K4" i="1"/>
  <c r="L4" i="1" s="1"/>
  <c r="M4" i="1" s="1"/>
  <c r="K3" i="1"/>
  <c r="L3" i="1" s="1"/>
  <c r="M3" i="1" s="1"/>
  <c r="K2" i="1"/>
  <c r="L2" i="1" s="1"/>
  <c r="M2" i="1" s="1"/>
  <c r="L38" i="1" l="1"/>
  <c r="M38" i="1" s="1"/>
  <c r="L175" i="1"/>
  <c r="M175" i="1" s="1"/>
  <c r="L155" i="1"/>
  <c r="M155" i="1" s="1"/>
  <c r="L11" i="1"/>
  <c r="M11" i="1" s="1"/>
  <c r="L88" i="1"/>
  <c r="M88" i="1" s="1"/>
  <c r="L7" i="1"/>
  <c r="M7" i="1" s="1"/>
  <c r="L95" i="1"/>
  <c r="M95" i="1" s="1"/>
  <c r="L115" i="1"/>
  <c r="M115" i="1" s="1"/>
  <c r="L138" i="1"/>
  <c r="M138" i="1" s="1"/>
  <c r="L64" i="1"/>
  <c r="M64" i="1" s="1"/>
  <c r="L84" i="1"/>
  <c r="M84" i="1" s="1"/>
  <c r="L100" i="1"/>
  <c r="M100" i="1" s="1"/>
  <c r="L136" i="1"/>
  <c r="M136" i="1" s="1"/>
  <c r="L107" i="1"/>
  <c r="M107" i="1" s="1"/>
  <c r="L131" i="1"/>
  <c r="M131" i="1" s="1"/>
  <c r="L141" i="1"/>
  <c r="M141" i="1" s="1"/>
  <c r="L83" i="1"/>
  <c r="M83" i="1" s="1"/>
  <c r="L99" i="1"/>
  <c r="M99" i="1" s="1"/>
  <c r="L120" i="1"/>
  <c r="M120" i="1" s="1"/>
  <c r="L139" i="1"/>
  <c r="M139" i="1" s="1"/>
  <c r="L12" i="1"/>
  <c r="M12" i="1" s="1"/>
  <c r="L108" i="1"/>
  <c r="M108" i="1" s="1"/>
  <c r="L119" i="1"/>
  <c r="M119" i="1" s="1"/>
  <c r="L142" i="1"/>
  <c r="M142" i="1" s="1"/>
  <c r="L45" i="1"/>
  <c r="M45" i="1" s="1"/>
  <c r="L20" i="1"/>
  <c r="M20" i="1" s="1"/>
  <c r="L41" i="1"/>
  <c r="M41" i="1" s="1"/>
  <c r="L117" i="1"/>
  <c r="M117" i="1" s="1"/>
  <c r="L129" i="1"/>
  <c r="M129" i="1" s="1"/>
  <c r="L144" i="1"/>
  <c r="M144" i="1" s="1"/>
  <c r="L114" i="1"/>
  <c r="M114" i="1" s="1"/>
  <c r="L56" i="1"/>
  <c r="M56" i="1" s="1"/>
</calcChain>
</file>

<file path=xl/sharedStrings.xml><?xml version="1.0" encoding="utf-8"?>
<sst xmlns="http://schemas.openxmlformats.org/spreadsheetml/2006/main" count="1427" uniqueCount="793">
  <si>
    <t>MBID of the recording</t>
  </si>
  <si>
    <t>Name</t>
  </si>
  <si>
    <t>Artist</t>
  </si>
  <si>
    <t>Release+Volume</t>
  </si>
  <si>
    <t>Lead Instrument Code</t>
  </si>
  <si>
    <t>Taala</t>
  </si>
  <si>
    <t>Raaga</t>
  </si>
  <si>
    <t>Excerpt Start Time (s)</t>
  </si>
  <si>
    <t>Excerpt End Time (s)</t>
  </si>
  <si>
    <t>Length of the excerpt (s)</t>
  </si>
  <si>
    <t>Length of the excerpt (min)</t>
  </si>
  <si>
    <t>Number of annotated beats</t>
  </si>
  <si>
    <t>Number of samas</t>
  </si>
  <si>
    <t>6fb02d72-120f-415a-bf46-cd455a61165c</t>
  </si>
  <si>
    <t>05_Thunga_Theera_Virajam</t>
  </si>
  <si>
    <t>Abhishek Raghuram</t>
  </si>
  <si>
    <t>Gems Of Carnatic Music - Live In Concert 2006</t>
  </si>
  <si>
    <t>V</t>
  </si>
  <si>
    <t>adi</t>
  </si>
  <si>
    <t>salaga bhairavi</t>
  </si>
  <si>
    <t>3ba1767b-f6c3-43dc-856f-1df72863650f</t>
  </si>
  <si>
    <t>1_Salamelae_-_Varnam</t>
  </si>
  <si>
    <t>Alathur Brothers</t>
  </si>
  <si>
    <t>nattakurinji</t>
  </si>
  <si>
    <t>5769ea2f-aed4-4169-9a20-bae4cb733b8e</t>
  </si>
  <si>
    <t>1-04_Shri_Visvanatham</t>
  </si>
  <si>
    <t>Amritha Murali</t>
  </si>
  <si>
    <t>December Season 2010/CD 1</t>
  </si>
  <si>
    <t>chaturdasha ragamalika</t>
  </si>
  <si>
    <t>40ecccaf-46d9-42a3-a709-e5202a1e22ec</t>
  </si>
  <si>
    <t>1_Vathapi</t>
  </si>
  <si>
    <t>Aneesh Vidyashankar</t>
  </si>
  <si>
    <t>Pure Expressions</t>
  </si>
  <si>
    <t>L</t>
  </si>
  <si>
    <t>hamsadhwani</t>
  </si>
  <si>
    <t>de94ed93-7399-47e3-aa8e-d77b49d94bd3</t>
  </si>
  <si>
    <t>2_Jagadanandakaraka</t>
  </si>
  <si>
    <t>nattai</t>
  </si>
  <si>
    <t>62107f21-e1b0-4cd2-bfcd-765ae205b7f8</t>
  </si>
  <si>
    <t>7_Jagadoddharana</t>
  </si>
  <si>
    <t>kapi</t>
  </si>
  <si>
    <t>f0a31bd3-983f-4fbe-b715-2ef0ea577158</t>
  </si>
  <si>
    <t>2-01_Anandamruta_Karshini</t>
  </si>
  <si>
    <t>Aruna Sairam</t>
  </si>
  <si>
    <t>Madrasil Margazhi 2005/CD 2</t>
  </si>
  <si>
    <t>amritavarshini</t>
  </si>
  <si>
    <t>c6758c9e-fd4e-4d55-a250-5283fff6741f</t>
  </si>
  <si>
    <t>9_Tillana</t>
  </si>
  <si>
    <t>Bombay Jayashri</t>
  </si>
  <si>
    <t>Classical Vocal</t>
  </si>
  <si>
    <t>desh</t>
  </si>
  <si>
    <t>7a97a224-559e-415f-8c52-ae0c44edf39d</t>
  </si>
  <si>
    <t>1_Varnam_-_Chalamela</t>
  </si>
  <si>
    <t>Chittibabu</t>
  </si>
  <si>
    <t>Rendezvous with Legends CD 1</t>
  </si>
  <si>
    <t>N</t>
  </si>
  <si>
    <t>natakurinji</t>
  </si>
  <si>
    <t>15694f58-98c5-4228-bcb9-128247417dc1</t>
  </si>
  <si>
    <t>3_Swara_Raga</t>
  </si>
  <si>
    <t>sankarabharanam</t>
  </si>
  <si>
    <t>4085ebbd-5b6f-4b99-bf1d-666ff45ecdaf</t>
  </si>
  <si>
    <t>3_Bantureethi</t>
  </si>
  <si>
    <t>Rendezvous with Legends CD 2</t>
  </si>
  <si>
    <t>hamsanandham</t>
  </si>
  <si>
    <t>e935b811-e08e-4512-911b-a720ffde5a3c</t>
  </si>
  <si>
    <t>2-02_Sharade_Veena_Vadana</t>
  </si>
  <si>
    <t>D. K. Jayaraman</t>
  </si>
  <si>
    <t>Paddhatti - D K Jayaraman - Live In Concert 1990/CD 2</t>
  </si>
  <si>
    <t>devagandhari</t>
  </si>
  <si>
    <t>4d3bcfe3-892b-43a8-a2ef-1f78a37cf277</t>
  </si>
  <si>
    <t>1113_Thillana</t>
  </si>
  <si>
    <t>E. Gayathri</t>
  </si>
  <si>
    <t>Sound Of Veena</t>
  </si>
  <si>
    <t>sivaranjani</t>
  </si>
  <si>
    <t>bd40e6c5-5cc5-4cbc-bc6d-5e0df14575ab</t>
  </si>
  <si>
    <t>1313_Bhagyadalakshmi</t>
  </si>
  <si>
    <t>madhyamavathi</t>
  </si>
  <si>
    <t>52f204cb-1d76-4405-a28a-add970f7f46c</t>
  </si>
  <si>
    <t>613_Watanala</t>
  </si>
  <si>
    <t>lalitha</t>
  </si>
  <si>
    <t>d2c5f8b2-550d-40de-a06e-67df57203bc9</t>
  </si>
  <si>
    <t>713_Kapali</t>
  </si>
  <si>
    <t>mohanam</t>
  </si>
  <si>
    <t>cc741a15-f5bf-4e08-a3a6-73a0c8238f18</t>
  </si>
  <si>
    <t>813_Radhamukhakamalam</t>
  </si>
  <si>
    <t>bf051611-1d47-4006-bba2-e84de063a08b</t>
  </si>
  <si>
    <t>03_Marukelara_O_Raghava</t>
  </si>
  <si>
    <t>G. N. Balasubramaniam</t>
  </si>
  <si>
    <t>Carnatic Vocal (1910 - 1965)</t>
  </si>
  <si>
    <t>jayanthasri</t>
  </si>
  <si>
    <t>b432b862-c0ec-44ef-a176-231396fd6e7a</t>
  </si>
  <si>
    <t>04_Brochevarevarura</t>
  </si>
  <si>
    <t>kamas</t>
  </si>
  <si>
    <t>ef32c6b2-87ce-4e61-9bbe-d6c46b56372c</t>
  </si>
  <si>
    <t>1-01_Ninnukkori</t>
  </si>
  <si>
    <t>Sangeethamrutham/CD 1</t>
  </si>
  <si>
    <t>e27d0605-1426-45a4-b34f-a9520742cf53</t>
  </si>
  <si>
    <t>2_Maa_Pala</t>
  </si>
  <si>
    <t>Ganesh - Kumaresh</t>
  </si>
  <si>
    <t>Live Concert</t>
  </si>
  <si>
    <t>asaveri</t>
  </si>
  <si>
    <t>6f2504c0-3b3a-4169-a586-7e139a1ee7ef</t>
  </si>
  <si>
    <t>5_Govardhana</t>
  </si>
  <si>
    <t>Hyderabad Brothers</t>
  </si>
  <si>
    <t>Sobhillu Sapthaswara &amp; other krithis</t>
  </si>
  <si>
    <t>darbari kanada</t>
  </si>
  <si>
    <t>ad1dd589-a6d7-4f2a-bfd6-356e29c5eb66</t>
  </si>
  <si>
    <t>6_Thaye_Yesoda</t>
  </si>
  <si>
    <t>Jayalakshmi Sekhar</t>
  </si>
  <si>
    <t>Oothukkadu Kritis</t>
  </si>
  <si>
    <t>thodi</t>
  </si>
  <si>
    <t>5a9f6d70-00b2-43e7-ac1e-61bb06bc5c3b</t>
  </si>
  <si>
    <t>3_Raghuvamsa</t>
  </si>
  <si>
    <t>Kadri Gopalnath</t>
  </si>
  <si>
    <t>Chidanandam</t>
  </si>
  <si>
    <t>S</t>
  </si>
  <si>
    <t>kadanakuthuhulam</t>
  </si>
  <si>
    <t>d2644d0e-dd99-4174-9447-dd67db2554a7</t>
  </si>
  <si>
    <t>8_Kurai_Ondrum</t>
  </si>
  <si>
    <t>ragamalika</t>
  </si>
  <si>
    <t>2400a42f-6ba9-4a5d-a968-d0454314a7d7</t>
  </si>
  <si>
    <t>2_Adi_Talam</t>
  </si>
  <si>
    <t>L. Subramaniam</t>
  </si>
  <si>
    <t>Tala Vadya</t>
  </si>
  <si>
    <t>M</t>
  </si>
  <si>
    <t>-NA-</t>
  </si>
  <si>
    <t>3e1cae5c-5dd0-4d64-9e41-f5beef59cf05</t>
  </si>
  <si>
    <t>1-01_Varnam</t>
  </si>
  <si>
    <t>Lalgudi G. Jayaraman</t>
  </si>
  <si>
    <t>Nada Sagaram/CD 1</t>
  </si>
  <si>
    <t>shree</t>
  </si>
  <si>
    <t>4aff200c-1415-4b41-9ecb-6b3fff9074c1</t>
  </si>
  <si>
    <t>1_Varnam</t>
  </si>
  <si>
    <t>Violin</t>
  </si>
  <si>
    <t>nalinakanthi</t>
  </si>
  <si>
    <t>4bab0121-65ef-4de3-8547-09f34ac1336a</t>
  </si>
  <si>
    <t>6_Brovabharama</t>
  </si>
  <si>
    <t>bahudari</t>
  </si>
  <si>
    <t>f6681a27-9982-43e1-b92f-91f784b756f4</t>
  </si>
  <si>
    <t>09_Manasa_Sancharare</t>
  </si>
  <si>
    <t>M. S. Gopalakrishnan</t>
  </si>
  <si>
    <t>Live in Sydney</t>
  </si>
  <si>
    <t>shyama</t>
  </si>
  <si>
    <t>1f97eafa-aa10-48d1-8739-3f5aed90a650</t>
  </si>
  <si>
    <t>7_Samaja_Vara_Gamana</t>
  </si>
  <si>
    <t>Violin Melody</t>
  </si>
  <si>
    <t>hindolam</t>
  </si>
  <si>
    <t>15cd462a-08c2-4341-aa2e-061711712fcb</t>
  </si>
  <si>
    <t>2-01_Gajavadana</t>
  </si>
  <si>
    <t>M.S. Subbulakshmi</t>
  </si>
  <si>
    <t>Paddhatti - M S Subbulakshmi - Live In Concert 1956/Vol. II</t>
  </si>
  <si>
    <t>shree ranjani</t>
  </si>
  <si>
    <t>64fe32fd-efa6-42e3-85b9-d7588cfa7375</t>
  </si>
  <si>
    <t>2_Kanchadalaaya_Daakshi</t>
  </si>
  <si>
    <t>N. Ramani</t>
  </si>
  <si>
    <t>Flute</t>
  </si>
  <si>
    <t>F</t>
  </si>
  <si>
    <t>kamala manohari</t>
  </si>
  <si>
    <t>6a58af7a-8fbd-452f-bee2-44f1e64c7e60</t>
  </si>
  <si>
    <t>3_Maamavthu_Shree</t>
  </si>
  <si>
    <t>f964a0f2-ef5a-4f44-99cf-c1415bbbfb46</t>
  </si>
  <si>
    <t>4_Kannathandri_Naapai</t>
  </si>
  <si>
    <t>devamanohari</t>
  </si>
  <si>
    <t>f8fbe77c-5708-43e2-acdd-098ac99551c0</t>
  </si>
  <si>
    <t>6_Nijadasa</t>
  </si>
  <si>
    <t>kalyani</t>
  </si>
  <si>
    <t>776c9034-a445-4bc7-892a-82cbfb5ff2f1</t>
  </si>
  <si>
    <t>8_Chandrasekara</t>
  </si>
  <si>
    <t>sindhu bhairavi</t>
  </si>
  <si>
    <t>db041c75-a415-44af-976e-3d16e0ebab46</t>
  </si>
  <si>
    <t>1-02_Sree_Ganapathini</t>
  </si>
  <si>
    <t>Nithyasree Mahadevan</t>
  </si>
  <si>
    <t>Memorable Concerts From Rfa's September Season 2009/CD 1</t>
  </si>
  <si>
    <t>sourashtram</t>
  </si>
  <si>
    <t>b66568ca-28cf-4589-80cb-ed2e03bffbfe</t>
  </si>
  <si>
    <t>2_Swaraavali</t>
  </si>
  <si>
    <t>P. Unnikrishnan</t>
  </si>
  <si>
    <t>Sangeeta Lahari</t>
  </si>
  <si>
    <t>todi</t>
  </si>
  <si>
    <t>cd7cc258-11cc-4c77-a045-0c89f320bbb0</t>
  </si>
  <si>
    <t>4_Mohanakrishnana</t>
  </si>
  <si>
    <t>631873f5-6bf6-4ce8-973b-8eea59b87a02</t>
  </si>
  <si>
    <t>7_Jaawali_Praana_naathan</t>
  </si>
  <si>
    <t>abhogi</t>
  </si>
  <si>
    <t>2a20e9c7-aa92-42c1-a6fb-db535c9830fc</t>
  </si>
  <si>
    <t>02_Narayanathe_Namonamo</t>
  </si>
  <si>
    <t>Shashank</t>
  </si>
  <si>
    <t>Moksha</t>
  </si>
  <si>
    <t>behag</t>
  </si>
  <si>
    <t>b8be0d4a-4d99-43a1-bfaa-3214c178fe2a</t>
  </si>
  <si>
    <t>1_Jalajakshi_Varnam</t>
  </si>
  <si>
    <t>Sikkil Mala Chandrasekhar</t>
  </si>
  <si>
    <t>Resonance Flute Concert</t>
  </si>
  <si>
    <t>b02b69e1-1a15-4085-ae2e-c1d85a5b81f5</t>
  </si>
  <si>
    <t>2_Ganapathiye</t>
  </si>
  <si>
    <t>karaharapriya</t>
  </si>
  <si>
    <t>c45f94a1-eaa2-4196-bb44-85590f0b4ae6</t>
  </si>
  <si>
    <t>02_Sri_Kamakshi_-_Vasantha_-_Adi_-_S</t>
  </si>
  <si>
    <t>T. Brinda</t>
  </si>
  <si>
    <t>All Time Favourites - Vol 1</t>
  </si>
  <si>
    <t>vasanta</t>
  </si>
  <si>
    <t>d8cfb76c-b08c-41e4-9aca-1de2375e26f1</t>
  </si>
  <si>
    <t>1-01_Teliyaleru_Rama</t>
  </si>
  <si>
    <t>T. M. Krishna</t>
  </si>
  <si>
    <t>December Season 2008/CD 1</t>
  </si>
  <si>
    <t>dhenuka</t>
  </si>
  <si>
    <t>e31eab59-1efd-42eb-9485-248cf3682ae7</t>
  </si>
  <si>
    <t>2-04_Mangalam</t>
  </si>
  <si>
    <t>Madrasil Margazhi 2006/CD 2</t>
  </si>
  <si>
    <t>a899e45e-b7ba-40d3-be00-fe4f35351f09</t>
  </si>
  <si>
    <t>02_Karumugil_Vannam_-Badrinath</t>
  </si>
  <si>
    <t>Vaishnava Ksetra</t>
  </si>
  <si>
    <t>33f3a6c1-fa4e-44e3-a712-d1737ec08957</t>
  </si>
  <si>
    <t>2_Akhilandeswari</t>
  </si>
  <si>
    <t>T. N. Krishnan</t>
  </si>
  <si>
    <t>Carnatic Instrumental - Violin</t>
  </si>
  <si>
    <t>dwijavanthi</t>
  </si>
  <si>
    <t>6b9b4796-4285-4dde-b9ce-396f9138ee19</t>
  </si>
  <si>
    <t>7_Thillana_(Live)_Carnatic_Violi</t>
  </si>
  <si>
    <t>fe63aa10-bfa0-4dc6-9845-e57811c2feaa</t>
  </si>
  <si>
    <t>3_Sankari_Neeve</t>
  </si>
  <si>
    <t>rupakam</t>
  </si>
  <si>
    <t>begada</t>
  </si>
  <si>
    <t>872e7917-6f4e-4ca3-a4a6-fbb7229b8021</t>
  </si>
  <si>
    <t>1-06_Maara_Vairi_ramani</t>
  </si>
  <si>
    <t>Madrasil Margazhi 2006/CD 1</t>
  </si>
  <si>
    <t>nasikabhushani</t>
  </si>
  <si>
    <t>88d8196a-123a-4306-9856-4ce3faca14fc</t>
  </si>
  <si>
    <t>6_Sagasuga_Mrudanga</t>
  </si>
  <si>
    <t>sriranjani</t>
  </si>
  <si>
    <t>dd885969-c9d8-4888-88d3-ad8960149346</t>
  </si>
  <si>
    <t>2_Ninnuvina</t>
  </si>
  <si>
    <t>navarasa kannada</t>
  </si>
  <si>
    <t>3c91e959-5292-4b7a-a5c7-36bb77684169</t>
  </si>
  <si>
    <t>5_Nadaloludai</t>
  </si>
  <si>
    <t>kalyana vasantham</t>
  </si>
  <si>
    <t>38ebd057-ce02-448c-83e4-0cb7938e8288</t>
  </si>
  <si>
    <t>48_Sendhil_Aandavan</t>
  </si>
  <si>
    <t>D. K. Jayaraman - Vocal</t>
  </si>
  <si>
    <t>8a9d6704-00f8-4864-8beb-d3f72d0012bf</t>
  </si>
  <si>
    <t>1-01_Nee_Bhakthi</t>
  </si>
  <si>
    <t>Gangadheeswaram/CD 1</t>
  </si>
  <si>
    <t>jayamanohari</t>
  </si>
  <si>
    <t>aacd01bf-c55b-4e29-8400-010a44bdce9a</t>
  </si>
  <si>
    <t>1-02_Sri_Kanchi_Nayike</t>
  </si>
  <si>
    <t>eca1fdd2-0c51-4344-ac00-d7868233a5f2</t>
  </si>
  <si>
    <t>2-04_Enadu_Ullame</t>
  </si>
  <si>
    <t>senchurutti</t>
  </si>
  <si>
    <t>cb5c57d4-0a80-4ad2-ab33-354b81557a84</t>
  </si>
  <si>
    <t>113_Pahi_Pahi</t>
  </si>
  <si>
    <t>hamsashwani</t>
  </si>
  <si>
    <t>e78556e6-b112-4624-850b-7cbaf688faf2</t>
  </si>
  <si>
    <t>313_Kaya_Roshanesham</t>
  </si>
  <si>
    <t>abheri</t>
  </si>
  <si>
    <t>15334b78-24d1-4070-a2ac-35767e959871</t>
  </si>
  <si>
    <t>3-01_Sudhamayee</t>
  </si>
  <si>
    <t>Sangeethamrutham/CD 3</t>
  </si>
  <si>
    <t>6de4f1c8-a32c-4ee0-9220-9108dcfdf67f</t>
  </si>
  <si>
    <t>3_Kamakshi</t>
  </si>
  <si>
    <t>simhendra madhyamam</t>
  </si>
  <si>
    <t>a432ceec-0c04-485b-bef1-75e222068201</t>
  </si>
  <si>
    <t>07_Thillana</t>
  </si>
  <si>
    <t>K. V. Narayanaswami</t>
  </si>
  <si>
    <t>Master Piece - Live Concert at Sri Krishna Gana Sabha 1984 Vol. III</t>
  </si>
  <si>
    <t>poorvi kalyani</t>
  </si>
  <si>
    <t>d42249e4-8889-4b34-a963-c99a674ddcf0</t>
  </si>
  <si>
    <t>2_Sabapathy</t>
  </si>
  <si>
    <t>a0194582-020b-465b-b61e-c9fc03a8e09a</t>
  </si>
  <si>
    <t>1-03_Shankarineeve</t>
  </si>
  <si>
    <t>9f26389e-a656-487c-9064-c4db160508f8</t>
  </si>
  <si>
    <t>05_So_Billu</t>
  </si>
  <si>
    <t>jaganmohini</t>
  </si>
  <si>
    <t>09ff223f-788a-40ed-b135-13c7b07aefe5</t>
  </si>
  <si>
    <t>1_Vallabha_Nayakasya</t>
  </si>
  <si>
    <t>fce494df-b99a-4a9e-88e3-381dbe009d95</t>
  </si>
  <si>
    <t>6_Lavanya_Rama</t>
  </si>
  <si>
    <t>poorna shadjam</t>
  </si>
  <si>
    <t>49039ca4-4ece-426a-a358-70a61d8f25f2</t>
  </si>
  <si>
    <t>1-03_Narada_Muni</t>
  </si>
  <si>
    <t>M.L. Vasanthakumari</t>
  </si>
  <si>
    <t>Maestro in Concert/CD 1</t>
  </si>
  <si>
    <t>pantuvarali</t>
  </si>
  <si>
    <t>1d99a413-bc0a-430d-9587-410932113eaf</t>
  </si>
  <si>
    <t>2-01_Sri_Subrahmanyaya</t>
  </si>
  <si>
    <t>Maestro in Concert/CD 2</t>
  </si>
  <si>
    <t>kambhoji</t>
  </si>
  <si>
    <t>88166f7e-a85d-4c7a-91ec-2f16831b7e79</t>
  </si>
  <si>
    <t>01_Maya_Tita_Swaroopini</t>
  </si>
  <si>
    <t>M D Ramanathan</t>
  </si>
  <si>
    <t>mayamalavagowla</t>
  </si>
  <si>
    <t>e6eeb05b-ce52-4938-acc4-11fe59ed86f6</t>
  </si>
  <si>
    <t>1-04_Nadaloludai</t>
  </si>
  <si>
    <t>kalyanavasantam</t>
  </si>
  <si>
    <t>c29f2085-b51f-4ec6-a977-879538a29549</t>
  </si>
  <si>
    <t>1-04_Angarakam</t>
  </si>
  <si>
    <t>Prasanna Venkataraman</t>
  </si>
  <si>
    <t>December Season 2009/CD 1</t>
  </si>
  <si>
    <t>surutti</t>
  </si>
  <si>
    <t>322d7791-af5b-4ea8-bf0a-dd5cc3e7ec5d</t>
  </si>
  <si>
    <t>17_Melukodayaanidhi</t>
  </si>
  <si>
    <t>S. Ramanathan</t>
  </si>
  <si>
    <t>Tyagaraja's Utsava Sampradaya Kritis</t>
  </si>
  <si>
    <t>saurashtram</t>
  </si>
  <si>
    <t>3bc2e9ff-698c-4c76-8a21-1c8de447b0ce</t>
  </si>
  <si>
    <t>7_Shobaane</t>
  </si>
  <si>
    <t>41a138f7-59a4-4ef9-ae37-5b9fd097269c</t>
  </si>
  <si>
    <t>2_Santhana_Gopalakrishnam</t>
  </si>
  <si>
    <t>Sanjay Subrahmanyan</t>
  </si>
  <si>
    <t>Compositions Of Muthuswami Dikshitar</t>
  </si>
  <si>
    <t>khamas</t>
  </si>
  <si>
    <t>5226b897-06fc-4032-9766-66e5b19e74fb</t>
  </si>
  <si>
    <t>1-02_Re_Re_Manasa_Bhajare</t>
  </si>
  <si>
    <t>December Season 2010 - Concert 1/CD 1</t>
  </si>
  <si>
    <t>nata</t>
  </si>
  <si>
    <t>560fe16b-6585-4eb5-94f4-92fffb7a481d</t>
  </si>
  <si>
    <t>6-02_Raagaratna_malikache</t>
  </si>
  <si>
    <t>December Season 2010 - Concert 3/CD 1</t>
  </si>
  <si>
    <t>reethigowla</t>
  </si>
  <si>
    <t>e2548ebd-d52d-4343-b78d-fa32e337362d</t>
  </si>
  <si>
    <t>9-04_Venugana_Loluni</t>
  </si>
  <si>
    <t>December Season 2010 - Concert 4/CD 1</t>
  </si>
  <si>
    <t>kedaragowla</t>
  </si>
  <si>
    <t>fd70ce77-10b4-4a6b-980d-3a1a4c464e68</t>
  </si>
  <si>
    <t>12-03_Angarakam_Ashramya</t>
  </si>
  <si>
    <t>December Season 2010 - Concert 5/CD 1</t>
  </si>
  <si>
    <t>surati</t>
  </si>
  <si>
    <t>18c72392-b1c2-4ba5-a908-0c3251886e20</t>
  </si>
  <si>
    <t>14-01_Velum_Mayilume</t>
  </si>
  <si>
    <t>December Season 2010 - Concert 5/CD 3</t>
  </si>
  <si>
    <t>sucharitra</t>
  </si>
  <si>
    <t>5c046343-cde4-4487-9450-ab1bf3b1ce53</t>
  </si>
  <si>
    <t>2_Korinavara</t>
  </si>
  <si>
    <t>Live Waves from Melbourne</t>
  </si>
  <si>
    <t>ramapriya</t>
  </si>
  <si>
    <t>0a057b84-ba2f-4112-b774-6689f25da3cc</t>
  </si>
  <si>
    <t>3-3_Vanitaro(Javali)</t>
  </si>
  <si>
    <t>Semmangudi R. Srinivas Iyer</t>
  </si>
  <si>
    <t>Rajamargam/CD 3</t>
  </si>
  <si>
    <t>anandabhairavi</t>
  </si>
  <si>
    <t>53c5f188-cd46-46fc-a59d-32e05a6ae985</t>
  </si>
  <si>
    <t>Vocal</t>
  </si>
  <si>
    <t>50a1bca8-bc3d-4e20-b2a5-db94bdd29aad</t>
  </si>
  <si>
    <t>3_Sobhillu_Sapthaswara</t>
  </si>
  <si>
    <t>7c12e1e5-f5c9-4269-ba0c-4d36a5c71ca3</t>
  </si>
  <si>
    <t>3_Upacharamu_Jese</t>
  </si>
  <si>
    <t>Sowmya</t>
  </si>
  <si>
    <t>Bharat Sangeet Utsav</t>
  </si>
  <si>
    <t>bhairavi</t>
  </si>
  <si>
    <t>a2b822ce-4594-4f3f-85b6-c41c5269c593</t>
  </si>
  <si>
    <t>4_Sambho_Mahadeva</t>
  </si>
  <si>
    <t>Carnatic Vocal</t>
  </si>
  <si>
    <t>524e22c9-aaf6-40e5-91ac-315b28349b6d</t>
  </si>
  <si>
    <t>6_Vagala</t>
  </si>
  <si>
    <t>1fccaf30-1821-4342-8ab1-a1c5caa89e90</t>
  </si>
  <si>
    <t>3_Neepaadamegathi</t>
  </si>
  <si>
    <t>Sudha Ragunathan</t>
  </si>
  <si>
    <t>91517732-ab95-4b42-8bef-93c065cd7018</t>
  </si>
  <si>
    <t>4_Maathangisri</t>
  </si>
  <si>
    <t>rama manohari</t>
  </si>
  <si>
    <t>0edbc0b8-fbe9-4b24-9865-2d90d278af34</t>
  </si>
  <si>
    <t>7_Pazhani</t>
  </si>
  <si>
    <t>kaapi</t>
  </si>
  <si>
    <t>2c9752fc-6843-48d0-90e5-f7645c192868</t>
  </si>
  <si>
    <t>2-03_Laliyugalave</t>
  </si>
  <si>
    <t>Sumithra Vasudev</t>
  </si>
  <si>
    <t>December Season 2010/CD 2</t>
  </si>
  <si>
    <t>neelambari</t>
  </si>
  <si>
    <t>c57c6d77-cefd-42e2-9842-f55bb4bc2ca8</t>
  </si>
  <si>
    <t>2_Ninnenera</t>
  </si>
  <si>
    <t>ff4d2d32-d293-41d9-b5db-1efd53bc952e</t>
  </si>
  <si>
    <t>1-05_Garuda_Gamana</t>
  </si>
  <si>
    <t>nagasvarali</t>
  </si>
  <si>
    <t>903f0b2d-faf9-4c0a-9235-66ce9085ecf8</t>
  </si>
  <si>
    <t>5_Dhurmarga_Chara(Ranjani)_-_T.N</t>
  </si>
  <si>
    <t>ranjani</t>
  </si>
  <si>
    <t>30321cf0-c89d-4fac-9e9c-da24bb498af0</t>
  </si>
  <si>
    <t>1-04_Himadrisute_Pahimam</t>
  </si>
  <si>
    <t>T. V. Sankaranarayanan</t>
  </si>
  <si>
    <t>December Season 2000/CD 1</t>
  </si>
  <si>
    <t>4db4512e-76c6-4fed-ae8d-fe9db39bda20</t>
  </si>
  <si>
    <t>1-01_Gam_Ganapathe</t>
  </si>
  <si>
    <t>Vijay Siva</t>
  </si>
  <si>
    <t>hamsadhvani</t>
  </si>
  <si>
    <t>569b8358-b318-409f-a8e8-1da724f01809</t>
  </si>
  <si>
    <t>2-01_Enta_ninne</t>
  </si>
  <si>
    <t>mukhari</t>
  </si>
  <si>
    <t>2a8bb9e0-f048-4c12-9e75-407b0c828995</t>
  </si>
  <si>
    <t>2-05_Madar_Pirai</t>
  </si>
  <si>
    <t>navroj</t>
  </si>
  <si>
    <t>d1d587b9-7bdc-4bbf-a55b-22c8a0da7e12</t>
  </si>
  <si>
    <t>8_Krishna_Nee_Begane</t>
  </si>
  <si>
    <t>mishraChapu</t>
  </si>
  <si>
    <t>yeman kalyani</t>
  </si>
  <si>
    <t>48fd5c6f-5e4a-4035-b04e-ba792f5d0b50</t>
  </si>
  <si>
    <t>2-02_Deva_Shri</t>
  </si>
  <si>
    <t>Pravrddha Sri Lalgudi Pancharatna Kritis/CD 2</t>
  </si>
  <si>
    <t>madhyamavati</t>
  </si>
  <si>
    <t>b788cb93-770b-4dcb-bca3-1ebaa3ecf38a</t>
  </si>
  <si>
    <t>2-02_Pakkala_Nilabadi</t>
  </si>
  <si>
    <t>kharaharapriya</t>
  </si>
  <si>
    <t>93453f59-c459-4602-b75b-aa87aeb2914f</t>
  </si>
  <si>
    <t>2-04_Viruttam_-_Drishou_Bhavaan_&amp;_Taruni_Nyan_&amp;_Mangalam</t>
  </si>
  <si>
    <t>30362cff-a59e-4e28-918a-b0c917f10878</t>
  </si>
  <si>
    <t>1-04_Ninnuvina</t>
  </si>
  <si>
    <t>Ariyakudi Ramanuja Iyengar</t>
  </si>
  <si>
    <t>Live at Mullakkal Temple, Alleppey /CD 1</t>
  </si>
  <si>
    <t>purvi kalyani</t>
  </si>
  <si>
    <t>3baa722d-480e-4ae7-8559-a88dce41e1d4</t>
  </si>
  <si>
    <t>1-04_Kamalamba</t>
  </si>
  <si>
    <t>Madrasil Margazhi 2005/CD 1</t>
  </si>
  <si>
    <t>d590b043-cf97-4488-bf24-f09db3acda08</t>
  </si>
  <si>
    <t>03_Thirukathuvam</t>
  </si>
  <si>
    <t>d17fc49c-5c9a-4dd2-9e1e-334078473e63</t>
  </si>
  <si>
    <t>4_Muruga_Muruga</t>
  </si>
  <si>
    <t>saveri</t>
  </si>
  <si>
    <t>357fc51a-8a88-40c6-8649-36e9e5f9e9e9</t>
  </si>
  <si>
    <t>1-03_Sri_Matrubhutam</t>
  </si>
  <si>
    <t>kannada</t>
  </si>
  <si>
    <t>b1ae7ad0-66dc-4207-b06d-fd402bee7323</t>
  </si>
  <si>
    <t>2-02_Venugana</t>
  </si>
  <si>
    <t>Gangadheeswaram/CD 2</t>
  </si>
  <si>
    <t>3dec9738-d123-4d75-b278-58c8250832b3</t>
  </si>
  <si>
    <t>04_Visalakshi</t>
  </si>
  <si>
    <t>D. K. Pattammal</t>
  </si>
  <si>
    <t>Paddhatti - Sangeeta Kalanidhi D K Pattammal - Live in Concert 1977 Vol. I</t>
  </si>
  <si>
    <t>4a6812e7-86d5-41a0-a780-4b8a5cd3a6fa</t>
  </si>
  <si>
    <t>413_Kamakshi</t>
  </si>
  <si>
    <t>varali</t>
  </si>
  <si>
    <t>ace42e6f-549b-4ab0-b7ee-c94e5f36da1a</t>
  </si>
  <si>
    <t>2_Brovavamma</t>
  </si>
  <si>
    <t>A Centennial Retrospective</t>
  </si>
  <si>
    <t>manji</t>
  </si>
  <si>
    <t>3e1b5364-75e3-4726-ad21-57051426ef1e</t>
  </si>
  <si>
    <t>2-01_Nidhi_chala_sukhama</t>
  </si>
  <si>
    <t>Sangeethamrutham/CD 2</t>
  </si>
  <si>
    <t>72f1c5a9-91a1-4b62-976f-7af979f8c763</t>
  </si>
  <si>
    <t>3_Pakkala_Nilapadi</t>
  </si>
  <si>
    <t>Collectors Choice</t>
  </si>
  <si>
    <t>f8a59e96-d548-4ac1-bed6-9cee22fcf23a</t>
  </si>
  <si>
    <t>4_Evarura</t>
  </si>
  <si>
    <t>5eb580e8-faea-4082-88c8-e9e3b73779ec</t>
  </si>
  <si>
    <t>7_Pullum_Silampina_(Thiruppavai)</t>
  </si>
  <si>
    <t>d030123a-ab65-40ea-85a6-36b98da459f7</t>
  </si>
  <si>
    <t>2-01_Ninne_Nammiti</t>
  </si>
  <si>
    <t>K. V. Narayanaswami &amp; N Ramani</t>
  </si>
  <si>
    <t>Paddhatti - K V Narayanaswamy &amp; Dr N Ramani - Live in Concert at Cleveland, Ohio 1983/Vol. II</t>
  </si>
  <si>
    <t>simhendramadhyamam</t>
  </si>
  <si>
    <t>9838a0b5-29f0-49bf-b79b-d499d90fdc0e</t>
  </si>
  <si>
    <t>2-02_Muruga_Muruga</t>
  </si>
  <si>
    <t>3a481433-3451-47f5-8868-6fe79b823127</t>
  </si>
  <si>
    <t>1-02_Sri_Mahaganapathi</t>
  </si>
  <si>
    <t>gowla</t>
  </si>
  <si>
    <t>cbbd3fa4-8713-4013-9c7b-d899c19afb09</t>
  </si>
  <si>
    <t>1-06_Ite_Bhagyamu</t>
  </si>
  <si>
    <t>fddca7fd-c9c2-4419-a158-e2d95887cb64</t>
  </si>
  <si>
    <t>04_Ramabhirama</t>
  </si>
  <si>
    <t>darbar</t>
  </si>
  <si>
    <t>974b7eb2-40ad-4878-8c52-2d3701aa1598</t>
  </si>
  <si>
    <t>1-05_Janani_Ninuvina</t>
  </si>
  <si>
    <t>6d4c060a-3567-4edf-a8cd-8a0e9a867d79</t>
  </si>
  <si>
    <t>1-04_Sharanam_Sharanam</t>
  </si>
  <si>
    <t>Paddhatti - M S Subbulakshmi - Live In Concert 1956/Vol. I</t>
  </si>
  <si>
    <t>718840e9-8715-4f59-ae47-f52d1691dab1</t>
  </si>
  <si>
    <t>04_Smara_Janaka_Subhacharitha</t>
  </si>
  <si>
    <t>a8fa188e-4be8-4499-bce1-a9ab37df74ff</t>
  </si>
  <si>
    <t>3_Vandheham_Sharadham</t>
  </si>
  <si>
    <t>Maharajapuram Santhanam</t>
  </si>
  <si>
    <t>Bhajans - Swami Dayananda Saraswathi</t>
  </si>
  <si>
    <t>yamankalyan</t>
  </si>
  <si>
    <t>cd1ea663-74da-4e03-9699-a6e61dda9f05</t>
  </si>
  <si>
    <t>4_Emijesithe</t>
  </si>
  <si>
    <t>Nedanuri Krishnamurthy</t>
  </si>
  <si>
    <t>Maestro's Choice</t>
  </si>
  <si>
    <t>85832a2f-f4e1-453d-b3a5-f129c86fde9c</t>
  </si>
  <si>
    <t>2-01_Innamum</t>
  </si>
  <si>
    <t>Madrasil Margazhi 2007 - The Music Academy Concerts/CD 2</t>
  </si>
  <si>
    <t>keeravani</t>
  </si>
  <si>
    <t>37720d91-a434-4630-b448-874b90f6089e</t>
  </si>
  <si>
    <t>3_Sree_Ganesha</t>
  </si>
  <si>
    <t>aafe3338-0c73-4c3f-9b22-4ced612bf931</t>
  </si>
  <si>
    <t>1_Janani_Pahi</t>
  </si>
  <si>
    <t>R. K. Srikantan</t>
  </si>
  <si>
    <t>Vintage Melodies CD 2</t>
  </si>
  <si>
    <t>shuddha saveri</t>
  </si>
  <si>
    <t>7297b84b-c8d4-492d-a498-9e99e738dafb</t>
  </si>
  <si>
    <t>2_Pannaga_Shayana</t>
  </si>
  <si>
    <t>pharas</t>
  </si>
  <si>
    <t>98b8d96f-9700-49f7-b30d-984ccf9294fd</t>
  </si>
  <si>
    <t>04_Endraikku_Sivakrupai</t>
  </si>
  <si>
    <t>Ranjani-Gayatri</t>
  </si>
  <si>
    <t>Gems Of Carnatic Music - Live In Concert 2004</t>
  </si>
  <si>
    <t>028528cc-9b4f-44b7-afb2-5c778a24adcb</t>
  </si>
  <si>
    <t>9_Laali</t>
  </si>
  <si>
    <t>sahana</t>
  </si>
  <si>
    <t>e921c369-019b-4349-b18a-4fd878271fb1</t>
  </si>
  <si>
    <t>2_Janani_Ninnuvina</t>
  </si>
  <si>
    <t>ritigowla</t>
  </si>
  <si>
    <t>507c8fee-0844-4602-82d9-2cb131d06c84</t>
  </si>
  <si>
    <t>1_Nidhichala</t>
  </si>
  <si>
    <t>1c3d8526-6692-46f5-a00a-92dddbead9ff</t>
  </si>
  <si>
    <t>2_Yarukkahilum</t>
  </si>
  <si>
    <t>7cd313af-89ea-480e-92a1-e25789a9d076</t>
  </si>
  <si>
    <t>03_Ni_Cittamu</t>
  </si>
  <si>
    <t>Tasmai Sri Gurave Namaha</t>
  </si>
  <si>
    <t>dhanyasi</t>
  </si>
  <si>
    <t>2f9db2e1-0273-4b06-850b-66af589b9791</t>
  </si>
  <si>
    <t>05_Ninnusevinchina_-_Yadulakamboji_-</t>
  </si>
  <si>
    <t>yadukula kambhoji</t>
  </si>
  <si>
    <t>987d76a1-6349-4004-9898-7f2ac65aeaaf</t>
  </si>
  <si>
    <t>05_Brova_Vamma_-_Manji_-_Misra_Chapu</t>
  </si>
  <si>
    <t>All Time Favourites - Vol 3</t>
  </si>
  <si>
    <t>288ce104-4a50-4822-99d4-94a602353382</t>
  </si>
  <si>
    <t>03_Nee_Chittamu_-_Dhanyasi_-_Misra_C</t>
  </si>
  <si>
    <t>All Time Favourites - Vol 4</t>
  </si>
  <si>
    <t>8b217b4a-85bc-47eb-9ff5-c5ed1b087810</t>
  </si>
  <si>
    <t>05_Manasusvadeena_-_Shankarabharanam</t>
  </si>
  <si>
    <t>dheerasankarabharanam</t>
  </si>
  <si>
    <t>49b39a9e-757f-4c8b-88e1-836f7a608277</t>
  </si>
  <si>
    <t>3_Sri_Mathrubhootham</t>
  </si>
  <si>
    <t>766235e1-3c93-4181-bb7d-31623f3bfd2d</t>
  </si>
  <si>
    <t>1-04_Anandesvarena</t>
  </si>
  <si>
    <t>507cb9b4-36c9-449a-a7e5-31d6b26ca1ff</t>
  </si>
  <si>
    <t>2-02_Navasiddhi_Petralum</t>
  </si>
  <si>
    <t>bec3b237-0a03-4011-9d8b-394415b0a6b2</t>
  </si>
  <si>
    <t>08_Aiyan_Azhagan_-_Azhagarkoil</t>
  </si>
  <si>
    <t>f2946bb4-e863-422c-9555-47842cfb0dd7</t>
  </si>
  <si>
    <t>06_Ashtapadi_-_Natha_Hare</t>
  </si>
  <si>
    <t>T. N. Seshagopalan</t>
  </si>
  <si>
    <t>The Masterpiece Collection</t>
  </si>
  <si>
    <t>20400fc0-0374-4187-9c21-a34ccf491f9d</t>
  </si>
  <si>
    <t>1-05_Saranam_Ayyappa</t>
  </si>
  <si>
    <t>33d896d2-1a7b-4e5f-9508-c3fb5d228c94</t>
  </si>
  <si>
    <t>1-03_Mamava_Karunaya</t>
  </si>
  <si>
    <t>Tanjore S. Kalyanaraman</t>
  </si>
  <si>
    <t>Live Concert 1974/CD 1</t>
  </si>
  <si>
    <t>shanmukhapriya</t>
  </si>
  <si>
    <t>693cf96d-d806-47a7-bb7b-6163a6584e9f</t>
  </si>
  <si>
    <t>2-02_Hecharikaga</t>
  </si>
  <si>
    <t>Live at Mullakkal Temple, Alleppey /CD 2</t>
  </si>
  <si>
    <t>khandaChapu</t>
  </si>
  <si>
    <t>yadukula kamboji</t>
  </si>
  <si>
    <t>34f12b1d-bb35-48bc-a6c4-ffc4b52f140d</t>
  </si>
  <si>
    <t>2-02_Muruganin_marupeyar</t>
  </si>
  <si>
    <t>December Season 2009/CD 2</t>
  </si>
  <si>
    <t>412e0f61-f22d-47f9-81c2-ebb17be7a339</t>
  </si>
  <si>
    <t>02_Marivere_Dikkevvaru</t>
  </si>
  <si>
    <t>lathangi</t>
  </si>
  <si>
    <t>c81aa59b-bcc7-4199-a27a-0ded0764c8f3</t>
  </si>
  <si>
    <t>1-01_Pavanatmajagaccha</t>
  </si>
  <si>
    <t>9bc3bca7-3360-4e6a-9c60-d38bfc2da752</t>
  </si>
  <si>
    <t>04_Nathupai</t>
  </si>
  <si>
    <t>8b90c893-ff35-440e-80ea-d8ea7efbdff1</t>
  </si>
  <si>
    <t>8_Kommala_Koila</t>
  </si>
  <si>
    <t>maund</t>
  </si>
  <si>
    <t>89841023-9a2a-4f6c-8cb6-f2d446e813af</t>
  </si>
  <si>
    <t>513_Amba_Mahavani</t>
  </si>
  <si>
    <t>saraswati manohari</t>
  </si>
  <si>
    <t>4c754755-b34a-4eac-930d-27e4aef4bd10</t>
  </si>
  <si>
    <t>1-02_Jaya_Jaya</t>
  </si>
  <si>
    <t>Ragamrutham Live at Mysore - 1957/CD 1</t>
  </si>
  <si>
    <t>9709590d-cc8c-4da6-84e6-a044756a3b76</t>
  </si>
  <si>
    <t>5_Om_Namonarayana</t>
  </si>
  <si>
    <t>kamaranjani</t>
  </si>
  <si>
    <t>de98f22d-7f58-49c4-946d-ba7e8e4aa69c</t>
  </si>
  <si>
    <t>07_Bhogindra_Shayinam</t>
  </si>
  <si>
    <t>kuntalavarali</t>
  </si>
  <si>
    <t>fa499e6d-caa1-4ed4-b553-bfe640129e19</t>
  </si>
  <si>
    <t>4_Marivere</t>
  </si>
  <si>
    <t>2b492949-7b59-4e23-8695-0d6819d29485</t>
  </si>
  <si>
    <t>1-04_Jaya_Jaya</t>
  </si>
  <si>
    <t>b821486b-b734-4c8e-b876-ccb6519d121f</t>
  </si>
  <si>
    <t>3_Yemaiyyarama</t>
  </si>
  <si>
    <t>0959d3ab-99a9-4203-928c-8ac5e35b4d84</t>
  </si>
  <si>
    <t>1-03_Paripalinchu</t>
  </si>
  <si>
    <t>Madrasil Margazhi 2007 - The Music Academy Concerts/CD 1</t>
  </si>
  <si>
    <t>5c9a2570-96d7-47c9-8370-4f3162e8f899</t>
  </si>
  <si>
    <t>2-05_Sivanar_Manam</t>
  </si>
  <si>
    <t>86283bae-c08d-412a-982b-23498e144758</t>
  </si>
  <si>
    <t>3-03_Virutham_Kandar_Anubuthi_followed_by_Muruganin_Marupeyar</t>
  </si>
  <si>
    <t>Memorable Concerts From Rfa's September Season 2009/CD 3</t>
  </si>
  <si>
    <t>829ee0c7-e7c8-4e3b-abe3-2df5f3f7da7d</t>
  </si>
  <si>
    <t>10_Laali</t>
  </si>
  <si>
    <t>kedaragaula</t>
  </si>
  <si>
    <t>10f540e5-1774-428a-85f0-d7de2d8a7780</t>
  </si>
  <si>
    <t>11_Laali</t>
  </si>
  <si>
    <t>45ac02f9-e046-495d-86c7-deac430ca977</t>
  </si>
  <si>
    <t>13_Pavvalimpu</t>
  </si>
  <si>
    <t>nilambari</t>
  </si>
  <si>
    <t>049d9e8f-a34c-4da7-aa7d-617584c5c461</t>
  </si>
  <si>
    <t>16_Melokovayya</t>
  </si>
  <si>
    <t>bowli</t>
  </si>
  <si>
    <t>0298c72e-5e3c-46d2-abf6-d0559c8b80b7</t>
  </si>
  <si>
    <t>18_Mangalam</t>
  </si>
  <si>
    <t>ghanta</t>
  </si>
  <si>
    <t>5423fdaf-e914-49e2-ac8b-b52003b374a6</t>
  </si>
  <si>
    <t>2_Hechirakaga_Rara</t>
  </si>
  <si>
    <t>yadukulakambhoji</t>
  </si>
  <si>
    <t>c82417ab-6976-4115-b607-025c4665e5b8</t>
  </si>
  <si>
    <t>3_Gauri_Kalyana-Kurinji</t>
  </si>
  <si>
    <t>kurinji</t>
  </si>
  <si>
    <t>5d1e6f5e-a588-461a-afc4-4d42a68e0adb</t>
  </si>
  <si>
    <t>10-01_Vaa_Velava</t>
  </si>
  <si>
    <t>December Season 2010 - Concert 4/CD 2</t>
  </si>
  <si>
    <t>tanarupi</t>
  </si>
  <si>
    <t>aa97b27e-4fd3-4130-865d-77a16ac59246</t>
  </si>
  <si>
    <t>4_Amma_Ravamma</t>
  </si>
  <si>
    <t>bbee764d-7406-47ce-821a-a82030b89eca</t>
  </si>
  <si>
    <t>2_Anupama_Gunambudhi</t>
  </si>
  <si>
    <t>atana</t>
  </si>
  <si>
    <t>c5e32bf4-2cb1-47fc-a3fd-c855e0e2cd40</t>
  </si>
  <si>
    <t>1-05_Paridanamiccite</t>
  </si>
  <si>
    <t>bilahari</t>
  </si>
  <si>
    <t>cc3405b1-cca6-40e3-bdf7-34ba49af6872</t>
  </si>
  <si>
    <t>1-02_Purandara_Dasa</t>
  </si>
  <si>
    <t>10039_2_Swaraavali.wav</t>
  </si>
  <si>
    <t>10048_02_Karumugil_Vannam_-Badrinath.wav</t>
  </si>
  <si>
    <t>10006_7_Jagadoddharana.wav</t>
  </si>
  <si>
    <t>10007_2-01_Anandamruta_Karshini.wav</t>
  </si>
  <si>
    <t>10017_813_Radhamukhakamalam.wav</t>
  </si>
  <si>
    <t>10010_3_Swara_Raga.wav</t>
  </si>
  <si>
    <t>10040_4_Mohanakrishnana.wav</t>
  </si>
  <si>
    <t>10030_09_Manasa_Sancharare.wav</t>
  </si>
  <si>
    <t>10043_1_Jalajakshi_Varnam.wav</t>
  </si>
  <si>
    <t>10023_6_Thaye_Yesoda.wav</t>
  </si>
  <si>
    <t>10012_2-02_Sharade_Veena_Vadana.wav</t>
  </si>
  <si>
    <t>10008_9_Tillana.wav</t>
  </si>
  <si>
    <t>10013_1113_Thillana.wav</t>
  </si>
  <si>
    <t>10003_1-04_Shri_Visvanatham.wav</t>
  </si>
  <si>
    <t>10028_1_Varnam.wav</t>
  </si>
  <si>
    <t>10024_3_Raghuvamsa.wav</t>
  </si>
  <si>
    <t>10050_7_Thillana_(Live)_Carnatic_Violi.wav</t>
  </si>
  <si>
    <t>10025_8_Kurai_Ondrum.wav</t>
  </si>
  <si>
    <t>10019_04_Brochevarevarura.wav</t>
  </si>
  <si>
    <t>10033_2_Kanchadalaaya_Daakshi.wav</t>
  </si>
  <si>
    <t>10032_2-01_Gajavadana.wav</t>
  </si>
  <si>
    <t>10049_2_Akhilandeswari.wav</t>
  </si>
  <si>
    <t>10004_1_Vathapi.wav</t>
  </si>
  <si>
    <t>10022_5_Govardhana.wav</t>
  </si>
  <si>
    <t>10036_6_Nijadasa.wav</t>
  </si>
  <si>
    <t>11030_9-04_Venugana_Loluni.wav</t>
  </si>
  <si>
    <t>11049_2-01_Enta_ninne.wav</t>
  </si>
  <si>
    <t>11004_2_Ninnuvina.wav</t>
  </si>
  <si>
    <t>11005_5_Nadaloludai.wav</t>
  </si>
  <si>
    <t>11014_07_Thillana.wav</t>
  </si>
  <si>
    <t>11033_2_Korinavara.wav</t>
  </si>
  <si>
    <t>11025_17_Melukodayaanidhi.wav</t>
  </si>
  <si>
    <t>11039_6_Vagala.wav</t>
  </si>
  <si>
    <t>11031_12-03_Angarakam_Ashramya.wav</t>
  </si>
  <si>
    <t>11027_2_Santhana_Gopalakrishnam.wav</t>
  </si>
  <si>
    <t>11024_1-04_Angarakam.wav</t>
  </si>
  <si>
    <t>11043_2-03_Laliyugalave.wav</t>
  </si>
  <si>
    <t>11015_2_Sabapathy.wav</t>
  </si>
  <si>
    <t>11003_6_Sagasuga_Mrudanga.wav</t>
  </si>
  <si>
    <t>11038_4_Sambho_Mahadeva.wav</t>
  </si>
  <si>
    <t>11010_113_Pahi_Pahi.wav</t>
  </si>
  <si>
    <t>11035_1_Vallabha_Nayakasya.wav</t>
  </si>
  <si>
    <t>11032_14-01_Velum_Mayilume.wav</t>
  </si>
  <si>
    <t>11022_01_Maya_Tita_Swaroopini.wav</t>
  </si>
  <si>
    <t>11037_3_Upacharamu_Jese.wav</t>
  </si>
  <si>
    <t>11047_1-04_Himadrisute_Pahimam.wav</t>
  </si>
  <si>
    <t>11008_1-02_Sri_Kanchi_Nayike.wav</t>
  </si>
  <si>
    <t>11050_2-05_Madar_Pirai.wav</t>
  </si>
  <si>
    <t>11016_1-03_Shankarineeve.wav</t>
  </si>
  <si>
    <t>11042_7_Pazhani.wav</t>
  </si>
  <si>
    <t>12002_2-02_Deva_Shri.wav</t>
  </si>
  <si>
    <t>12033_9_Laali.wav</t>
  </si>
  <si>
    <t>12047_1-05_Saranam_Ayyappa.wav</t>
  </si>
  <si>
    <t>12010_2-02_Venugana.wav</t>
  </si>
  <si>
    <t>12017_7_Pullum_Silampina_(Thiruppavai).wav</t>
  </si>
  <si>
    <t>12046_06_Ashtapadi_-_Natha_Hare.wav</t>
  </si>
  <si>
    <t>12048_1-03_Mamava_Karunaya.wav</t>
  </si>
  <si>
    <t>12035_1_Nidhichala.wav</t>
  </si>
  <si>
    <t>12034_2_Janani_Ninnuvina.wav</t>
  </si>
  <si>
    <t>12004_2-04_Viruttam_-_Drishou_Bhavaan_&amp;_Taruni_Nyan_&amp;_Mangalam.wav</t>
  </si>
  <si>
    <t>12003_2-02_Pakkala_Nilabadi.wav</t>
  </si>
  <si>
    <t>12036_2_Yarukkahilum.wav</t>
  </si>
  <si>
    <t>12037_03_Ni_Cittamu.wav</t>
  </si>
  <si>
    <t>12032_04_Endraikku_Sivakrupai.wav</t>
  </si>
  <si>
    <t>12005_1-04_Ninnuvina.wav</t>
  </si>
  <si>
    <t>12023_1-05_Janani_Ninuvina.wav</t>
  </si>
  <si>
    <t>12022_04_Ramabhirama.wav</t>
  </si>
  <si>
    <t>12028_2-01_Innamum.wav</t>
  </si>
  <si>
    <t>12008_4_Muruga_Muruga.wav</t>
  </si>
  <si>
    <t>12039_05_Brova_Vamma_-_Manji_-_Misra_Chapu.wav</t>
  </si>
  <si>
    <t>12031_2_Pannaga_Shayana.wav</t>
  </si>
  <si>
    <t>12019_2-02_Muruga_Muruga.wav</t>
  </si>
  <si>
    <t>12045_08_Aiyan_Azhagan_-_Azhagarkoil.wav</t>
  </si>
  <si>
    <t>12009_1-03_Sri_Matrubhutam.wav</t>
  </si>
  <si>
    <t>13022_2_Hechirakaga_Rara.wav</t>
  </si>
  <si>
    <t>13010_07_Bhogindra_Shayinam.wav</t>
  </si>
  <si>
    <t>13015_2-05_Sivanar_Manam.wav</t>
  </si>
  <si>
    <t>13005_04_Nathupai.wav</t>
  </si>
  <si>
    <t>13027_1-05_Paridanamiccite.wav</t>
  </si>
  <si>
    <t>13007_513_Amba_Mahavani.wav</t>
  </si>
  <si>
    <t>13012_1-04_Jaya_Jaya.wav</t>
  </si>
  <si>
    <t>13017_10_Laali.wav</t>
  </si>
  <si>
    <t>13018_11_Laali.wav</t>
  </si>
  <si>
    <t>13025_4_Amma_Ravamma.wav</t>
  </si>
  <si>
    <t>13014_1-03_Paripalinchu.wav</t>
  </si>
  <si>
    <t>13003_02_Marivere_Dikkevvaru.wav</t>
  </si>
  <si>
    <t>13028_1-02_Purandara_Dasa.wav</t>
  </si>
  <si>
    <t>13026_2_Anupama_Gunambudhi.wav</t>
  </si>
  <si>
    <t>11026_7_Shobaane.wav</t>
  </si>
  <si>
    <t>11034_3-3_Vanitaro(Javali).wav</t>
  </si>
  <si>
    <t>11017_05_So_Billu.wav</t>
  </si>
  <si>
    <t>Filename</t>
  </si>
  <si>
    <t>10037_8_Chandrasekara.wav</t>
  </si>
  <si>
    <t>10046_1-01_Teliyaleru_Rama.wav</t>
  </si>
  <si>
    <t>10026_2_Adi_Talam.wav</t>
  </si>
  <si>
    <t>10041_7_Jaawali_Praana_naathan.wav</t>
  </si>
  <si>
    <t>10005_2_Jagadanandakaraka.wav</t>
  </si>
  <si>
    <t>10002_1_Salamelae_-_Varnam.wav</t>
  </si>
  <si>
    <t>10045_02_Sri_Kamakshi_-_Vasantha_-_Adi_-_S.wav</t>
  </si>
  <si>
    <t>10020_1-01_Ninnukkori.wav</t>
  </si>
  <si>
    <t>10029_6_Brovabharama.wav</t>
  </si>
  <si>
    <t>10042_02_Narayanathe_Namonamo.wav</t>
  </si>
  <si>
    <t>10015_613_Watanala.wav</t>
  </si>
  <si>
    <t>10047_2-04_Mangalam.wav</t>
  </si>
  <si>
    <t>10011_3_Bantureethi.wav</t>
  </si>
  <si>
    <t>10044_2_Ganapathiye.wav</t>
  </si>
  <si>
    <t>10031_7_Samaja_Vara_Gamana.wav</t>
  </si>
  <si>
    <t>10021_2_Maa_Pala.wav</t>
  </si>
  <si>
    <t>10009_1_Varnam_-_Chalamela.wav</t>
  </si>
  <si>
    <t>10018_03_Marukelara_O_Raghava.wav</t>
  </si>
  <si>
    <t>10035_4_Kannathandri_Naapai.wav</t>
  </si>
  <si>
    <t>10038_1-02_Sree_Ganapathini.wav</t>
  </si>
  <si>
    <t>10027_1-01_Varnam.wav</t>
  </si>
  <si>
    <t>10016_713_Kapali.wav</t>
  </si>
  <si>
    <t>10034_3_Maamavthu_Shree.wav</t>
  </si>
  <si>
    <t>10014_1313_Bhagyadalakshmi.wav</t>
  </si>
  <si>
    <t>10001_05_Thunga_Theera_Virajam.wav</t>
  </si>
  <si>
    <t>11002_1-06_Maara_Vairi_ramani.wav</t>
  </si>
  <si>
    <t>11041_4_Maathangisri.wav</t>
  </si>
  <si>
    <t>11012_3-01_Sudhamayee.wav</t>
  </si>
  <si>
    <t>11021_2-01_Sri_Subrahmanyaya.wav</t>
  </si>
  <si>
    <t>11045_1-05_Garuda_Gamana.wav</t>
  </si>
  <si>
    <t>11001_3_Sankari_Neeve.wav</t>
  </si>
  <si>
    <t>11018_1_Vallabha_Nayakasya.wav</t>
  </si>
  <si>
    <t>11011_313_Kaya_Roshanesham.wav</t>
  </si>
  <si>
    <t>11013_3_Kamakshi.wav</t>
  </si>
  <si>
    <t>11048_1-01_Gam_Ganapathe.wav</t>
  </si>
  <si>
    <t>11044_2_Ninnenera.wav</t>
  </si>
  <si>
    <t>11046_5_Dhurmarga_Chara(Ranjani)_-_T.wav</t>
  </si>
  <si>
    <t>11029_6-02_Raagaratna_malikache.wav</t>
  </si>
  <si>
    <t>11036_3_Sobhillu_Sapthaswara.wav</t>
  </si>
  <si>
    <t>11006_48_Sendhil_Aandavan.wav</t>
  </si>
  <si>
    <t>11028_1-02_Re_Re_Manasa_Bhajare.wav</t>
  </si>
  <si>
    <t>11007_1-01_Nee_Bhakthi.wav</t>
  </si>
  <si>
    <t>11020_1-03_Narada_Muni.wav</t>
  </si>
  <si>
    <t>11040_3_Neepaadamegathi.wav</t>
  </si>
  <si>
    <t>11023_1-04_Nadaloludai.wav</t>
  </si>
  <si>
    <t>11019_6_Lavanya_Rama.wav</t>
  </si>
  <si>
    <t>11009_2-04_Enadu_Ullame.wav</t>
  </si>
  <si>
    <t>12026_3_Vandheham_Sharadham.wav</t>
  </si>
  <si>
    <t>12044_2-02_Navasiddhi_Petralum.wav</t>
  </si>
  <si>
    <t>12018_2-01_Ninne_Nammiti.wav</t>
  </si>
  <si>
    <t>12025_04_Smara_Janaka_Subhacharitha.wav</t>
  </si>
  <si>
    <t>12030_1_Janani_Pahi.wav</t>
  </si>
  <si>
    <t>12015_3_Pakkala_Nilapadi.wav</t>
  </si>
  <si>
    <t>12020_1-02_Sri_Mahaganapathi.wav</t>
  </si>
  <si>
    <t>12021_1-06_Ite_Bhagyamu.wav</t>
  </si>
  <si>
    <t>12016_4_Evarura.wav</t>
  </si>
  <si>
    <t>12038_05_Ninnusevinchina_-_Yadulakamboji_-.wav</t>
  </si>
  <si>
    <t>12001_8_Krishna_Nee_Begane.wav</t>
  </si>
  <si>
    <t>12040_03_Nee_Chittamu_-_Dhanyasi_-_Misra_C.wav</t>
  </si>
  <si>
    <t>12042_3_Sri_Mathrubhootham.wav</t>
  </si>
  <si>
    <t>12006_1-04_Kamalamba.wav</t>
  </si>
  <si>
    <t>12043_1-04_Anandesvarena.wav</t>
  </si>
  <si>
    <t>12014_2-01_Nidhi_chala_sukhama.wav</t>
  </si>
  <si>
    <t>12011_04_Visalakshi.wav</t>
  </si>
  <si>
    <t>12013_2_Brovavamma.wav</t>
  </si>
  <si>
    <t>12024_1-04_Sharanam_Sharanam.wav</t>
  </si>
  <si>
    <t>12027_4_Emijesithe.wav</t>
  </si>
  <si>
    <t>12041_05_Manasusvadeena_-_Shankarabharanam.wav</t>
  </si>
  <si>
    <t>12007_03_Thirukathuvam.wav</t>
  </si>
  <si>
    <t>12012_413_Kamakshi.wav</t>
  </si>
  <si>
    <t>12029_3_Sree_Ganesha.wav</t>
  </si>
  <si>
    <t>13024_10-01_Vaa_Velava.wav</t>
  </si>
  <si>
    <t>13016_3-03_Virutham_Kandar_Anubuthi_followed_by_Muruganin_Marupeyar.wav</t>
  </si>
  <si>
    <t>13013_3_Yemaiyyarama.wav</t>
  </si>
  <si>
    <t>13011_4_Marivere.wav</t>
  </si>
  <si>
    <t>13023_3_Gauri_Kalyana-Kurinji.wav</t>
  </si>
  <si>
    <t>13008_1-02_Jaya_Jaya.wav</t>
  </si>
  <si>
    <t>13009_5_Om_Namonarayana.wav</t>
  </si>
  <si>
    <t>13002_2-02_Muruganin_marupeyar.wav</t>
  </si>
  <si>
    <t>13001_2-02_Hecharikaga.wav</t>
  </si>
  <si>
    <t>13020_16_Melokovayya.wav</t>
  </si>
  <si>
    <t>13021_18_Mangalam.wav</t>
  </si>
  <si>
    <t>13004_1-01_Pavanatmajagaccha.wav</t>
  </si>
  <si>
    <t>13019_13_Pavvalimpu.wav</t>
  </si>
  <si>
    <t>13006_8_Kommala_Koila.wav</t>
  </si>
  <si>
    <t>Fold</t>
  </si>
  <si>
    <t>track_id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</si>
</sst>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name val="Cambria"/>
      <family val="1"/>
    </font>
    <font>
      <sz val="10"/>
      <color rgb="FF000000"/>
      <name val="Cambria"/>
      <family val="1"/>
    </font>
    <font>
      <sz val="10"/>
      <color rgb="FF000000"/>
      <name val="Arial"/>
      <family val="2"/>
    </font>
    <font>
      <sz val="13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2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11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7"/>
  <sheetViews>
    <sheetView tabSelected="1" zoomScale="143" zoomScaleNormal="14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baseColWidth="10" defaultColWidth="8.83203125" defaultRowHeight="13" x14ac:dyDescent="0.15"/>
  <cols>
    <col min="2" max="2" width="9" bestFit="1" customWidth="1"/>
    <col min="3" max="3" width="8.6640625" customWidth="1"/>
    <col min="4" max="4" width="26.5" customWidth="1"/>
    <col min="5" max="5" width="25.83203125" customWidth="1"/>
    <col min="6" max="6" width="17.33203125" customWidth="1"/>
    <col min="7" max="7" width="4.83203125" customWidth="1"/>
    <col min="8" max="8" width="9.1640625" customWidth="1"/>
    <col min="9" max="9" width="8.6640625" customWidth="1"/>
    <col min="10" max="13" width="6.5" customWidth="1"/>
    <col min="14" max="15" width="8" customWidth="1"/>
    <col min="16" max="16" width="18.5" customWidth="1"/>
    <col min="17" max="23" width="17.33203125" customWidth="1"/>
    <col min="24" max="1026" width="14.5" customWidth="1"/>
  </cols>
  <sheetData>
    <row r="1" spans="1:23" ht="90" x14ac:dyDescent="0.15">
      <c r="A1" s="11" t="s">
        <v>791</v>
      </c>
      <c r="B1" s="1" t="s">
        <v>792</v>
      </c>
      <c r="C1" s="1" t="s">
        <v>0</v>
      </c>
      <c r="D1" s="2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/>
      <c r="Q1" s="1"/>
      <c r="R1" s="2"/>
      <c r="S1" s="1"/>
      <c r="T1" s="1"/>
      <c r="U1" s="1"/>
      <c r="V1" s="1"/>
      <c r="W1" s="1"/>
    </row>
    <row r="2" spans="1:23" ht="15" x14ac:dyDescent="0.15">
      <c r="A2">
        <f>IF(COUNTIF(Fold1!A:A, B2), 1, IF(COUNTIF(Fold2!A:A, B2), 2, ""))</f>
        <v>1</v>
      </c>
      <c r="B2" s="3">
        <v>10001</v>
      </c>
      <c r="C2" s="3" t="s">
        <v>13</v>
      </c>
      <c r="D2" s="2" t="s">
        <v>14</v>
      </c>
      <c r="E2" s="3" t="s">
        <v>15</v>
      </c>
      <c r="F2" s="2" t="s">
        <v>16</v>
      </c>
      <c r="G2" s="1" t="s">
        <v>17</v>
      </c>
      <c r="H2" s="3" t="s">
        <v>18</v>
      </c>
      <c r="I2" s="3" t="s">
        <v>19</v>
      </c>
      <c r="J2" s="3">
        <v>26</v>
      </c>
      <c r="K2" s="3">
        <f>2*60+55</f>
        <v>175</v>
      </c>
      <c r="L2">
        <f t="shared" ref="L2:L33" si="0">K2-J2</f>
        <v>149</v>
      </c>
      <c r="M2">
        <f t="shared" ref="M2:M33" si="1">ROUND(L2/60,2)</f>
        <v>2.48</v>
      </c>
      <c r="N2" s="1">
        <v>193</v>
      </c>
      <c r="O2" s="1">
        <v>25</v>
      </c>
      <c r="P2" s="2"/>
      <c r="Q2" s="3"/>
    </row>
    <row r="3" spans="1:23" ht="15" x14ac:dyDescent="0.15">
      <c r="A3">
        <f>IF(COUNTIF(Fold1!A:A, B3), 1, IF(COUNTIF(Fold2!A:A, B3), 2, ""))</f>
        <v>1</v>
      </c>
      <c r="B3" s="3">
        <v>10002</v>
      </c>
      <c r="C3" s="3" t="s">
        <v>20</v>
      </c>
      <c r="D3" s="2" t="s">
        <v>21</v>
      </c>
      <c r="E3" s="3" t="s">
        <v>22</v>
      </c>
      <c r="F3" s="2" t="s">
        <v>22</v>
      </c>
      <c r="G3" s="1" t="s">
        <v>17</v>
      </c>
      <c r="H3" s="3" t="s">
        <v>18</v>
      </c>
      <c r="I3" s="3" t="s">
        <v>23</v>
      </c>
      <c r="J3" s="3">
        <v>16</v>
      </c>
      <c r="K3" s="3">
        <f>240+13</f>
        <v>253</v>
      </c>
      <c r="L3">
        <f t="shared" si="0"/>
        <v>237</v>
      </c>
      <c r="M3">
        <f t="shared" si="1"/>
        <v>3.95</v>
      </c>
      <c r="N3" s="1">
        <v>368</v>
      </c>
      <c r="O3" s="1">
        <v>46</v>
      </c>
      <c r="P3" s="2"/>
      <c r="Q3" s="3"/>
      <c r="R3" s="2"/>
    </row>
    <row r="4" spans="1:23" ht="15" x14ac:dyDescent="0.15">
      <c r="A4">
        <f>IF(COUNTIF(Fold1!A:A, B4), 1, IF(COUNTIF(Fold2!A:A, B4), 2, ""))</f>
        <v>2</v>
      </c>
      <c r="B4" s="3">
        <v>10003</v>
      </c>
      <c r="C4" s="3" t="s">
        <v>24</v>
      </c>
      <c r="D4" s="2" t="s">
        <v>25</v>
      </c>
      <c r="E4" s="3" t="s">
        <v>26</v>
      </c>
      <c r="F4" s="2" t="s">
        <v>27</v>
      </c>
      <c r="G4" s="1" t="s">
        <v>17</v>
      </c>
      <c r="H4" s="3" t="s">
        <v>18</v>
      </c>
      <c r="I4" s="3" t="s">
        <v>28</v>
      </c>
      <c r="J4" s="3">
        <v>54</v>
      </c>
      <c r="K4" s="3">
        <f>6*60+46</f>
        <v>406</v>
      </c>
      <c r="L4">
        <f t="shared" si="0"/>
        <v>352</v>
      </c>
      <c r="M4">
        <f t="shared" si="1"/>
        <v>5.87</v>
      </c>
      <c r="N4" s="1">
        <v>481</v>
      </c>
      <c r="O4" s="1">
        <v>61</v>
      </c>
      <c r="P4" s="2"/>
      <c r="Q4" s="3"/>
      <c r="R4" s="2"/>
    </row>
    <row r="5" spans="1:23" ht="15" x14ac:dyDescent="0.15">
      <c r="A5">
        <f>IF(COUNTIF(Fold1!A:A, B5), 1, IF(COUNTIF(Fold2!A:A, B5), 2, ""))</f>
        <v>2</v>
      </c>
      <c r="B5" s="3">
        <v>10004</v>
      </c>
      <c r="C5" s="3" t="s">
        <v>29</v>
      </c>
      <c r="D5" s="2" t="s">
        <v>30</v>
      </c>
      <c r="E5" s="3" t="s">
        <v>31</v>
      </c>
      <c r="F5" s="2" t="s">
        <v>32</v>
      </c>
      <c r="G5" s="1" t="s">
        <v>33</v>
      </c>
      <c r="H5" s="3" t="s">
        <v>18</v>
      </c>
      <c r="I5" s="3" t="s">
        <v>34</v>
      </c>
      <c r="J5" s="3">
        <v>43</v>
      </c>
      <c r="K5" s="3">
        <f>9*60+13</f>
        <v>553</v>
      </c>
      <c r="L5">
        <f t="shared" si="0"/>
        <v>510</v>
      </c>
      <c r="M5">
        <f t="shared" si="1"/>
        <v>8.5</v>
      </c>
      <c r="N5" s="1">
        <v>825</v>
      </c>
      <c r="O5" s="1">
        <v>104</v>
      </c>
      <c r="P5" s="2"/>
      <c r="Q5" s="3"/>
      <c r="R5" s="2"/>
    </row>
    <row r="6" spans="1:23" ht="15" x14ac:dyDescent="0.15">
      <c r="A6">
        <f>IF(COUNTIF(Fold1!A:A, B6), 1, IF(COUNTIF(Fold2!A:A, B6), 2, ""))</f>
        <v>1</v>
      </c>
      <c r="B6" s="3">
        <v>10005</v>
      </c>
      <c r="C6" s="3" t="s">
        <v>35</v>
      </c>
      <c r="D6" s="2" t="s">
        <v>36</v>
      </c>
      <c r="E6" s="3" t="s">
        <v>31</v>
      </c>
      <c r="F6" s="2" t="s">
        <v>32</v>
      </c>
      <c r="G6" s="1" t="s">
        <v>33</v>
      </c>
      <c r="H6" s="3" t="s">
        <v>18</v>
      </c>
      <c r="I6" s="3" t="s">
        <v>37</v>
      </c>
      <c r="J6" s="3">
        <v>3</v>
      </c>
      <c r="K6" s="3">
        <f>8*60+37</f>
        <v>517</v>
      </c>
      <c r="L6">
        <f t="shared" si="0"/>
        <v>514</v>
      </c>
      <c r="M6">
        <f t="shared" si="1"/>
        <v>8.57</v>
      </c>
      <c r="N6" s="1">
        <v>705</v>
      </c>
      <c r="O6" s="1">
        <v>89</v>
      </c>
      <c r="P6" s="2"/>
      <c r="Q6" s="3"/>
      <c r="R6" s="2"/>
    </row>
    <row r="7" spans="1:23" ht="15" x14ac:dyDescent="0.15">
      <c r="A7">
        <f>IF(COUNTIF(Fold1!A:A, B7), 1, IF(COUNTIF(Fold2!A:A, B7), 2, ""))</f>
        <v>2</v>
      </c>
      <c r="B7" s="3">
        <v>10006</v>
      </c>
      <c r="C7" s="3" t="s">
        <v>38</v>
      </c>
      <c r="D7" s="2" t="s">
        <v>39</v>
      </c>
      <c r="E7" s="3" t="s">
        <v>31</v>
      </c>
      <c r="F7" s="2" t="s">
        <v>32</v>
      </c>
      <c r="G7" s="1" t="s">
        <v>33</v>
      </c>
      <c r="H7" s="3" t="s">
        <v>18</v>
      </c>
      <c r="I7" s="3" t="s">
        <v>40</v>
      </c>
      <c r="J7" s="3">
        <f>6*60+53</f>
        <v>413</v>
      </c>
      <c r="K7" s="3">
        <f>10*60+29</f>
        <v>629</v>
      </c>
      <c r="L7">
        <f t="shared" si="0"/>
        <v>216</v>
      </c>
      <c r="M7">
        <f t="shared" si="1"/>
        <v>3.6</v>
      </c>
      <c r="N7" s="1">
        <v>305</v>
      </c>
      <c r="O7" s="1">
        <v>39</v>
      </c>
      <c r="P7" s="2"/>
      <c r="Q7" s="3"/>
      <c r="R7" s="2"/>
    </row>
    <row r="8" spans="1:23" ht="15" x14ac:dyDescent="0.15">
      <c r="A8">
        <f>IF(COUNTIF(Fold1!A:A, B8), 1, IF(COUNTIF(Fold2!A:A, B8), 2, ""))</f>
        <v>2</v>
      </c>
      <c r="B8" s="3">
        <v>10007</v>
      </c>
      <c r="C8" s="3" t="s">
        <v>41</v>
      </c>
      <c r="D8" s="2" t="s">
        <v>42</v>
      </c>
      <c r="E8" s="3" t="s">
        <v>43</v>
      </c>
      <c r="F8" s="2" t="s">
        <v>44</v>
      </c>
      <c r="G8" s="1" t="s">
        <v>17</v>
      </c>
      <c r="H8" s="3" t="s">
        <v>18</v>
      </c>
      <c r="I8" s="3" t="s">
        <v>45</v>
      </c>
      <c r="J8" s="3">
        <v>10</v>
      </c>
      <c r="K8" s="3">
        <f>7*60+13</f>
        <v>433</v>
      </c>
      <c r="L8">
        <f t="shared" si="0"/>
        <v>423</v>
      </c>
      <c r="M8">
        <f t="shared" si="1"/>
        <v>7.05</v>
      </c>
      <c r="N8" s="1">
        <v>681</v>
      </c>
      <c r="O8" s="1">
        <v>86</v>
      </c>
      <c r="P8" s="2"/>
      <c r="Q8" s="3"/>
      <c r="R8" s="2"/>
    </row>
    <row r="9" spans="1:23" ht="15" x14ac:dyDescent="0.15">
      <c r="A9">
        <f>IF(COUNTIF(Fold1!A:A, B9), 1, IF(COUNTIF(Fold2!A:A, B9), 2, ""))</f>
        <v>2</v>
      </c>
      <c r="B9" s="3">
        <v>10008</v>
      </c>
      <c r="C9" s="3" t="s">
        <v>46</v>
      </c>
      <c r="D9" s="2" t="s">
        <v>47</v>
      </c>
      <c r="E9" s="3" t="s">
        <v>48</v>
      </c>
      <c r="F9" s="2" t="s">
        <v>49</v>
      </c>
      <c r="G9" s="1" t="s">
        <v>17</v>
      </c>
      <c r="H9" s="3" t="s">
        <v>18</v>
      </c>
      <c r="I9" s="3" t="s">
        <v>50</v>
      </c>
      <c r="J9" s="3">
        <v>71</v>
      </c>
      <c r="K9" s="3">
        <f>6*60+6</f>
        <v>366</v>
      </c>
      <c r="L9">
        <f t="shared" si="0"/>
        <v>295</v>
      </c>
      <c r="M9">
        <f t="shared" si="1"/>
        <v>4.92</v>
      </c>
      <c r="N9" s="1">
        <v>520</v>
      </c>
      <c r="O9" s="1">
        <v>65</v>
      </c>
      <c r="P9" s="2"/>
      <c r="Q9" s="3"/>
      <c r="R9" s="2"/>
    </row>
    <row r="10" spans="1:23" ht="15" x14ac:dyDescent="0.15">
      <c r="A10">
        <f>IF(COUNTIF(Fold1!A:A, B10), 1, IF(COUNTIF(Fold2!A:A, B10), 2, ""))</f>
        <v>1</v>
      </c>
      <c r="B10" s="3">
        <v>10009</v>
      </c>
      <c r="C10" s="3" t="s">
        <v>51</v>
      </c>
      <c r="D10" s="2" t="s">
        <v>52</v>
      </c>
      <c r="E10" s="3" t="s">
        <v>53</v>
      </c>
      <c r="F10" s="2" t="s">
        <v>54</v>
      </c>
      <c r="G10" s="1" t="s">
        <v>55</v>
      </c>
      <c r="H10" s="3" t="s">
        <v>18</v>
      </c>
      <c r="I10" s="3" t="s">
        <v>56</v>
      </c>
      <c r="J10" s="3">
        <v>24</v>
      </c>
      <c r="K10" s="3">
        <f>3*60+17</f>
        <v>197</v>
      </c>
      <c r="L10">
        <f t="shared" si="0"/>
        <v>173</v>
      </c>
      <c r="M10">
        <f t="shared" si="1"/>
        <v>2.88</v>
      </c>
      <c r="N10" s="1">
        <v>241</v>
      </c>
      <c r="O10" s="1">
        <v>31</v>
      </c>
      <c r="P10" s="2"/>
    </row>
    <row r="11" spans="1:23" ht="15" x14ac:dyDescent="0.15">
      <c r="A11">
        <f>IF(COUNTIF(Fold1!A:A, B11), 1, IF(COUNTIF(Fold2!A:A, B11), 2, ""))</f>
        <v>2</v>
      </c>
      <c r="B11" s="3">
        <v>10010</v>
      </c>
      <c r="C11" s="3" t="s">
        <v>57</v>
      </c>
      <c r="D11" s="2" t="s">
        <v>58</v>
      </c>
      <c r="E11" s="3" t="s">
        <v>53</v>
      </c>
      <c r="F11" s="2" t="s">
        <v>54</v>
      </c>
      <c r="G11" s="1" t="s">
        <v>55</v>
      </c>
      <c r="H11" s="3" t="s">
        <v>18</v>
      </c>
      <c r="I11" s="3" t="s">
        <v>59</v>
      </c>
      <c r="J11" s="3">
        <f>4*60+51</f>
        <v>291</v>
      </c>
      <c r="K11" s="3">
        <f>13*60+45</f>
        <v>825</v>
      </c>
      <c r="L11">
        <f t="shared" si="0"/>
        <v>534</v>
      </c>
      <c r="M11">
        <f t="shared" si="1"/>
        <v>8.9</v>
      </c>
      <c r="N11" s="1">
        <v>881</v>
      </c>
      <c r="O11" s="1">
        <v>111</v>
      </c>
      <c r="P11" s="2"/>
      <c r="Q11" s="3"/>
      <c r="R11" s="2"/>
    </row>
    <row r="12" spans="1:23" ht="15" x14ac:dyDescent="0.15">
      <c r="A12">
        <f>IF(COUNTIF(Fold1!A:A, B12), 1, IF(COUNTIF(Fold2!A:A, B12), 2, ""))</f>
        <v>1</v>
      </c>
      <c r="B12" s="3">
        <v>10011</v>
      </c>
      <c r="C12" s="3" t="s">
        <v>60</v>
      </c>
      <c r="D12" s="2" t="s">
        <v>61</v>
      </c>
      <c r="E12" s="3" t="s">
        <v>53</v>
      </c>
      <c r="F12" s="2" t="s">
        <v>62</v>
      </c>
      <c r="G12" s="1" t="s">
        <v>55</v>
      </c>
      <c r="H12" s="3" t="s">
        <v>18</v>
      </c>
      <c r="I12" s="3" t="s">
        <v>63</v>
      </c>
      <c r="J12" s="3">
        <f>2*60+51</f>
        <v>171</v>
      </c>
      <c r="K12" s="3">
        <f>11*60+18</f>
        <v>678</v>
      </c>
      <c r="L12">
        <f t="shared" si="0"/>
        <v>507</v>
      </c>
      <c r="M12">
        <f t="shared" si="1"/>
        <v>8.4499999999999993</v>
      </c>
      <c r="N12" s="1">
        <v>793</v>
      </c>
      <c r="O12" s="1">
        <v>100</v>
      </c>
      <c r="P12" s="2"/>
      <c r="Q12" s="3"/>
      <c r="R12" s="2"/>
    </row>
    <row r="13" spans="1:23" ht="15" x14ac:dyDescent="0.15">
      <c r="A13">
        <f>IF(COUNTIF(Fold1!A:A, B13), 1, IF(COUNTIF(Fold2!A:A, B13), 2, ""))</f>
        <v>2</v>
      </c>
      <c r="B13" s="3">
        <v>10012</v>
      </c>
      <c r="C13" s="3" t="s">
        <v>64</v>
      </c>
      <c r="D13" s="2" t="s">
        <v>65</v>
      </c>
      <c r="E13" s="3" t="s">
        <v>66</v>
      </c>
      <c r="F13" s="2" t="s">
        <v>67</v>
      </c>
      <c r="G13" s="1" t="s">
        <v>17</v>
      </c>
      <c r="H13" s="3" t="s">
        <v>18</v>
      </c>
      <c r="I13" s="3" t="s">
        <v>68</v>
      </c>
      <c r="J13" s="3">
        <v>14</v>
      </c>
      <c r="K13" s="3">
        <f>6*60+56</f>
        <v>416</v>
      </c>
      <c r="L13">
        <f t="shared" si="0"/>
        <v>402</v>
      </c>
      <c r="M13">
        <f t="shared" si="1"/>
        <v>6.7</v>
      </c>
      <c r="N13" s="1">
        <v>496</v>
      </c>
      <c r="O13" s="1">
        <v>62</v>
      </c>
      <c r="P13" s="2"/>
      <c r="Q13" s="3"/>
      <c r="R13" s="2"/>
    </row>
    <row r="14" spans="1:23" ht="15" x14ac:dyDescent="0.15">
      <c r="A14">
        <f>IF(COUNTIF(Fold1!A:A, B14), 1, IF(COUNTIF(Fold2!A:A, B14), 2, ""))</f>
        <v>2</v>
      </c>
      <c r="B14" s="3">
        <v>10013</v>
      </c>
      <c r="C14" s="3" t="s">
        <v>69</v>
      </c>
      <c r="D14" s="2" t="s">
        <v>70</v>
      </c>
      <c r="E14" s="3" t="s">
        <v>71</v>
      </c>
      <c r="F14" s="2" t="s">
        <v>72</v>
      </c>
      <c r="G14" s="1" t="s">
        <v>55</v>
      </c>
      <c r="H14" s="3" t="s">
        <v>18</v>
      </c>
      <c r="I14" s="3" t="s">
        <v>73</v>
      </c>
      <c r="J14" s="3">
        <v>12</v>
      </c>
      <c r="K14" s="3">
        <f>2*60+12</f>
        <v>132</v>
      </c>
      <c r="L14">
        <f t="shared" si="0"/>
        <v>120</v>
      </c>
      <c r="M14">
        <f t="shared" si="1"/>
        <v>2</v>
      </c>
      <c r="N14" s="1">
        <v>194</v>
      </c>
      <c r="O14" s="1">
        <v>25</v>
      </c>
      <c r="P14" s="2"/>
      <c r="Q14" s="3"/>
    </row>
    <row r="15" spans="1:23" ht="15" x14ac:dyDescent="0.15">
      <c r="A15">
        <f>IF(COUNTIF(Fold1!A:A, B15), 1, IF(COUNTIF(Fold2!A:A, B15), 2, ""))</f>
        <v>1</v>
      </c>
      <c r="B15" s="3">
        <v>10014</v>
      </c>
      <c r="C15" s="3" t="s">
        <v>74</v>
      </c>
      <c r="D15" s="2" t="s">
        <v>75</v>
      </c>
      <c r="E15" s="3" t="s">
        <v>71</v>
      </c>
      <c r="F15" s="2" t="s">
        <v>72</v>
      </c>
      <c r="G15" s="1" t="s">
        <v>55</v>
      </c>
      <c r="H15" s="3" t="s">
        <v>18</v>
      </c>
      <c r="I15" s="3" t="s">
        <v>76</v>
      </c>
      <c r="J15" s="3">
        <v>13</v>
      </c>
      <c r="K15" s="3">
        <f>3*60+16</f>
        <v>196</v>
      </c>
      <c r="L15">
        <f t="shared" si="0"/>
        <v>183</v>
      </c>
      <c r="M15">
        <f t="shared" si="1"/>
        <v>3.05</v>
      </c>
      <c r="N15" s="1">
        <v>440</v>
      </c>
      <c r="O15" s="1">
        <v>55</v>
      </c>
      <c r="P15" s="2"/>
      <c r="Q15" s="3"/>
    </row>
    <row r="16" spans="1:23" ht="15" x14ac:dyDescent="0.15">
      <c r="A16">
        <f>IF(COUNTIF(Fold1!A:A, B16), 1, IF(COUNTIF(Fold2!A:A, B16), 2, ""))</f>
        <v>1</v>
      </c>
      <c r="B16" s="3">
        <v>10015</v>
      </c>
      <c r="C16" s="3" t="s">
        <v>77</v>
      </c>
      <c r="D16" s="2" t="s">
        <v>78</v>
      </c>
      <c r="E16" s="3" t="s">
        <v>71</v>
      </c>
      <c r="F16" s="2" t="s">
        <v>72</v>
      </c>
      <c r="G16" s="1" t="s">
        <v>55</v>
      </c>
      <c r="H16" s="3" t="s">
        <v>18</v>
      </c>
      <c r="I16" s="3" t="s">
        <v>79</v>
      </c>
      <c r="J16" s="3">
        <v>86</v>
      </c>
      <c r="K16" s="3">
        <f>4*60+58</f>
        <v>298</v>
      </c>
      <c r="L16">
        <f t="shared" si="0"/>
        <v>212</v>
      </c>
      <c r="M16">
        <f t="shared" si="1"/>
        <v>3.53</v>
      </c>
      <c r="N16" s="1">
        <v>275</v>
      </c>
      <c r="O16" s="1">
        <v>35</v>
      </c>
      <c r="P16" s="2"/>
      <c r="Q16" s="3"/>
    </row>
    <row r="17" spans="1:18" ht="15" x14ac:dyDescent="0.15">
      <c r="A17">
        <f>IF(COUNTIF(Fold1!A:A, B17), 1, IF(COUNTIF(Fold2!A:A, B17), 2, ""))</f>
        <v>1</v>
      </c>
      <c r="B17" s="3">
        <v>10016</v>
      </c>
      <c r="C17" s="3" t="s">
        <v>80</v>
      </c>
      <c r="D17" s="2" t="s">
        <v>81</v>
      </c>
      <c r="E17" s="3" t="s">
        <v>71</v>
      </c>
      <c r="F17" s="2" t="s">
        <v>72</v>
      </c>
      <c r="G17" s="1" t="s">
        <v>55</v>
      </c>
      <c r="H17" s="3" t="s">
        <v>18</v>
      </c>
      <c r="I17" s="3" t="s">
        <v>82</v>
      </c>
      <c r="J17" s="3">
        <v>2</v>
      </c>
      <c r="K17" s="3">
        <f>5*60+11</f>
        <v>311</v>
      </c>
      <c r="L17">
        <f t="shared" si="0"/>
        <v>309</v>
      </c>
      <c r="M17">
        <f t="shared" si="1"/>
        <v>5.15</v>
      </c>
      <c r="N17" s="1">
        <v>465</v>
      </c>
      <c r="O17" s="1">
        <v>59</v>
      </c>
      <c r="P17" s="2"/>
      <c r="Q17" s="3"/>
      <c r="R17" s="2"/>
    </row>
    <row r="18" spans="1:18" ht="15" x14ac:dyDescent="0.15">
      <c r="A18">
        <f>IF(COUNTIF(Fold1!A:A, B18), 1, IF(COUNTIF(Fold2!A:A, B18), 2, ""))</f>
        <v>2</v>
      </c>
      <c r="B18" s="3">
        <v>10017</v>
      </c>
      <c r="C18" s="3" t="s">
        <v>83</v>
      </c>
      <c r="D18" s="2" t="s">
        <v>84</v>
      </c>
      <c r="E18" s="3" t="s">
        <v>71</v>
      </c>
      <c r="F18" s="2" t="s">
        <v>72</v>
      </c>
      <c r="G18" s="1" t="s">
        <v>55</v>
      </c>
      <c r="H18" s="3" t="s">
        <v>18</v>
      </c>
      <c r="I18" s="3" t="s">
        <v>40</v>
      </c>
      <c r="J18" s="3">
        <v>1</v>
      </c>
      <c r="K18" s="3">
        <f>3*60+55</f>
        <v>235</v>
      </c>
      <c r="L18">
        <f t="shared" si="0"/>
        <v>234</v>
      </c>
      <c r="M18">
        <f t="shared" si="1"/>
        <v>3.9</v>
      </c>
      <c r="N18" s="1">
        <v>305</v>
      </c>
      <c r="O18" s="1">
        <v>39</v>
      </c>
      <c r="P18" s="2"/>
      <c r="Q18" s="3"/>
      <c r="R18" s="2"/>
    </row>
    <row r="19" spans="1:18" ht="15" x14ac:dyDescent="0.15">
      <c r="A19">
        <f>IF(COUNTIF(Fold1!A:A, B19), 1, IF(COUNTIF(Fold2!A:A, B19), 2, ""))</f>
        <v>1</v>
      </c>
      <c r="B19" s="3">
        <v>10018</v>
      </c>
      <c r="C19" s="3" t="s">
        <v>85</v>
      </c>
      <c r="D19" s="2" t="s">
        <v>86</v>
      </c>
      <c r="E19" s="3" t="s">
        <v>87</v>
      </c>
      <c r="F19" s="2" t="s">
        <v>88</v>
      </c>
      <c r="G19" s="1" t="s">
        <v>17</v>
      </c>
      <c r="H19" s="3" t="s">
        <v>18</v>
      </c>
      <c r="I19" s="3" t="s">
        <v>89</v>
      </c>
      <c r="J19" s="3">
        <v>1</v>
      </c>
      <c r="K19" s="3">
        <f>4*60+21</f>
        <v>261</v>
      </c>
      <c r="L19">
        <f t="shared" si="0"/>
        <v>260</v>
      </c>
      <c r="M19">
        <f t="shared" si="1"/>
        <v>4.33</v>
      </c>
      <c r="N19" s="1">
        <v>441</v>
      </c>
      <c r="O19" s="1">
        <v>56</v>
      </c>
      <c r="P19" s="2"/>
      <c r="Q19" s="3"/>
      <c r="R19" s="2"/>
    </row>
    <row r="20" spans="1:18" ht="15" x14ac:dyDescent="0.15">
      <c r="A20">
        <f>IF(COUNTIF(Fold1!A:A, B20), 1, IF(COUNTIF(Fold2!A:A, B20), 2, ""))</f>
        <v>2</v>
      </c>
      <c r="B20" s="3">
        <v>10019</v>
      </c>
      <c r="C20" s="3" t="s">
        <v>90</v>
      </c>
      <c r="D20" s="2" t="s">
        <v>91</v>
      </c>
      <c r="E20" s="3" t="s">
        <v>87</v>
      </c>
      <c r="F20" s="2" t="s">
        <v>88</v>
      </c>
      <c r="G20" s="1" t="s">
        <v>17</v>
      </c>
      <c r="H20" s="3" t="s">
        <v>18</v>
      </c>
      <c r="I20" s="3" t="s">
        <v>92</v>
      </c>
      <c r="J20" s="3">
        <f>8*60+20</f>
        <v>500</v>
      </c>
      <c r="K20" s="3">
        <f>20*60+48</f>
        <v>1248</v>
      </c>
      <c r="L20">
        <f t="shared" si="0"/>
        <v>748</v>
      </c>
      <c r="M20">
        <f t="shared" si="1"/>
        <v>12.47</v>
      </c>
      <c r="N20" s="1">
        <v>1266</v>
      </c>
      <c r="O20" s="1">
        <v>159</v>
      </c>
      <c r="P20" s="2"/>
      <c r="Q20" s="3"/>
      <c r="R20" s="3"/>
    </row>
    <row r="21" spans="1:18" ht="15" x14ac:dyDescent="0.15">
      <c r="A21">
        <f>IF(COUNTIF(Fold1!A:A, B21), 1, IF(COUNTIF(Fold2!A:A, B21), 2, ""))</f>
        <v>1</v>
      </c>
      <c r="B21" s="3">
        <v>10020</v>
      </c>
      <c r="C21" s="3" t="s">
        <v>93</v>
      </c>
      <c r="D21" s="2" t="s">
        <v>94</v>
      </c>
      <c r="E21" s="3" t="s">
        <v>87</v>
      </c>
      <c r="F21" s="2" t="s">
        <v>95</v>
      </c>
      <c r="G21" s="1" t="s">
        <v>17</v>
      </c>
      <c r="H21" s="3" t="s">
        <v>18</v>
      </c>
      <c r="I21" s="3" t="s">
        <v>82</v>
      </c>
      <c r="J21" s="3">
        <v>16</v>
      </c>
      <c r="K21" s="3">
        <f>4*60+44</f>
        <v>284</v>
      </c>
      <c r="L21">
        <f t="shared" si="0"/>
        <v>268</v>
      </c>
      <c r="M21">
        <f t="shared" si="1"/>
        <v>4.47</v>
      </c>
      <c r="N21" s="1">
        <v>376</v>
      </c>
      <c r="O21" s="1">
        <v>47</v>
      </c>
      <c r="P21" s="2"/>
      <c r="Q21" s="3"/>
      <c r="R21" s="2"/>
    </row>
    <row r="22" spans="1:18" ht="15" x14ac:dyDescent="0.15">
      <c r="A22">
        <f>IF(COUNTIF(Fold1!A:A, B22), 1, IF(COUNTIF(Fold2!A:A, B22), 2, ""))</f>
        <v>1</v>
      </c>
      <c r="B22" s="3">
        <v>10021</v>
      </c>
      <c r="C22" s="3" t="s">
        <v>96</v>
      </c>
      <c r="D22" s="2" t="s">
        <v>97</v>
      </c>
      <c r="E22" s="3" t="s">
        <v>98</v>
      </c>
      <c r="F22" s="2" t="s">
        <v>99</v>
      </c>
      <c r="G22" s="1" t="s">
        <v>33</v>
      </c>
      <c r="H22" s="3" t="s">
        <v>18</v>
      </c>
      <c r="I22" s="3" t="s">
        <v>100</v>
      </c>
      <c r="J22" s="3">
        <v>3</v>
      </c>
      <c r="K22" s="3">
        <f>3*60+38</f>
        <v>218</v>
      </c>
      <c r="L22">
        <f t="shared" si="0"/>
        <v>215</v>
      </c>
      <c r="M22">
        <f t="shared" si="1"/>
        <v>3.58</v>
      </c>
      <c r="N22" s="1">
        <v>321</v>
      </c>
      <c r="O22" s="1">
        <v>41</v>
      </c>
      <c r="P22" s="2"/>
      <c r="Q22" s="3"/>
      <c r="R22" s="2"/>
    </row>
    <row r="23" spans="1:18" ht="15" x14ac:dyDescent="0.15">
      <c r="A23">
        <f>IF(COUNTIF(Fold1!A:A, B23), 1, IF(COUNTIF(Fold2!A:A, B23), 2, ""))</f>
        <v>2</v>
      </c>
      <c r="B23" s="3">
        <v>10022</v>
      </c>
      <c r="C23" s="3" t="s">
        <v>101</v>
      </c>
      <c r="D23" s="2" t="s">
        <v>102</v>
      </c>
      <c r="E23" s="3" t="s">
        <v>103</v>
      </c>
      <c r="F23" s="2" t="s">
        <v>104</v>
      </c>
      <c r="G23" s="1" t="s">
        <v>17</v>
      </c>
      <c r="H23" s="3" t="s">
        <v>18</v>
      </c>
      <c r="I23" s="3" t="s">
        <v>105</v>
      </c>
      <c r="J23" s="3">
        <v>23</v>
      </c>
      <c r="K23" s="3">
        <f>3*60+4</f>
        <v>184</v>
      </c>
      <c r="L23">
        <f t="shared" si="0"/>
        <v>161</v>
      </c>
      <c r="M23">
        <f t="shared" si="1"/>
        <v>2.68</v>
      </c>
      <c r="N23" s="1">
        <v>209</v>
      </c>
      <c r="O23" s="1">
        <v>27</v>
      </c>
      <c r="P23" s="2"/>
      <c r="Q23" s="3"/>
      <c r="R23" s="2"/>
    </row>
    <row r="24" spans="1:18" ht="15" x14ac:dyDescent="0.15">
      <c r="A24">
        <f>IF(COUNTIF(Fold1!A:A, B24), 1, IF(COUNTIF(Fold2!A:A, B24), 2, ""))</f>
        <v>2</v>
      </c>
      <c r="B24" s="3">
        <v>10023</v>
      </c>
      <c r="C24" s="3" t="s">
        <v>106</v>
      </c>
      <c r="D24" s="2" t="s">
        <v>107</v>
      </c>
      <c r="E24" s="3" t="s">
        <v>108</v>
      </c>
      <c r="F24" s="2" t="s">
        <v>109</v>
      </c>
      <c r="G24" s="1" t="s">
        <v>55</v>
      </c>
      <c r="H24" s="3" t="s">
        <v>18</v>
      </c>
      <c r="I24" s="3" t="s">
        <v>110</v>
      </c>
      <c r="J24" s="3">
        <f>2*60+24</f>
        <v>144</v>
      </c>
      <c r="K24" s="3">
        <f>7*60+55</f>
        <v>475</v>
      </c>
      <c r="L24">
        <f t="shared" si="0"/>
        <v>331</v>
      </c>
      <c r="M24">
        <f t="shared" si="1"/>
        <v>5.52</v>
      </c>
      <c r="N24" s="1">
        <v>409</v>
      </c>
      <c r="O24" s="1">
        <v>52</v>
      </c>
      <c r="P24" s="2"/>
      <c r="Q24" s="3"/>
      <c r="R24" s="2"/>
    </row>
    <row r="25" spans="1:18" ht="15" x14ac:dyDescent="0.15">
      <c r="A25">
        <f>IF(COUNTIF(Fold1!A:A, B25), 1, IF(COUNTIF(Fold2!A:A, B25), 2, ""))</f>
        <v>2</v>
      </c>
      <c r="B25" s="3">
        <v>10024</v>
      </c>
      <c r="C25" s="3" t="s">
        <v>111</v>
      </c>
      <c r="D25" s="2" t="s">
        <v>112</v>
      </c>
      <c r="E25" s="3" t="s">
        <v>113</v>
      </c>
      <c r="F25" s="2" t="s">
        <v>114</v>
      </c>
      <c r="G25" s="1" t="s">
        <v>115</v>
      </c>
      <c r="H25" s="3" t="s">
        <v>18</v>
      </c>
      <c r="I25" s="3" t="s">
        <v>116</v>
      </c>
      <c r="J25" s="3">
        <v>48</v>
      </c>
      <c r="K25" s="3">
        <f>3*60+42</f>
        <v>222</v>
      </c>
      <c r="L25">
        <f t="shared" si="0"/>
        <v>174</v>
      </c>
      <c r="M25">
        <f t="shared" si="1"/>
        <v>2.9</v>
      </c>
      <c r="N25" s="1">
        <v>283</v>
      </c>
      <c r="O25" s="1">
        <v>36</v>
      </c>
      <c r="P25" s="2"/>
      <c r="Q25" s="3"/>
      <c r="R25" s="2"/>
    </row>
    <row r="26" spans="1:18" ht="15" x14ac:dyDescent="0.15">
      <c r="A26">
        <f>IF(COUNTIF(Fold1!A:A, B26), 1, IF(COUNTIF(Fold2!A:A, B26), 2, ""))</f>
        <v>2</v>
      </c>
      <c r="B26" s="3">
        <v>10025</v>
      </c>
      <c r="C26" s="3" t="s">
        <v>117</v>
      </c>
      <c r="D26" s="2" t="s">
        <v>118</v>
      </c>
      <c r="E26" s="3" t="s">
        <v>113</v>
      </c>
      <c r="F26" s="2" t="s">
        <v>114</v>
      </c>
      <c r="G26" s="1" t="s">
        <v>115</v>
      </c>
      <c r="H26" s="3" t="s">
        <v>18</v>
      </c>
      <c r="I26" s="3" t="s">
        <v>119</v>
      </c>
      <c r="J26" s="3">
        <v>19</v>
      </c>
      <c r="K26" s="3">
        <v>240</v>
      </c>
      <c r="L26">
        <f t="shared" si="0"/>
        <v>221</v>
      </c>
      <c r="M26">
        <f t="shared" si="1"/>
        <v>3.68</v>
      </c>
      <c r="N26" s="1">
        <v>313</v>
      </c>
      <c r="O26" s="1">
        <v>40</v>
      </c>
      <c r="P26" s="2"/>
      <c r="Q26" s="3"/>
      <c r="R26" s="2"/>
    </row>
    <row r="27" spans="1:18" ht="15" x14ac:dyDescent="0.15">
      <c r="A27">
        <f>IF(COUNTIF(Fold1!A:A, B27), 1, IF(COUNTIF(Fold2!A:A, B27), 2, ""))</f>
        <v>1</v>
      </c>
      <c r="B27" s="3">
        <v>10026</v>
      </c>
      <c r="C27" s="3" t="s">
        <v>120</v>
      </c>
      <c r="D27" s="2" t="s">
        <v>121</v>
      </c>
      <c r="E27" s="3" t="s">
        <v>122</v>
      </c>
      <c r="F27" s="2" t="s">
        <v>123</v>
      </c>
      <c r="G27" s="1" t="s">
        <v>124</v>
      </c>
      <c r="H27" s="3" t="s">
        <v>18</v>
      </c>
      <c r="I27" s="3" t="s">
        <v>125</v>
      </c>
      <c r="J27" s="3">
        <v>3</v>
      </c>
      <c r="K27" s="3">
        <f>2*60+3</f>
        <v>123</v>
      </c>
      <c r="L27">
        <f t="shared" si="0"/>
        <v>120</v>
      </c>
      <c r="M27">
        <f t="shared" si="1"/>
        <v>2</v>
      </c>
      <c r="N27" s="1">
        <v>201</v>
      </c>
      <c r="O27" s="1">
        <v>26</v>
      </c>
      <c r="P27" s="2"/>
      <c r="Q27" s="3"/>
      <c r="R27" s="2"/>
    </row>
    <row r="28" spans="1:18" ht="15" x14ac:dyDescent="0.15">
      <c r="A28">
        <f>IF(COUNTIF(Fold1!A:A, B28), 1, IF(COUNTIF(Fold2!A:A, B28), 2, ""))</f>
        <v>1</v>
      </c>
      <c r="B28" s="3">
        <v>10027</v>
      </c>
      <c r="C28" s="3" t="s">
        <v>126</v>
      </c>
      <c r="D28" s="2" t="s">
        <v>127</v>
      </c>
      <c r="E28" s="3" t="s">
        <v>128</v>
      </c>
      <c r="F28" s="2" t="s">
        <v>129</v>
      </c>
      <c r="G28" s="1" t="s">
        <v>33</v>
      </c>
      <c r="H28" s="3" t="s">
        <v>18</v>
      </c>
      <c r="I28" s="3" t="s">
        <v>130</v>
      </c>
      <c r="J28" s="3">
        <v>50</v>
      </c>
      <c r="K28" s="3">
        <f>2*60+27</f>
        <v>147</v>
      </c>
      <c r="L28">
        <f t="shared" si="0"/>
        <v>97</v>
      </c>
      <c r="M28">
        <f t="shared" si="1"/>
        <v>1.62</v>
      </c>
      <c r="N28" s="1">
        <v>158</v>
      </c>
      <c r="O28" s="1">
        <v>20</v>
      </c>
      <c r="P28" s="2"/>
      <c r="Q28" s="3"/>
      <c r="R28" s="2"/>
    </row>
    <row r="29" spans="1:18" ht="15" x14ac:dyDescent="0.15">
      <c r="A29">
        <f>IF(COUNTIF(Fold1!A:A, B29), 1, IF(COUNTIF(Fold2!A:A, B29), 2, ""))</f>
        <v>2</v>
      </c>
      <c r="B29" s="3">
        <v>10028</v>
      </c>
      <c r="C29" s="3" t="s">
        <v>131</v>
      </c>
      <c r="D29" s="2" t="s">
        <v>132</v>
      </c>
      <c r="E29" s="3" t="s">
        <v>128</v>
      </c>
      <c r="F29" s="2" t="s">
        <v>133</v>
      </c>
      <c r="G29" s="1" t="s">
        <v>33</v>
      </c>
      <c r="H29" s="3" t="s">
        <v>18</v>
      </c>
      <c r="I29" s="3" t="s">
        <v>134</v>
      </c>
      <c r="J29" s="3">
        <v>6</v>
      </c>
      <c r="K29" s="3">
        <f>6*60+17</f>
        <v>377</v>
      </c>
      <c r="L29">
        <f t="shared" si="0"/>
        <v>371</v>
      </c>
      <c r="M29">
        <f t="shared" si="1"/>
        <v>6.18</v>
      </c>
      <c r="N29" s="1">
        <v>529</v>
      </c>
      <c r="O29" s="1">
        <v>67</v>
      </c>
      <c r="P29" s="2"/>
      <c r="Q29" s="3"/>
      <c r="R29" s="2"/>
    </row>
    <row r="30" spans="1:18" ht="15" x14ac:dyDescent="0.15">
      <c r="A30">
        <f>IF(COUNTIF(Fold1!A:A, B30), 1, IF(COUNTIF(Fold2!A:A, B30), 2, ""))</f>
        <v>1</v>
      </c>
      <c r="B30" s="3">
        <v>10029</v>
      </c>
      <c r="C30" s="3" t="s">
        <v>135</v>
      </c>
      <c r="D30" s="2" t="s">
        <v>136</v>
      </c>
      <c r="E30" s="3" t="s">
        <v>128</v>
      </c>
      <c r="F30" s="2" t="s">
        <v>133</v>
      </c>
      <c r="G30" s="1" t="s">
        <v>33</v>
      </c>
      <c r="H30" s="3" t="s">
        <v>18</v>
      </c>
      <c r="I30" s="3" t="s">
        <v>137</v>
      </c>
      <c r="J30" s="3">
        <v>6</v>
      </c>
      <c r="K30" s="3">
        <f>5*60+33</f>
        <v>333</v>
      </c>
      <c r="L30">
        <f t="shared" si="0"/>
        <v>327</v>
      </c>
      <c r="M30">
        <f t="shared" si="1"/>
        <v>5.45</v>
      </c>
      <c r="N30" s="1">
        <v>480</v>
      </c>
      <c r="O30" s="1">
        <v>60</v>
      </c>
      <c r="P30" s="2"/>
      <c r="Q30" s="3"/>
      <c r="R30" s="2"/>
    </row>
    <row r="31" spans="1:18" ht="15" x14ac:dyDescent="0.15">
      <c r="A31">
        <f>IF(COUNTIF(Fold1!A:A, B31), 1, IF(COUNTIF(Fold2!A:A, B31), 2, ""))</f>
        <v>2</v>
      </c>
      <c r="B31" s="3">
        <v>10030</v>
      </c>
      <c r="C31" s="3" t="s">
        <v>138</v>
      </c>
      <c r="D31" s="2" t="s">
        <v>139</v>
      </c>
      <c r="E31" s="3" t="s">
        <v>140</v>
      </c>
      <c r="F31" s="2" t="s">
        <v>141</v>
      </c>
      <c r="G31" s="1" t="s">
        <v>33</v>
      </c>
      <c r="H31" s="3" t="s">
        <v>18</v>
      </c>
      <c r="I31" s="3" t="s">
        <v>142</v>
      </c>
      <c r="J31" s="3">
        <v>20</v>
      </c>
      <c r="K31" s="3">
        <f>3*60+53</f>
        <v>233</v>
      </c>
      <c r="L31">
        <f t="shared" si="0"/>
        <v>213</v>
      </c>
      <c r="M31">
        <f t="shared" si="1"/>
        <v>3.55</v>
      </c>
      <c r="N31" s="1">
        <v>289</v>
      </c>
      <c r="O31" s="1">
        <v>37</v>
      </c>
      <c r="P31" s="2"/>
      <c r="Q31" s="3"/>
    </row>
    <row r="32" spans="1:18" ht="15" x14ac:dyDescent="0.15">
      <c r="A32">
        <f>IF(COUNTIF(Fold1!A:A, B32), 1, IF(COUNTIF(Fold2!A:A, B32), 2, ""))</f>
        <v>1</v>
      </c>
      <c r="B32" s="3">
        <v>10031</v>
      </c>
      <c r="C32" s="3" t="s">
        <v>143</v>
      </c>
      <c r="D32" s="2" t="s">
        <v>144</v>
      </c>
      <c r="E32" s="3" t="s">
        <v>140</v>
      </c>
      <c r="F32" s="2" t="s">
        <v>145</v>
      </c>
      <c r="G32" s="1" t="s">
        <v>33</v>
      </c>
      <c r="H32" s="3" t="s">
        <v>18</v>
      </c>
      <c r="I32" s="3" t="s">
        <v>146</v>
      </c>
      <c r="J32" s="3">
        <f>5*60+34</f>
        <v>334</v>
      </c>
      <c r="K32" s="3">
        <f>13*60+52</f>
        <v>832</v>
      </c>
      <c r="L32">
        <f t="shared" si="0"/>
        <v>498</v>
      </c>
      <c r="M32">
        <f t="shared" si="1"/>
        <v>8.3000000000000007</v>
      </c>
      <c r="N32" s="1">
        <v>657</v>
      </c>
      <c r="O32" s="1">
        <v>83</v>
      </c>
      <c r="P32" s="2"/>
      <c r="Q32" s="3"/>
      <c r="R32" s="2"/>
    </row>
    <row r="33" spans="1:18" ht="15" x14ac:dyDescent="0.15">
      <c r="A33">
        <f>IF(COUNTIF(Fold1!A:A, B33), 1, IF(COUNTIF(Fold2!A:A, B33), 2, ""))</f>
        <v>2</v>
      </c>
      <c r="B33" s="3">
        <v>10032</v>
      </c>
      <c r="C33" s="3" t="s">
        <v>147</v>
      </c>
      <c r="D33" s="2" t="s">
        <v>148</v>
      </c>
      <c r="E33" s="3" t="s">
        <v>149</v>
      </c>
      <c r="F33" s="2" t="s">
        <v>150</v>
      </c>
      <c r="G33" s="1" t="s">
        <v>17</v>
      </c>
      <c r="H33" s="3" t="s">
        <v>18</v>
      </c>
      <c r="I33" s="3" t="s">
        <v>151</v>
      </c>
      <c r="J33" s="3">
        <v>5</v>
      </c>
      <c r="K33" s="3">
        <f>5*60+4</f>
        <v>304</v>
      </c>
      <c r="L33">
        <f t="shared" si="0"/>
        <v>299</v>
      </c>
      <c r="M33">
        <f t="shared" si="1"/>
        <v>4.9800000000000004</v>
      </c>
      <c r="N33" s="1">
        <v>439</v>
      </c>
      <c r="O33" s="1">
        <v>55</v>
      </c>
      <c r="P33" s="2"/>
      <c r="Q33" s="3"/>
      <c r="R33" s="2"/>
    </row>
    <row r="34" spans="1:18" ht="15" x14ac:dyDescent="0.15">
      <c r="A34">
        <f>IF(COUNTIF(Fold1!A:A, B34), 1, IF(COUNTIF(Fold2!A:A, B34), 2, ""))</f>
        <v>2</v>
      </c>
      <c r="B34" s="3">
        <v>10033</v>
      </c>
      <c r="C34" s="3" t="s">
        <v>152</v>
      </c>
      <c r="D34" s="2" t="s">
        <v>153</v>
      </c>
      <c r="E34" s="3" t="s">
        <v>154</v>
      </c>
      <c r="F34" s="2" t="s">
        <v>155</v>
      </c>
      <c r="G34" s="1" t="s">
        <v>156</v>
      </c>
      <c r="H34" s="3" t="s">
        <v>18</v>
      </c>
      <c r="I34" s="3" t="s">
        <v>157</v>
      </c>
      <c r="J34" s="3">
        <v>19</v>
      </c>
      <c r="K34" s="3">
        <f>4*60+18</f>
        <v>258</v>
      </c>
      <c r="L34">
        <f t="shared" ref="L34:L65" si="2">K34-J34</f>
        <v>239</v>
      </c>
      <c r="M34">
        <f t="shared" ref="M34:M65" si="3">ROUND(L34/60,2)</f>
        <v>3.98</v>
      </c>
      <c r="N34" s="1">
        <v>345</v>
      </c>
      <c r="O34" s="1">
        <v>44</v>
      </c>
      <c r="P34" s="2"/>
      <c r="Q34" s="3"/>
    </row>
    <row r="35" spans="1:18" ht="15" x14ac:dyDescent="0.15">
      <c r="A35">
        <f>IF(COUNTIF(Fold1!A:A, B35), 1, IF(COUNTIF(Fold2!A:A, B35), 2, ""))</f>
        <v>1</v>
      </c>
      <c r="B35" s="3">
        <v>10034</v>
      </c>
      <c r="C35" s="3" t="s">
        <v>158</v>
      </c>
      <c r="D35" s="2" t="s">
        <v>159</v>
      </c>
      <c r="E35" s="3" t="s">
        <v>154</v>
      </c>
      <c r="F35" s="2" t="s">
        <v>155</v>
      </c>
      <c r="G35" s="1" t="s">
        <v>156</v>
      </c>
      <c r="H35" s="3" t="s">
        <v>18</v>
      </c>
      <c r="I35" s="3" t="s">
        <v>146</v>
      </c>
      <c r="J35" s="3">
        <f>9*60+20</f>
        <v>560</v>
      </c>
      <c r="K35" s="3">
        <f>15*60+25</f>
        <v>925</v>
      </c>
      <c r="L35">
        <f t="shared" si="2"/>
        <v>365</v>
      </c>
      <c r="M35">
        <f t="shared" si="3"/>
        <v>6.08</v>
      </c>
      <c r="N35" s="1">
        <v>537</v>
      </c>
      <c r="O35" s="1">
        <v>68</v>
      </c>
      <c r="P35" s="2"/>
      <c r="Q35" s="3"/>
      <c r="R35" s="2"/>
    </row>
    <row r="36" spans="1:18" ht="15" x14ac:dyDescent="0.15">
      <c r="A36">
        <f>IF(COUNTIF(Fold1!A:A, B36), 1, IF(COUNTIF(Fold2!A:A, B36), 2, ""))</f>
        <v>1</v>
      </c>
      <c r="B36" s="3">
        <v>10035</v>
      </c>
      <c r="C36" s="3" t="s">
        <v>160</v>
      </c>
      <c r="D36" s="2" t="s">
        <v>161</v>
      </c>
      <c r="E36" s="3" t="s">
        <v>154</v>
      </c>
      <c r="F36" s="2" t="s">
        <v>155</v>
      </c>
      <c r="G36" s="1" t="s">
        <v>156</v>
      </c>
      <c r="H36" s="3" t="s">
        <v>18</v>
      </c>
      <c r="I36" s="3" t="s">
        <v>162</v>
      </c>
      <c r="J36" s="3">
        <v>31</v>
      </c>
      <c r="K36" s="3">
        <f>5*60+18</f>
        <v>318</v>
      </c>
      <c r="L36">
        <f t="shared" si="2"/>
        <v>287</v>
      </c>
      <c r="M36">
        <f t="shared" si="3"/>
        <v>4.78</v>
      </c>
      <c r="N36" s="1">
        <v>449</v>
      </c>
      <c r="O36" s="1">
        <v>57</v>
      </c>
      <c r="P36" s="2"/>
      <c r="Q36" s="3"/>
      <c r="R36" s="2"/>
    </row>
    <row r="37" spans="1:18" ht="15" x14ac:dyDescent="0.15">
      <c r="A37">
        <f>IF(COUNTIF(Fold1!A:A, B37), 1, IF(COUNTIF(Fold2!A:A, B37), 2, ""))</f>
        <v>2</v>
      </c>
      <c r="B37" s="3">
        <v>10036</v>
      </c>
      <c r="C37" s="3" t="s">
        <v>163</v>
      </c>
      <c r="D37" s="2" t="s">
        <v>164</v>
      </c>
      <c r="E37" s="3" t="s">
        <v>154</v>
      </c>
      <c r="F37" s="2" t="s">
        <v>155</v>
      </c>
      <c r="G37" s="1" t="s">
        <v>156</v>
      </c>
      <c r="H37" s="3" t="s">
        <v>18</v>
      </c>
      <c r="I37" s="3" t="s">
        <v>165</v>
      </c>
      <c r="J37" s="3">
        <f>5*60+42</f>
        <v>342</v>
      </c>
      <c r="K37" s="3">
        <f>12*60+28</f>
        <v>748</v>
      </c>
      <c r="L37">
        <f t="shared" si="2"/>
        <v>406</v>
      </c>
      <c r="M37">
        <f t="shared" si="3"/>
        <v>6.77</v>
      </c>
      <c r="N37" s="1">
        <v>618</v>
      </c>
      <c r="O37" s="1">
        <v>78</v>
      </c>
      <c r="P37" s="2"/>
      <c r="Q37" s="3"/>
      <c r="R37" s="2"/>
    </row>
    <row r="38" spans="1:18" ht="15" x14ac:dyDescent="0.15">
      <c r="A38">
        <f>IF(COUNTIF(Fold1!A:A, B38), 1, IF(COUNTIF(Fold2!A:A, B38), 2, ""))</f>
        <v>1</v>
      </c>
      <c r="B38" s="3">
        <v>10037</v>
      </c>
      <c r="C38" s="3" t="s">
        <v>166</v>
      </c>
      <c r="D38" s="2" t="s">
        <v>167</v>
      </c>
      <c r="E38" s="3" t="s">
        <v>154</v>
      </c>
      <c r="F38" s="2" t="s">
        <v>155</v>
      </c>
      <c r="G38" s="1" t="s">
        <v>156</v>
      </c>
      <c r="H38" s="3" t="s">
        <v>18</v>
      </c>
      <c r="I38" s="3" t="s">
        <v>168</v>
      </c>
      <c r="J38" s="3">
        <f>2*60+9+91</f>
        <v>220</v>
      </c>
      <c r="K38" s="3">
        <f>6*60+1</f>
        <v>361</v>
      </c>
      <c r="L38">
        <f t="shared" si="2"/>
        <v>141</v>
      </c>
      <c r="M38">
        <f t="shared" si="3"/>
        <v>2.35</v>
      </c>
      <c r="N38" s="1">
        <v>185</v>
      </c>
      <c r="O38" s="1">
        <v>24</v>
      </c>
      <c r="P38" s="2"/>
      <c r="Q38" s="3"/>
      <c r="R38" s="2"/>
    </row>
    <row r="39" spans="1:18" ht="15" x14ac:dyDescent="0.15">
      <c r="A39">
        <f>IF(COUNTIF(Fold1!A:A, B39), 1, IF(COUNTIF(Fold2!A:A, B39), 2, ""))</f>
        <v>1</v>
      </c>
      <c r="B39" s="3">
        <v>10038</v>
      </c>
      <c r="C39" s="3" t="s">
        <v>169</v>
      </c>
      <c r="D39" s="2" t="s">
        <v>170</v>
      </c>
      <c r="E39" s="3" t="s">
        <v>171</v>
      </c>
      <c r="F39" s="2" t="s">
        <v>172</v>
      </c>
      <c r="G39" s="1" t="s">
        <v>17</v>
      </c>
      <c r="H39" s="3" t="s">
        <v>18</v>
      </c>
      <c r="I39" s="3" t="s">
        <v>173</v>
      </c>
      <c r="J39" s="3">
        <v>72</v>
      </c>
      <c r="K39" s="3">
        <f>5*60+54</f>
        <v>354</v>
      </c>
      <c r="L39">
        <f t="shared" si="2"/>
        <v>282</v>
      </c>
      <c r="M39">
        <f t="shared" si="3"/>
        <v>4.7</v>
      </c>
      <c r="N39" s="1">
        <v>480</v>
      </c>
      <c r="O39" s="1">
        <v>60</v>
      </c>
      <c r="P39" s="2"/>
      <c r="Q39" s="3"/>
      <c r="R39" s="2"/>
    </row>
    <row r="40" spans="1:18" ht="15" x14ac:dyDescent="0.15">
      <c r="A40">
        <f>IF(COUNTIF(Fold1!A:A, B40), 1, IF(COUNTIF(Fold2!A:A, B40), 2, ""))</f>
        <v>2</v>
      </c>
      <c r="B40" s="3">
        <v>10039</v>
      </c>
      <c r="C40" s="3" t="s">
        <v>174</v>
      </c>
      <c r="D40" s="2" t="s">
        <v>175</v>
      </c>
      <c r="E40" s="3" t="s">
        <v>176</v>
      </c>
      <c r="F40" s="2" t="s">
        <v>177</v>
      </c>
      <c r="G40" s="1" t="s">
        <v>17</v>
      </c>
      <c r="H40" s="3" t="s">
        <v>18</v>
      </c>
      <c r="I40" s="3" t="s">
        <v>178</v>
      </c>
      <c r="J40" s="3">
        <v>50</v>
      </c>
      <c r="K40" s="3">
        <f>6*60+47</f>
        <v>407</v>
      </c>
      <c r="L40">
        <f t="shared" si="2"/>
        <v>357</v>
      </c>
      <c r="M40">
        <f t="shared" si="3"/>
        <v>5.95</v>
      </c>
      <c r="N40" s="1">
        <v>505</v>
      </c>
      <c r="O40" s="1">
        <v>64</v>
      </c>
      <c r="P40" s="2"/>
      <c r="Q40" s="3"/>
    </row>
    <row r="41" spans="1:18" ht="15" x14ac:dyDescent="0.15">
      <c r="A41">
        <f>IF(COUNTIF(Fold1!A:A, B41), 1, IF(COUNTIF(Fold2!A:A, B41), 2, ""))</f>
        <v>2</v>
      </c>
      <c r="B41" s="3">
        <v>10040</v>
      </c>
      <c r="C41" s="3" t="s">
        <v>179</v>
      </c>
      <c r="D41" s="2" t="s">
        <v>180</v>
      </c>
      <c r="E41" s="3" t="s">
        <v>176</v>
      </c>
      <c r="F41" s="2" t="s">
        <v>177</v>
      </c>
      <c r="G41" s="1" t="s">
        <v>17</v>
      </c>
      <c r="H41" s="3" t="s">
        <v>18</v>
      </c>
      <c r="I41" s="3" t="s">
        <v>82</v>
      </c>
      <c r="J41" s="3">
        <f>5*60+35</f>
        <v>335</v>
      </c>
      <c r="K41" s="3">
        <f>11*60</f>
        <v>660</v>
      </c>
      <c r="L41">
        <f t="shared" si="2"/>
        <v>325</v>
      </c>
      <c r="M41">
        <f t="shared" si="3"/>
        <v>5.42</v>
      </c>
      <c r="N41" s="1">
        <v>433</v>
      </c>
      <c r="O41" s="1">
        <v>55</v>
      </c>
      <c r="P41" s="2"/>
      <c r="Q41" s="3"/>
      <c r="R41" s="2"/>
    </row>
    <row r="42" spans="1:18" ht="15" x14ac:dyDescent="0.15">
      <c r="A42">
        <f>IF(COUNTIF(Fold1!A:A, B42), 1, IF(COUNTIF(Fold2!A:A, B42), 2, ""))</f>
        <v>1</v>
      </c>
      <c r="B42" s="3">
        <v>10041</v>
      </c>
      <c r="C42" s="3" t="s">
        <v>181</v>
      </c>
      <c r="D42" s="2" t="s">
        <v>182</v>
      </c>
      <c r="E42" s="3" t="s">
        <v>176</v>
      </c>
      <c r="F42" s="2" t="s">
        <v>177</v>
      </c>
      <c r="G42" s="1" t="s">
        <v>17</v>
      </c>
      <c r="H42" s="3" t="s">
        <v>18</v>
      </c>
      <c r="I42" s="3" t="s">
        <v>183</v>
      </c>
      <c r="J42" s="3">
        <f>1*60+47</f>
        <v>107</v>
      </c>
      <c r="K42" s="3">
        <f>9*60+36</f>
        <v>576</v>
      </c>
      <c r="L42">
        <f t="shared" si="2"/>
        <v>469</v>
      </c>
      <c r="M42">
        <f t="shared" si="3"/>
        <v>7.82</v>
      </c>
      <c r="N42" s="1">
        <v>665</v>
      </c>
      <c r="O42" s="1">
        <v>84</v>
      </c>
      <c r="P42" s="2"/>
      <c r="Q42" s="3"/>
      <c r="R42" s="2"/>
    </row>
    <row r="43" spans="1:18" ht="15" x14ac:dyDescent="0.15">
      <c r="A43">
        <f>IF(COUNTIF(Fold1!A:A, B43), 1, IF(COUNTIF(Fold2!A:A, B43), 2, ""))</f>
        <v>1</v>
      </c>
      <c r="B43" s="3">
        <v>10042</v>
      </c>
      <c r="C43" s="3" t="s">
        <v>184</v>
      </c>
      <c r="D43" s="2" t="s">
        <v>185</v>
      </c>
      <c r="E43" s="3" t="s">
        <v>186</v>
      </c>
      <c r="F43" s="2" t="s">
        <v>187</v>
      </c>
      <c r="G43" s="1" t="s">
        <v>156</v>
      </c>
      <c r="H43" s="3" t="s">
        <v>18</v>
      </c>
      <c r="I43" s="3" t="s">
        <v>188</v>
      </c>
      <c r="J43" s="3">
        <v>336</v>
      </c>
      <c r="K43" s="3">
        <f>8*60</f>
        <v>480</v>
      </c>
      <c r="L43">
        <f t="shared" si="2"/>
        <v>144</v>
      </c>
      <c r="M43">
        <f t="shared" si="3"/>
        <v>2.4</v>
      </c>
      <c r="N43" s="1">
        <v>192</v>
      </c>
      <c r="O43" s="1">
        <v>24</v>
      </c>
      <c r="P43" s="2"/>
      <c r="Q43" s="3"/>
      <c r="R43" s="2"/>
    </row>
    <row r="44" spans="1:18" ht="15" x14ac:dyDescent="0.15">
      <c r="A44">
        <f>IF(COUNTIF(Fold1!A:A, B44), 1, IF(COUNTIF(Fold2!A:A, B44), 2, ""))</f>
        <v>2</v>
      </c>
      <c r="B44" s="3">
        <v>10043</v>
      </c>
      <c r="C44" s="3" t="s">
        <v>189</v>
      </c>
      <c r="D44" s="2" t="s">
        <v>190</v>
      </c>
      <c r="E44" s="3" t="s">
        <v>191</v>
      </c>
      <c r="F44" s="2" t="s">
        <v>192</v>
      </c>
      <c r="G44" s="1" t="s">
        <v>156</v>
      </c>
      <c r="H44" s="3" t="s">
        <v>18</v>
      </c>
      <c r="I44" s="3" t="s">
        <v>34</v>
      </c>
      <c r="J44" s="3">
        <v>3</v>
      </c>
      <c r="K44" s="3">
        <f>60+52</f>
        <v>112</v>
      </c>
      <c r="L44">
        <f t="shared" si="2"/>
        <v>109</v>
      </c>
      <c r="M44">
        <f t="shared" si="3"/>
        <v>1.82</v>
      </c>
      <c r="N44" s="1">
        <v>223</v>
      </c>
      <c r="O44" s="1">
        <v>28</v>
      </c>
      <c r="P44" s="2"/>
      <c r="Q44" s="3"/>
      <c r="R44" s="2"/>
    </row>
    <row r="45" spans="1:18" ht="15" x14ac:dyDescent="0.15">
      <c r="A45">
        <f>IF(COUNTIF(Fold1!A:A, B45), 1, IF(COUNTIF(Fold2!A:A, B45), 2, ""))</f>
        <v>1</v>
      </c>
      <c r="B45" s="3">
        <v>10044</v>
      </c>
      <c r="C45" s="3" t="s">
        <v>193</v>
      </c>
      <c r="D45" s="2" t="s">
        <v>194</v>
      </c>
      <c r="E45" s="3" t="s">
        <v>191</v>
      </c>
      <c r="F45" s="2" t="s">
        <v>192</v>
      </c>
      <c r="G45" s="1" t="s">
        <v>156</v>
      </c>
      <c r="H45" s="3" t="s">
        <v>18</v>
      </c>
      <c r="I45" s="3" t="s">
        <v>195</v>
      </c>
      <c r="J45" s="3">
        <f>1*60+51</f>
        <v>111</v>
      </c>
      <c r="K45" s="3">
        <f>10*60+38</f>
        <v>638</v>
      </c>
      <c r="L45">
        <f t="shared" si="2"/>
        <v>527</v>
      </c>
      <c r="M45">
        <f t="shared" si="3"/>
        <v>8.7799999999999994</v>
      </c>
      <c r="N45" s="1">
        <v>761</v>
      </c>
      <c r="O45" s="1">
        <v>96</v>
      </c>
      <c r="P45" s="2"/>
      <c r="Q45" s="3"/>
      <c r="R45" s="2"/>
    </row>
    <row r="46" spans="1:18" ht="15" x14ac:dyDescent="0.15">
      <c r="A46">
        <f>IF(COUNTIF(Fold1!A:A, B46), 1, IF(COUNTIF(Fold2!A:A, B46), 2, ""))</f>
        <v>1</v>
      </c>
      <c r="B46" s="3">
        <v>10045</v>
      </c>
      <c r="C46" s="3" t="s">
        <v>196</v>
      </c>
      <c r="D46" s="2" t="s">
        <v>197</v>
      </c>
      <c r="E46" s="3" t="s">
        <v>198</v>
      </c>
      <c r="F46" s="2" t="s">
        <v>199</v>
      </c>
      <c r="G46" s="1" t="s">
        <v>17</v>
      </c>
      <c r="H46" s="3" t="s">
        <v>18</v>
      </c>
      <c r="I46" s="3" t="s">
        <v>200</v>
      </c>
      <c r="J46" s="3">
        <v>1</v>
      </c>
      <c r="K46" s="3">
        <f>5*60+12</f>
        <v>312</v>
      </c>
      <c r="L46">
        <f t="shared" si="2"/>
        <v>311</v>
      </c>
      <c r="M46">
        <f t="shared" si="3"/>
        <v>5.18</v>
      </c>
      <c r="N46" s="1">
        <v>417</v>
      </c>
      <c r="O46" s="1">
        <v>53</v>
      </c>
      <c r="P46" s="2"/>
      <c r="Q46" s="3"/>
      <c r="R46" s="2"/>
    </row>
    <row r="47" spans="1:18" ht="15" x14ac:dyDescent="0.15">
      <c r="A47">
        <f>IF(COUNTIF(Fold1!A:A, B47), 1, IF(COUNTIF(Fold2!A:A, B47), 2, ""))</f>
        <v>1</v>
      </c>
      <c r="B47" s="3">
        <v>10046</v>
      </c>
      <c r="C47" s="3" t="s">
        <v>201</v>
      </c>
      <c r="D47" s="2" t="s">
        <v>202</v>
      </c>
      <c r="E47" s="3" t="s">
        <v>203</v>
      </c>
      <c r="F47" s="2" t="s">
        <v>204</v>
      </c>
      <c r="G47" s="1" t="s">
        <v>17</v>
      </c>
      <c r="H47" s="3" t="s">
        <v>18</v>
      </c>
      <c r="I47" s="3" t="s">
        <v>205</v>
      </c>
      <c r="J47" s="3">
        <v>20</v>
      </c>
      <c r="K47" s="3">
        <f>9*60+16</f>
        <v>556</v>
      </c>
      <c r="L47">
        <f t="shared" si="2"/>
        <v>536</v>
      </c>
      <c r="M47">
        <f t="shared" si="3"/>
        <v>8.93</v>
      </c>
      <c r="N47" s="1">
        <v>777</v>
      </c>
      <c r="O47" s="1">
        <v>98</v>
      </c>
      <c r="P47" s="2"/>
      <c r="Q47" s="3"/>
      <c r="R47" s="2"/>
    </row>
    <row r="48" spans="1:18" ht="15" x14ac:dyDescent="0.15">
      <c r="A48">
        <f>IF(COUNTIF(Fold1!A:A, B48), 1, IF(COUNTIF(Fold2!A:A, B48), 2, ""))</f>
        <v>1</v>
      </c>
      <c r="B48" s="3">
        <v>10047</v>
      </c>
      <c r="C48" s="3" t="s">
        <v>206</v>
      </c>
      <c r="D48" s="2" t="s">
        <v>207</v>
      </c>
      <c r="E48" s="3" t="s">
        <v>203</v>
      </c>
      <c r="F48" s="2" t="s">
        <v>208</v>
      </c>
      <c r="G48" s="1" t="s">
        <v>17</v>
      </c>
      <c r="H48" s="3" t="s">
        <v>18</v>
      </c>
      <c r="I48" s="3" t="s">
        <v>173</v>
      </c>
      <c r="J48" s="3">
        <v>3</v>
      </c>
      <c r="K48" s="3">
        <v>89</v>
      </c>
      <c r="L48">
        <f t="shared" si="2"/>
        <v>86</v>
      </c>
      <c r="M48">
        <f t="shared" si="3"/>
        <v>1.43</v>
      </c>
      <c r="N48" s="1">
        <v>168</v>
      </c>
      <c r="O48" s="1">
        <v>21</v>
      </c>
      <c r="P48" s="2"/>
      <c r="Q48" s="3"/>
      <c r="R48" s="2"/>
    </row>
    <row r="49" spans="1:22" ht="15" x14ac:dyDescent="0.15">
      <c r="A49">
        <f>IF(COUNTIF(Fold1!A:A, B49), 1, IF(COUNTIF(Fold2!A:A, B49), 2, ""))</f>
        <v>2</v>
      </c>
      <c r="B49" s="3">
        <v>10048</v>
      </c>
      <c r="C49" s="3" t="s">
        <v>209</v>
      </c>
      <c r="D49" s="2" t="s">
        <v>210</v>
      </c>
      <c r="E49" s="3" t="s">
        <v>203</v>
      </c>
      <c r="F49" s="2" t="s">
        <v>211</v>
      </c>
      <c r="G49" s="1" t="s">
        <v>17</v>
      </c>
      <c r="H49" s="3" t="s">
        <v>18</v>
      </c>
      <c r="I49" s="3" t="s">
        <v>151</v>
      </c>
      <c r="J49" s="3">
        <v>18</v>
      </c>
      <c r="K49" s="3">
        <f>6*60+52</f>
        <v>412</v>
      </c>
      <c r="L49">
        <f t="shared" si="2"/>
        <v>394</v>
      </c>
      <c r="M49">
        <f t="shared" si="3"/>
        <v>6.57</v>
      </c>
      <c r="N49" s="1">
        <v>529</v>
      </c>
      <c r="O49" s="1">
        <v>67</v>
      </c>
      <c r="P49" s="2"/>
      <c r="Q49" s="3"/>
    </row>
    <row r="50" spans="1:22" ht="15" x14ac:dyDescent="0.15">
      <c r="A50">
        <f>IF(COUNTIF(Fold1!A:A, B50), 1, IF(COUNTIF(Fold2!A:A, B50), 2, ""))</f>
        <v>2</v>
      </c>
      <c r="B50" s="3">
        <v>10049</v>
      </c>
      <c r="C50" s="3" t="s">
        <v>212</v>
      </c>
      <c r="D50" s="2" t="s">
        <v>213</v>
      </c>
      <c r="E50" s="3" t="s">
        <v>214</v>
      </c>
      <c r="F50" s="2" t="s">
        <v>215</v>
      </c>
      <c r="G50" s="1" t="s">
        <v>33</v>
      </c>
      <c r="H50" s="3" t="s">
        <v>18</v>
      </c>
      <c r="I50" s="3" t="s">
        <v>216</v>
      </c>
      <c r="J50" s="3">
        <v>1</v>
      </c>
      <c r="K50" s="3">
        <f>5*60+58</f>
        <v>358</v>
      </c>
      <c r="L50">
        <f t="shared" si="2"/>
        <v>357</v>
      </c>
      <c r="M50">
        <f t="shared" si="3"/>
        <v>5.95</v>
      </c>
      <c r="N50" s="1">
        <v>545</v>
      </c>
      <c r="O50" s="1">
        <v>69</v>
      </c>
      <c r="P50" s="2"/>
      <c r="Q50" s="3"/>
      <c r="R50" s="2"/>
    </row>
    <row r="51" spans="1:22" ht="15" x14ac:dyDescent="0.15">
      <c r="A51">
        <f>IF(COUNTIF(Fold1!A:A, B51), 1, IF(COUNTIF(Fold2!A:A, B51), 2, ""))</f>
        <v>2</v>
      </c>
      <c r="B51" s="4">
        <v>10050</v>
      </c>
      <c r="C51" s="4" t="s">
        <v>217</v>
      </c>
      <c r="D51" s="5" t="s">
        <v>218</v>
      </c>
      <c r="E51" s="4" t="s">
        <v>214</v>
      </c>
      <c r="F51" s="5" t="s">
        <v>215</v>
      </c>
      <c r="G51" s="6" t="s">
        <v>33</v>
      </c>
      <c r="H51" s="4" t="s">
        <v>18</v>
      </c>
      <c r="I51" s="4" t="s">
        <v>168</v>
      </c>
      <c r="J51" s="4">
        <v>3</v>
      </c>
      <c r="K51" s="4">
        <f>2*60+42</f>
        <v>162</v>
      </c>
      <c r="L51" s="6">
        <f t="shared" si="2"/>
        <v>159</v>
      </c>
      <c r="M51" s="6">
        <f t="shared" si="3"/>
        <v>2.65</v>
      </c>
      <c r="N51" s="6">
        <v>425</v>
      </c>
      <c r="O51" s="6">
        <v>54</v>
      </c>
      <c r="P51" s="5"/>
      <c r="Q51" s="4"/>
      <c r="R51" s="5"/>
      <c r="S51" s="6"/>
      <c r="T51" s="6"/>
      <c r="U51" s="6"/>
      <c r="V51" s="6"/>
    </row>
    <row r="52" spans="1:22" ht="15" x14ac:dyDescent="0.15">
      <c r="A52">
        <f>IF(COUNTIF(Fold1!A:A, B52), 1, IF(COUNTIF(Fold2!A:A, B52), 2, ""))</f>
        <v>1</v>
      </c>
      <c r="B52" s="7">
        <v>11001</v>
      </c>
      <c r="C52" s="7" t="s">
        <v>219</v>
      </c>
      <c r="D52" s="8" t="s">
        <v>220</v>
      </c>
      <c r="E52" s="7" t="s">
        <v>48</v>
      </c>
      <c r="F52" s="8" t="s">
        <v>49</v>
      </c>
      <c r="G52" s="9" t="s">
        <v>17</v>
      </c>
      <c r="H52" s="7" t="s">
        <v>221</v>
      </c>
      <c r="I52" s="7" t="s">
        <v>222</v>
      </c>
      <c r="J52" s="7">
        <v>137</v>
      </c>
      <c r="K52" s="7">
        <f>9*60+54</f>
        <v>594</v>
      </c>
      <c r="L52" s="9">
        <f t="shared" si="2"/>
        <v>457</v>
      </c>
      <c r="M52" s="9">
        <f t="shared" si="3"/>
        <v>7.62</v>
      </c>
      <c r="N52" s="9">
        <v>586</v>
      </c>
      <c r="O52" s="9">
        <v>196</v>
      </c>
      <c r="P52" s="8"/>
      <c r="Q52" s="7"/>
      <c r="R52" s="8"/>
      <c r="S52" s="9"/>
      <c r="T52" s="9"/>
      <c r="U52" s="9"/>
      <c r="V52" s="9"/>
    </row>
    <row r="53" spans="1:22" ht="15" x14ac:dyDescent="0.15">
      <c r="A53">
        <f>IF(COUNTIF(Fold1!A:A, B53), 1, IF(COUNTIF(Fold2!A:A, B53), 2, ""))</f>
        <v>1</v>
      </c>
      <c r="B53" s="3">
        <v>11002</v>
      </c>
      <c r="C53" s="10" t="s">
        <v>223</v>
      </c>
      <c r="D53" s="2" t="s">
        <v>224</v>
      </c>
      <c r="E53" s="3" t="s">
        <v>48</v>
      </c>
      <c r="F53" s="2" t="s">
        <v>225</v>
      </c>
      <c r="G53" s="1" t="s">
        <v>17</v>
      </c>
      <c r="H53" s="3" t="s">
        <v>221</v>
      </c>
      <c r="I53" s="3" t="s">
        <v>226</v>
      </c>
      <c r="J53" s="3">
        <v>31</v>
      </c>
      <c r="K53" s="3">
        <f>3*60+31</f>
        <v>211</v>
      </c>
      <c r="L53">
        <f t="shared" si="2"/>
        <v>180</v>
      </c>
      <c r="M53">
        <f t="shared" si="3"/>
        <v>3</v>
      </c>
      <c r="N53" s="1">
        <v>223</v>
      </c>
      <c r="O53" s="1">
        <v>75</v>
      </c>
      <c r="P53" s="2"/>
      <c r="Q53" s="3"/>
      <c r="R53" s="2"/>
    </row>
    <row r="54" spans="1:22" ht="15" x14ac:dyDescent="0.15">
      <c r="A54">
        <f>IF(COUNTIF(Fold1!A:A, B54), 1, IF(COUNTIF(Fold2!A:A, B54), 2, ""))</f>
        <v>2</v>
      </c>
      <c r="B54" s="3">
        <v>11003</v>
      </c>
      <c r="C54" s="3" t="s">
        <v>227</v>
      </c>
      <c r="D54" s="2" t="s">
        <v>228</v>
      </c>
      <c r="E54" s="3" t="s">
        <v>53</v>
      </c>
      <c r="F54" s="2" t="s">
        <v>54</v>
      </c>
      <c r="G54" s="1" t="s">
        <v>55</v>
      </c>
      <c r="H54" s="3" t="s">
        <v>221</v>
      </c>
      <c r="I54" s="3" t="s">
        <v>229</v>
      </c>
      <c r="J54" s="3">
        <f>4*60+13</f>
        <v>253</v>
      </c>
      <c r="K54" s="3">
        <f>9*60+4</f>
        <v>544</v>
      </c>
      <c r="L54">
        <f t="shared" si="2"/>
        <v>291</v>
      </c>
      <c r="M54">
        <f t="shared" si="3"/>
        <v>4.8499999999999996</v>
      </c>
      <c r="N54" s="1">
        <v>427</v>
      </c>
      <c r="O54" s="1">
        <v>143</v>
      </c>
      <c r="P54" s="2"/>
      <c r="Q54" s="3"/>
      <c r="R54" s="2"/>
    </row>
    <row r="55" spans="1:22" ht="15" x14ac:dyDescent="0.15">
      <c r="A55">
        <f>IF(COUNTIF(Fold1!A:A, B55), 1, IF(COUNTIF(Fold2!A:A, B55), 2, ""))</f>
        <v>2</v>
      </c>
      <c r="B55" s="3">
        <v>11004</v>
      </c>
      <c r="C55" s="3" t="s">
        <v>230</v>
      </c>
      <c r="D55" s="2" t="s">
        <v>231</v>
      </c>
      <c r="E55" s="3" t="s">
        <v>53</v>
      </c>
      <c r="F55" s="2" t="s">
        <v>62</v>
      </c>
      <c r="G55" s="1" t="s">
        <v>55</v>
      </c>
      <c r="H55" s="3" t="s">
        <v>221</v>
      </c>
      <c r="I55" s="3" t="s">
        <v>232</v>
      </c>
      <c r="J55" s="3">
        <v>3</v>
      </c>
      <c r="K55" s="3">
        <f>3*60+54</f>
        <v>234</v>
      </c>
      <c r="L55">
        <f t="shared" si="2"/>
        <v>231</v>
      </c>
      <c r="M55">
        <f t="shared" si="3"/>
        <v>3.85</v>
      </c>
      <c r="N55" s="1">
        <v>462</v>
      </c>
      <c r="O55" s="1">
        <v>154</v>
      </c>
      <c r="P55" s="2"/>
      <c r="Q55" s="3"/>
      <c r="R55" s="2"/>
    </row>
    <row r="56" spans="1:22" ht="15" x14ac:dyDescent="0.15">
      <c r="A56">
        <f>IF(COUNTIF(Fold1!A:A, B56), 1, IF(COUNTIF(Fold2!A:A, B56), 2, ""))</f>
        <v>2</v>
      </c>
      <c r="B56" s="3">
        <v>11005</v>
      </c>
      <c r="C56" s="3" t="s">
        <v>233</v>
      </c>
      <c r="D56" s="2" t="s">
        <v>234</v>
      </c>
      <c r="E56" s="3" t="s">
        <v>53</v>
      </c>
      <c r="F56" s="2" t="s">
        <v>62</v>
      </c>
      <c r="G56" s="1" t="s">
        <v>55</v>
      </c>
      <c r="H56" s="3" t="s">
        <v>221</v>
      </c>
      <c r="I56" s="3" t="s">
        <v>235</v>
      </c>
      <c r="J56" s="3">
        <f>5*60+24</f>
        <v>324</v>
      </c>
      <c r="K56" s="3">
        <f>13*60+34</f>
        <v>814</v>
      </c>
      <c r="L56">
        <f t="shared" si="2"/>
        <v>490</v>
      </c>
      <c r="M56">
        <f t="shared" si="3"/>
        <v>8.17</v>
      </c>
      <c r="N56" s="1">
        <v>655</v>
      </c>
      <c r="O56" s="1">
        <v>219</v>
      </c>
      <c r="P56" s="2"/>
      <c r="Q56" s="3"/>
      <c r="R56" s="2"/>
    </row>
    <row r="57" spans="1:22" ht="15" x14ac:dyDescent="0.15">
      <c r="A57">
        <f>IF(COUNTIF(Fold1!A:A, B57), 1, IF(COUNTIF(Fold2!A:A, B57), 2, ""))</f>
        <v>1</v>
      </c>
      <c r="B57" s="3">
        <v>11006</v>
      </c>
      <c r="C57" s="3" t="s">
        <v>236</v>
      </c>
      <c r="D57" s="2" t="s">
        <v>237</v>
      </c>
      <c r="E57" s="3" t="s">
        <v>66</v>
      </c>
      <c r="F57" s="2" t="s">
        <v>238</v>
      </c>
      <c r="G57" s="1" t="s">
        <v>17</v>
      </c>
      <c r="H57" s="3" t="s">
        <v>221</v>
      </c>
      <c r="I57" s="3" t="s">
        <v>195</v>
      </c>
      <c r="J57" s="3">
        <v>10</v>
      </c>
      <c r="K57" s="3">
        <f>6*60+11</f>
        <v>371</v>
      </c>
      <c r="L57">
        <f t="shared" si="2"/>
        <v>361</v>
      </c>
      <c r="M57">
        <f t="shared" si="3"/>
        <v>6.02</v>
      </c>
      <c r="N57" s="1">
        <v>505</v>
      </c>
      <c r="O57" s="1">
        <v>169</v>
      </c>
      <c r="P57" s="2"/>
      <c r="Q57" s="3"/>
      <c r="R57" s="2"/>
    </row>
    <row r="58" spans="1:22" ht="15" x14ac:dyDescent="0.15">
      <c r="A58">
        <f>IF(COUNTIF(Fold1!A:A, B58), 1, IF(COUNTIF(Fold2!A:A, B58), 2, ""))</f>
        <v>1</v>
      </c>
      <c r="B58" s="3">
        <v>11007</v>
      </c>
      <c r="C58" s="3" t="s">
        <v>239</v>
      </c>
      <c r="D58" s="2" t="s">
        <v>240</v>
      </c>
      <c r="E58" s="3" t="s">
        <v>66</v>
      </c>
      <c r="F58" s="2" t="s">
        <v>241</v>
      </c>
      <c r="G58" s="1" t="s">
        <v>17</v>
      </c>
      <c r="H58" s="3" t="s">
        <v>221</v>
      </c>
      <c r="I58" s="3" t="s">
        <v>242</v>
      </c>
      <c r="J58" s="3">
        <v>15</v>
      </c>
      <c r="K58" s="3">
        <f>4*60+27</f>
        <v>267</v>
      </c>
      <c r="L58">
        <f t="shared" si="2"/>
        <v>252</v>
      </c>
      <c r="M58">
        <f t="shared" si="3"/>
        <v>4.2</v>
      </c>
      <c r="N58" s="1">
        <v>385</v>
      </c>
      <c r="O58" s="1">
        <v>129</v>
      </c>
      <c r="P58" s="2"/>
      <c r="Q58" s="3"/>
      <c r="R58" s="2"/>
    </row>
    <row r="59" spans="1:22" ht="15" x14ac:dyDescent="0.15">
      <c r="A59">
        <f>IF(COUNTIF(Fold1!A:A, B59), 1, IF(COUNTIF(Fold2!A:A, B59), 2, ""))</f>
        <v>2</v>
      </c>
      <c r="B59" s="3">
        <v>11008</v>
      </c>
      <c r="C59" s="3" t="s">
        <v>243</v>
      </c>
      <c r="D59" s="2" t="s">
        <v>244</v>
      </c>
      <c r="E59" s="3" t="s">
        <v>66</v>
      </c>
      <c r="F59" s="2" t="s">
        <v>241</v>
      </c>
      <c r="G59" s="1" t="s">
        <v>17</v>
      </c>
      <c r="H59" s="3" t="s">
        <v>221</v>
      </c>
      <c r="I59" s="3" t="s">
        <v>100</v>
      </c>
      <c r="J59" s="3">
        <v>6</v>
      </c>
      <c r="K59" s="3">
        <f>4*60+19</f>
        <v>259</v>
      </c>
      <c r="L59">
        <f t="shared" si="2"/>
        <v>253</v>
      </c>
      <c r="M59">
        <f t="shared" si="3"/>
        <v>4.22</v>
      </c>
      <c r="N59" s="1">
        <v>310</v>
      </c>
      <c r="O59" s="1">
        <v>104</v>
      </c>
      <c r="P59" s="2"/>
      <c r="Q59" s="3"/>
    </row>
    <row r="60" spans="1:22" ht="15" x14ac:dyDescent="0.15">
      <c r="A60">
        <f>IF(COUNTIF(Fold1!A:A, B60), 1, IF(COUNTIF(Fold2!A:A, B60), 2, ""))</f>
        <v>1</v>
      </c>
      <c r="B60" s="3">
        <v>11009</v>
      </c>
      <c r="C60" s="3" t="s">
        <v>245</v>
      </c>
      <c r="D60" s="2" t="s">
        <v>246</v>
      </c>
      <c r="E60" s="3" t="s">
        <v>66</v>
      </c>
      <c r="F60" s="2" t="s">
        <v>67</v>
      </c>
      <c r="G60" s="1" t="s">
        <v>17</v>
      </c>
      <c r="H60" s="3" t="s">
        <v>221</v>
      </c>
      <c r="I60" s="3" t="s">
        <v>247</v>
      </c>
      <c r="J60" s="3">
        <v>3</v>
      </c>
      <c r="K60" s="3">
        <f>4*60+46</f>
        <v>286</v>
      </c>
      <c r="L60">
        <f t="shared" si="2"/>
        <v>283</v>
      </c>
      <c r="M60">
        <f t="shared" si="3"/>
        <v>4.72</v>
      </c>
      <c r="N60" s="1">
        <v>340</v>
      </c>
      <c r="O60" s="1">
        <v>114</v>
      </c>
      <c r="P60" s="2"/>
      <c r="Q60" s="3"/>
      <c r="R60" s="2"/>
    </row>
    <row r="61" spans="1:22" ht="15" x14ac:dyDescent="0.15">
      <c r="A61">
        <f>IF(COUNTIF(Fold1!A:A, B61), 1, IF(COUNTIF(Fold2!A:A, B61), 2, ""))</f>
        <v>2</v>
      </c>
      <c r="B61" s="3">
        <v>11010</v>
      </c>
      <c r="C61" s="3" t="s">
        <v>248</v>
      </c>
      <c r="D61" s="2" t="s">
        <v>249</v>
      </c>
      <c r="E61" s="3" t="s">
        <v>71</v>
      </c>
      <c r="F61" s="2" t="s">
        <v>72</v>
      </c>
      <c r="G61" s="1" t="s">
        <v>55</v>
      </c>
      <c r="H61" s="3" t="s">
        <v>221</v>
      </c>
      <c r="I61" s="3" t="s">
        <v>250</v>
      </c>
      <c r="J61" s="3">
        <v>5</v>
      </c>
      <c r="K61" s="3">
        <f>3*60+47</f>
        <v>227</v>
      </c>
      <c r="L61">
        <f t="shared" si="2"/>
        <v>222</v>
      </c>
      <c r="M61">
        <f t="shared" si="3"/>
        <v>3.7</v>
      </c>
      <c r="N61" s="1">
        <v>310</v>
      </c>
      <c r="O61" s="1">
        <v>104</v>
      </c>
      <c r="P61" s="2"/>
      <c r="Q61" s="3"/>
      <c r="R61" s="2"/>
    </row>
    <row r="62" spans="1:22" ht="15" x14ac:dyDescent="0.15">
      <c r="A62">
        <f>IF(COUNTIF(Fold1!A:A, B62), 1, IF(COUNTIF(Fold2!A:A, B62), 2, ""))</f>
        <v>1</v>
      </c>
      <c r="B62" s="3">
        <v>11011</v>
      </c>
      <c r="C62" s="3" t="s">
        <v>251</v>
      </c>
      <c r="D62" s="2" t="s">
        <v>252</v>
      </c>
      <c r="E62" s="3" t="s">
        <v>71</v>
      </c>
      <c r="F62" s="2" t="s">
        <v>72</v>
      </c>
      <c r="G62" s="1" t="s">
        <v>55</v>
      </c>
      <c r="H62" s="3" t="s">
        <v>221</v>
      </c>
      <c r="I62" s="3" t="s">
        <v>253</v>
      </c>
      <c r="J62" s="3">
        <f>60+53</f>
        <v>113</v>
      </c>
      <c r="K62" s="3">
        <f>5*60+49</f>
        <v>349</v>
      </c>
      <c r="L62">
        <f t="shared" si="2"/>
        <v>236</v>
      </c>
      <c r="M62">
        <f t="shared" si="3"/>
        <v>3.93</v>
      </c>
      <c r="N62" s="1">
        <v>313</v>
      </c>
      <c r="O62" s="1">
        <v>105</v>
      </c>
      <c r="P62" s="2"/>
      <c r="Q62" s="3"/>
      <c r="R62" s="2"/>
    </row>
    <row r="63" spans="1:22" ht="15" x14ac:dyDescent="0.15">
      <c r="A63">
        <f>IF(COUNTIF(Fold1!A:A, B63), 1, IF(COUNTIF(Fold2!A:A, B63), 2, ""))</f>
        <v>1</v>
      </c>
      <c r="B63" s="3">
        <v>11012</v>
      </c>
      <c r="C63" s="3" t="s">
        <v>254</v>
      </c>
      <c r="D63" s="2" t="s">
        <v>255</v>
      </c>
      <c r="E63" s="3" t="s">
        <v>87</v>
      </c>
      <c r="F63" s="2" t="s">
        <v>256</v>
      </c>
      <c r="G63" s="1" t="s">
        <v>33</v>
      </c>
      <c r="H63" s="3" t="s">
        <v>221</v>
      </c>
      <c r="I63" s="3" t="s">
        <v>45</v>
      </c>
      <c r="J63" s="3">
        <f>5*60+27</f>
        <v>327</v>
      </c>
      <c r="K63" s="3">
        <f>8*60+46</f>
        <v>526</v>
      </c>
      <c r="L63">
        <f t="shared" si="2"/>
        <v>199</v>
      </c>
      <c r="M63">
        <f t="shared" si="3"/>
        <v>3.32</v>
      </c>
      <c r="N63" s="1">
        <v>340</v>
      </c>
      <c r="O63" s="1">
        <v>114</v>
      </c>
      <c r="P63" s="2"/>
      <c r="Q63" s="3"/>
      <c r="R63" s="2"/>
    </row>
    <row r="64" spans="1:22" ht="15" x14ac:dyDescent="0.15">
      <c r="A64">
        <f>IF(COUNTIF(Fold1!A:A, B64), 1, IF(COUNTIF(Fold2!A:A, B64), 2, ""))</f>
        <v>1</v>
      </c>
      <c r="B64" s="3">
        <v>11013</v>
      </c>
      <c r="C64" s="3" t="s">
        <v>257</v>
      </c>
      <c r="D64" s="2" t="s">
        <v>258</v>
      </c>
      <c r="E64" s="3" t="s">
        <v>98</v>
      </c>
      <c r="F64" s="2" t="s">
        <v>99</v>
      </c>
      <c r="G64" s="1" t="s">
        <v>33</v>
      </c>
      <c r="H64" s="3" t="s">
        <v>221</v>
      </c>
      <c r="I64" s="3" t="s">
        <v>259</v>
      </c>
      <c r="J64" s="3">
        <f>2*60+27</f>
        <v>147</v>
      </c>
      <c r="K64" s="3">
        <f>7*60+15</f>
        <v>435</v>
      </c>
      <c r="L64">
        <f t="shared" si="2"/>
        <v>288</v>
      </c>
      <c r="M64">
        <f t="shared" si="3"/>
        <v>4.8</v>
      </c>
      <c r="N64" s="1">
        <v>453</v>
      </c>
      <c r="O64" s="1">
        <v>151</v>
      </c>
      <c r="P64" s="2"/>
      <c r="Q64" s="3"/>
      <c r="R64" s="2"/>
    </row>
    <row r="65" spans="1:18" ht="15" x14ac:dyDescent="0.15">
      <c r="A65">
        <f>IF(COUNTIF(Fold1!A:A, B65), 1, IF(COUNTIF(Fold2!A:A, B65), 2, ""))</f>
        <v>2</v>
      </c>
      <c r="B65" s="3">
        <v>11014</v>
      </c>
      <c r="C65" s="3" t="s">
        <v>260</v>
      </c>
      <c r="D65" s="2" t="s">
        <v>261</v>
      </c>
      <c r="E65" s="3" t="s">
        <v>262</v>
      </c>
      <c r="F65" s="2" t="s">
        <v>263</v>
      </c>
      <c r="G65" s="1" t="s">
        <v>17</v>
      </c>
      <c r="H65" s="3" t="s">
        <v>221</v>
      </c>
      <c r="I65" s="3" t="s">
        <v>264</v>
      </c>
      <c r="J65" s="3">
        <v>5</v>
      </c>
      <c r="K65" s="3">
        <f>2*60+29</f>
        <v>149</v>
      </c>
      <c r="L65">
        <f t="shared" si="2"/>
        <v>144</v>
      </c>
      <c r="M65">
        <f t="shared" si="3"/>
        <v>2.4</v>
      </c>
      <c r="N65" s="1">
        <v>232</v>
      </c>
      <c r="O65" s="1">
        <v>78</v>
      </c>
      <c r="P65" s="2"/>
      <c r="Q65" s="3"/>
      <c r="R65" s="2"/>
    </row>
    <row r="66" spans="1:18" ht="15" x14ac:dyDescent="0.15">
      <c r="A66">
        <f>IF(COUNTIF(Fold1!A:A, B66), 1, IF(COUNTIF(Fold2!A:A, B66), 2, ""))</f>
        <v>2</v>
      </c>
      <c r="B66" s="3">
        <v>11015</v>
      </c>
      <c r="C66" s="3" t="s">
        <v>265</v>
      </c>
      <c r="D66" s="2" t="s">
        <v>266</v>
      </c>
      <c r="E66" s="3" t="s">
        <v>113</v>
      </c>
      <c r="F66" s="2" t="s">
        <v>114</v>
      </c>
      <c r="G66" s="1" t="s">
        <v>115</v>
      </c>
      <c r="H66" s="3" t="s">
        <v>221</v>
      </c>
      <c r="I66" s="3" t="s">
        <v>183</v>
      </c>
      <c r="J66" s="3">
        <v>54</v>
      </c>
      <c r="K66" s="3">
        <f>7*60+28</f>
        <v>448</v>
      </c>
      <c r="L66">
        <f t="shared" ref="L66:L97" si="4">K66-J66</f>
        <v>394</v>
      </c>
      <c r="M66">
        <f t="shared" ref="M66:M97" si="5">ROUND(L66/60,2)</f>
        <v>6.57</v>
      </c>
      <c r="N66" s="1">
        <v>586</v>
      </c>
      <c r="O66" s="1">
        <v>196</v>
      </c>
      <c r="P66" s="2"/>
      <c r="Q66" s="3"/>
      <c r="R66" s="2"/>
    </row>
    <row r="67" spans="1:18" ht="15" x14ac:dyDescent="0.15">
      <c r="A67">
        <f>IF(COUNTIF(Fold1!A:A, B67), 1, IF(COUNTIF(Fold2!A:A, B67), 2, ""))</f>
        <v>2</v>
      </c>
      <c r="B67" s="3">
        <v>11016</v>
      </c>
      <c r="C67" s="3" t="s">
        <v>267</v>
      </c>
      <c r="D67" s="2" t="s">
        <v>268</v>
      </c>
      <c r="E67" s="3" t="s">
        <v>128</v>
      </c>
      <c r="F67" s="2" t="s">
        <v>129</v>
      </c>
      <c r="G67" s="1" t="s">
        <v>33</v>
      </c>
      <c r="H67" s="3" t="s">
        <v>221</v>
      </c>
      <c r="I67" s="3" t="s">
        <v>222</v>
      </c>
      <c r="J67" s="3">
        <f>4*60+45</f>
        <v>285</v>
      </c>
      <c r="K67" s="3">
        <f>8*60+3</f>
        <v>483</v>
      </c>
      <c r="L67">
        <f t="shared" si="4"/>
        <v>198</v>
      </c>
      <c r="M67">
        <f t="shared" si="5"/>
        <v>3.3</v>
      </c>
      <c r="N67" s="1">
        <v>301</v>
      </c>
      <c r="O67" s="1">
        <v>101</v>
      </c>
      <c r="P67" s="2"/>
      <c r="Q67" s="3"/>
      <c r="R67" s="2"/>
    </row>
    <row r="68" spans="1:18" ht="15" x14ac:dyDescent="0.15">
      <c r="A68">
        <f>IF(COUNTIF(Fold1!A:A, B68), 1, IF(COUNTIF(Fold2!A:A, B68), 2, ""))</f>
        <v>1</v>
      </c>
      <c r="B68" s="3">
        <v>11017</v>
      </c>
      <c r="C68" s="3" t="s">
        <v>269</v>
      </c>
      <c r="D68" s="2" t="s">
        <v>270</v>
      </c>
      <c r="E68" s="3" t="s">
        <v>140</v>
      </c>
      <c r="F68" s="2" t="s">
        <v>141</v>
      </c>
      <c r="G68" s="1" t="s">
        <v>33</v>
      </c>
      <c r="H68" s="3" t="s">
        <v>221</v>
      </c>
      <c r="I68" s="3" t="s">
        <v>271</v>
      </c>
      <c r="J68" s="3">
        <v>4</v>
      </c>
      <c r="K68" s="3">
        <f>4*60+19</f>
        <v>259</v>
      </c>
      <c r="L68">
        <f t="shared" si="4"/>
        <v>255</v>
      </c>
      <c r="M68">
        <f t="shared" si="5"/>
        <v>4.25</v>
      </c>
      <c r="N68" s="1">
        <v>526</v>
      </c>
      <c r="O68" s="1">
        <v>176</v>
      </c>
      <c r="P68" s="2"/>
      <c r="Q68" s="3"/>
      <c r="R68" s="2"/>
    </row>
    <row r="69" spans="1:18" ht="15" x14ac:dyDescent="0.15">
      <c r="A69">
        <f>IF(COUNTIF(Fold1!A:A, B69), 1, IF(COUNTIF(Fold2!A:A, B69), 2, ""))</f>
        <v>1</v>
      </c>
      <c r="B69" s="3">
        <v>11018</v>
      </c>
      <c r="C69" s="3" t="s">
        <v>272</v>
      </c>
      <c r="D69" s="2" t="s">
        <v>273</v>
      </c>
      <c r="E69" s="3" t="s">
        <v>140</v>
      </c>
      <c r="F69" s="2" t="s">
        <v>145</v>
      </c>
      <c r="G69" s="1" t="s">
        <v>33</v>
      </c>
      <c r="H69" s="3" t="s">
        <v>221</v>
      </c>
      <c r="I69" s="3" t="s">
        <v>222</v>
      </c>
      <c r="J69" s="3">
        <v>38</v>
      </c>
      <c r="K69" s="3">
        <f>3*60+45</f>
        <v>225</v>
      </c>
      <c r="L69">
        <f t="shared" si="4"/>
        <v>187</v>
      </c>
      <c r="M69">
        <f t="shared" si="5"/>
        <v>3.12</v>
      </c>
      <c r="N69" s="1">
        <v>250</v>
      </c>
      <c r="O69" s="1">
        <v>84</v>
      </c>
      <c r="P69" s="2"/>
      <c r="Q69" s="3"/>
      <c r="R69" s="2"/>
    </row>
    <row r="70" spans="1:18" ht="15" x14ac:dyDescent="0.15">
      <c r="A70">
        <f>IF(COUNTIF(Fold1!A:A, B70), 1, IF(COUNTIF(Fold2!A:A, B70), 2, ""))</f>
        <v>1</v>
      </c>
      <c r="B70" s="3">
        <v>11019</v>
      </c>
      <c r="C70" s="3" t="s">
        <v>274</v>
      </c>
      <c r="D70" s="2" t="s">
        <v>275</v>
      </c>
      <c r="E70" s="3" t="s">
        <v>140</v>
      </c>
      <c r="F70" s="2" t="s">
        <v>145</v>
      </c>
      <c r="G70" s="1" t="s">
        <v>33</v>
      </c>
      <c r="H70" s="3" t="s">
        <v>221</v>
      </c>
      <c r="I70" s="3" t="s">
        <v>276</v>
      </c>
      <c r="J70" s="3">
        <v>36</v>
      </c>
      <c r="K70" s="3">
        <f>3*60+30</f>
        <v>210</v>
      </c>
      <c r="L70">
        <f t="shared" si="4"/>
        <v>174</v>
      </c>
      <c r="M70">
        <f t="shared" si="5"/>
        <v>2.9</v>
      </c>
      <c r="N70" s="1">
        <v>232</v>
      </c>
      <c r="O70" s="1">
        <v>78</v>
      </c>
      <c r="P70" s="2"/>
      <c r="Q70" s="3"/>
      <c r="R70" s="2"/>
    </row>
    <row r="71" spans="1:18" ht="15" x14ac:dyDescent="0.15">
      <c r="A71">
        <f>IF(COUNTIF(Fold1!A:A, B71), 1, IF(COUNTIF(Fold2!A:A, B71), 2, ""))</f>
        <v>1</v>
      </c>
      <c r="B71" s="3">
        <v>11020</v>
      </c>
      <c r="C71" s="3" t="s">
        <v>277</v>
      </c>
      <c r="D71" s="2" t="s">
        <v>278</v>
      </c>
      <c r="E71" s="3" t="s">
        <v>279</v>
      </c>
      <c r="F71" s="2" t="s">
        <v>280</v>
      </c>
      <c r="G71" s="1" t="s">
        <v>17</v>
      </c>
      <c r="H71" s="3" t="s">
        <v>221</v>
      </c>
      <c r="I71" s="3" t="s">
        <v>281</v>
      </c>
      <c r="J71" s="3">
        <f>7*60+34</f>
        <v>454</v>
      </c>
      <c r="K71" s="3">
        <f>16*60+36</f>
        <v>996</v>
      </c>
      <c r="L71">
        <f t="shared" si="4"/>
        <v>542</v>
      </c>
      <c r="M71">
        <f t="shared" si="5"/>
        <v>9.0299999999999994</v>
      </c>
      <c r="N71" s="1">
        <v>865</v>
      </c>
      <c r="O71" s="1">
        <v>289</v>
      </c>
      <c r="Q71" s="2"/>
      <c r="R71" s="2"/>
    </row>
    <row r="72" spans="1:18" ht="15" x14ac:dyDescent="0.15">
      <c r="A72">
        <f>IF(COUNTIF(Fold1!A:A, B72), 1, IF(COUNTIF(Fold2!A:A, B72), 2, ""))</f>
        <v>1</v>
      </c>
      <c r="B72" s="3">
        <v>11021</v>
      </c>
      <c r="C72" s="3" t="s">
        <v>282</v>
      </c>
      <c r="D72" s="2" t="s">
        <v>283</v>
      </c>
      <c r="E72" s="3" t="s">
        <v>279</v>
      </c>
      <c r="F72" s="2" t="s">
        <v>284</v>
      </c>
      <c r="G72" s="1" t="s">
        <v>17</v>
      </c>
      <c r="H72" s="3" t="s">
        <v>221</v>
      </c>
      <c r="I72" s="3" t="s">
        <v>285</v>
      </c>
      <c r="J72" s="3">
        <f>21*60+58</f>
        <v>1318</v>
      </c>
      <c r="K72" s="3">
        <f>36*60+53</f>
        <v>2213</v>
      </c>
      <c r="L72">
        <f t="shared" si="4"/>
        <v>895</v>
      </c>
      <c r="M72">
        <f t="shared" si="5"/>
        <v>14.92</v>
      </c>
      <c r="N72" s="1">
        <v>1346</v>
      </c>
      <c r="O72" s="1">
        <v>449</v>
      </c>
      <c r="Q72" s="2"/>
      <c r="R72" s="2"/>
    </row>
    <row r="73" spans="1:18" ht="15" x14ac:dyDescent="0.15">
      <c r="A73">
        <f>IF(COUNTIF(Fold1!A:A, B73), 1, IF(COUNTIF(Fold2!A:A, B73), 2, ""))</f>
        <v>2</v>
      </c>
      <c r="B73" s="3">
        <v>11022</v>
      </c>
      <c r="C73" s="3" t="s">
        <v>286</v>
      </c>
      <c r="D73" s="2" t="s">
        <v>287</v>
      </c>
      <c r="E73" s="3" t="s">
        <v>288</v>
      </c>
      <c r="F73" s="2" t="s">
        <v>49</v>
      </c>
      <c r="G73" s="1" t="s">
        <v>17</v>
      </c>
      <c r="H73" s="3" t="s">
        <v>221</v>
      </c>
      <c r="I73" s="3" t="s">
        <v>289</v>
      </c>
      <c r="J73" s="3">
        <f>3*60+2</f>
        <v>182</v>
      </c>
      <c r="K73" s="3">
        <f>18*60+34</f>
        <v>1114</v>
      </c>
      <c r="L73">
        <f t="shared" si="4"/>
        <v>932</v>
      </c>
      <c r="M73">
        <f t="shared" si="5"/>
        <v>15.53</v>
      </c>
      <c r="N73" s="1">
        <v>1247</v>
      </c>
      <c r="O73" s="1">
        <v>416</v>
      </c>
      <c r="P73" s="2"/>
      <c r="R73" s="2"/>
    </row>
    <row r="74" spans="1:18" ht="15" x14ac:dyDescent="0.15">
      <c r="A74">
        <f>IF(COUNTIF(Fold1!A:A, B74), 1, IF(COUNTIF(Fold2!A:A, B74), 2, ""))</f>
        <v>1</v>
      </c>
      <c r="B74" s="3">
        <v>11023</v>
      </c>
      <c r="C74" s="3" t="s">
        <v>290</v>
      </c>
      <c r="D74" s="2" t="s">
        <v>291</v>
      </c>
      <c r="E74" s="3" t="s">
        <v>171</v>
      </c>
      <c r="F74" s="2" t="s">
        <v>172</v>
      </c>
      <c r="G74" s="1" t="s">
        <v>17</v>
      </c>
      <c r="H74" s="3" t="s">
        <v>221</v>
      </c>
      <c r="I74" s="3" t="s">
        <v>292</v>
      </c>
      <c r="J74" s="3">
        <f>16*60+15</f>
        <v>975</v>
      </c>
      <c r="K74" s="3">
        <f>21*60+27</f>
        <v>1287</v>
      </c>
      <c r="L74">
        <f t="shared" si="4"/>
        <v>312</v>
      </c>
      <c r="M74">
        <f t="shared" si="5"/>
        <v>5.2</v>
      </c>
      <c r="N74" s="1">
        <v>412</v>
      </c>
      <c r="O74" s="1">
        <v>138</v>
      </c>
      <c r="P74" s="2"/>
      <c r="Q74" s="3"/>
      <c r="R74" s="2"/>
    </row>
    <row r="75" spans="1:18" ht="15" x14ac:dyDescent="0.15">
      <c r="A75">
        <f>IF(COUNTIF(Fold1!A:A, B75), 1, IF(COUNTIF(Fold2!A:A, B75), 2, ""))</f>
        <v>2</v>
      </c>
      <c r="B75" s="3">
        <v>11024</v>
      </c>
      <c r="C75" s="3" t="s">
        <v>293</v>
      </c>
      <c r="D75" s="2" t="s">
        <v>294</v>
      </c>
      <c r="E75" s="3" t="s">
        <v>295</v>
      </c>
      <c r="F75" s="2" t="s">
        <v>296</v>
      </c>
      <c r="G75" s="1" t="s">
        <v>17</v>
      </c>
      <c r="H75" s="3" t="s">
        <v>221</v>
      </c>
      <c r="I75" s="3" t="s">
        <v>297</v>
      </c>
      <c r="J75" s="3">
        <f>14*60+31</f>
        <v>871</v>
      </c>
      <c r="K75" s="3">
        <f>30*60+45</f>
        <v>1845</v>
      </c>
      <c r="L75">
        <f t="shared" si="4"/>
        <v>974</v>
      </c>
      <c r="M75">
        <f t="shared" si="5"/>
        <v>16.23</v>
      </c>
      <c r="N75" s="1">
        <v>1158</v>
      </c>
      <c r="O75" s="1">
        <v>386</v>
      </c>
      <c r="P75" s="2"/>
      <c r="Q75" s="3"/>
    </row>
    <row r="76" spans="1:18" ht="15" x14ac:dyDescent="0.15">
      <c r="A76">
        <f>IF(COUNTIF(Fold1!A:A, B76), 1, IF(COUNTIF(Fold2!A:A, B76), 2, ""))</f>
        <v>2</v>
      </c>
      <c r="B76" s="3">
        <v>11025</v>
      </c>
      <c r="C76" s="3" t="s">
        <v>298</v>
      </c>
      <c r="D76" s="2" t="s">
        <v>299</v>
      </c>
      <c r="E76" s="3" t="s">
        <v>300</v>
      </c>
      <c r="F76" s="2" t="s">
        <v>301</v>
      </c>
      <c r="G76" s="1" t="s">
        <v>17</v>
      </c>
      <c r="H76" s="3" t="s">
        <v>221</v>
      </c>
      <c r="I76" s="3" t="s">
        <v>302</v>
      </c>
      <c r="J76" s="3">
        <v>7</v>
      </c>
      <c r="K76" s="3">
        <f>3*60+27</f>
        <v>207</v>
      </c>
      <c r="L76">
        <f t="shared" si="4"/>
        <v>200</v>
      </c>
      <c r="M76">
        <f t="shared" si="5"/>
        <v>3.33</v>
      </c>
      <c r="N76" s="1">
        <v>256</v>
      </c>
      <c r="O76" s="1">
        <v>86</v>
      </c>
      <c r="P76" s="2"/>
      <c r="Q76" s="3"/>
      <c r="R76" s="2"/>
    </row>
    <row r="77" spans="1:18" ht="15" x14ac:dyDescent="0.15">
      <c r="A77">
        <f>IF(COUNTIF(Fold1!A:A, B77), 1, IF(COUNTIF(Fold2!A:A, B77), 2, ""))</f>
        <v>1</v>
      </c>
      <c r="B77" s="3">
        <v>11026</v>
      </c>
      <c r="C77" s="3" t="s">
        <v>303</v>
      </c>
      <c r="D77" s="2" t="s">
        <v>304</v>
      </c>
      <c r="E77" s="3" t="s">
        <v>300</v>
      </c>
      <c r="F77" s="2" t="s">
        <v>301</v>
      </c>
      <c r="G77" s="1" t="s">
        <v>17</v>
      </c>
      <c r="H77" s="3" t="s">
        <v>221</v>
      </c>
      <c r="I77" s="3" t="s">
        <v>281</v>
      </c>
      <c r="J77" s="3">
        <v>17</v>
      </c>
      <c r="K77" s="3">
        <f>3*60+28</f>
        <v>208</v>
      </c>
      <c r="L77">
        <f t="shared" si="4"/>
        <v>191</v>
      </c>
      <c r="M77">
        <f t="shared" si="5"/>
        <v>3.18</v>
      </c>
      <c r="N77" s="1">
        <v>241</v>
      </c>
      <c r="O77" s="1">
        <v>81</v>
      </c>
      <c r="P77" s="2"/>
      <c r="Q77" s="3"/>
      <c r="R77" s="2"/>
    </row>
    <row r="78" spans="1:18" ht="15" x14ac:dyDescent="0.15">
      <c r="A78">
        <f>IF(COUNTIF(Fold1!A:A, B78), 1, IF(COUNTIF(Fold2!A:A, B78), 2, ""))</f>
        <v>2</v>
      </c>
      <c r="B78" s="3">
        <v>11027</v>
      </c>
      <c r="C78" s="3" t="s">
        <v>305</v>
      </c>
      <c r="D78" s="2" t="s">
        <v>306</v>
      </c>
      <c r="E78" s="3" t="s">
        <v>307</v>
      </c>
      <c r="F78" s="2" t="s">
        <v>308</v>
      </c>
      <c r="G78" s="1" t="s">
        <v>17</v>
      </c>
      <c r="H78" s="3" t="s">
        <v>221</v>
      </c>
      <c r="I78" s="3" t="s">
        <v>309</v>
      </c>
      <c r="J78" s="3">
        <f>2*60+35</f>
        <v>155</v>
      </c>
      <c r="K78" s="3">
        <f>8*60+37</f>
        <v>517</v>
      </c>
      <c r="L78">
        <f t="shared" si="4"/>
        <v>362</v>
      </c>
      <c r="M78">
        <f t="shared" si="5"/>
        <v>6.03</v>
      </c>
      <c r="N78" s="1">
        <v>499</v>
      </c>
      <c r="O78" s="1">
        <v>167</v>
      </c>
      <c r="P78" s="2"/>
      <c r="R78" s="2"/>
    </row>
    <row r="79" spans="1:18" ht="15" x14ac:dyDescent="0.15">
      <c r="A79">
        <f>IF(COUNTIF(Fold1!A:A, B79), 1, IF(COUNTIF(Fold2!A:A, B79), 2, ""))</f>
        <v>1</v>
      </c>
      <c r="B79" s="3">
        <v>11028</v>
      </c>
      <c r="C79" s="3" t="s">
        <v>310</v>
      </c>
      <c r="D79" s="2" t="s">
        <v>311</v>
      </c>
      <c r="E79" s="3" t="s">
        <v>307</v>
      </c>
      <c r="F79" s="2" t="s">
        <v>312</v>
      </c>
      <c r="G79" s="1" t="s">
        <v>17</v>
      </c>
      <c r="H79" s="3" t="s">
        <v>221</v>
      </c>
      <c r="I79" s="3" t="s">
        <v>313</v>
      </c>
      <c r="J79" s="3">
        <v>6</v>
      </c>
      <c r="K79" s="3">
        <f>7*60+44</f>
        <v>464</v>
      </c>
      <c r="L79">
        <f t="shared" si="4"/>
        <v>458</v>
      </c>
      <c r="M79">
        <f t="shared" si="5"/>
        <v>7.63</v>
      </c>
      <c r="N79" s="1">
        <v>624</v>
      </c>
      <c r="O79" s="1">
        <v>208</v>
      </c>
      <c r="P79" s="2"/>
      <c r="Q79" s="3"/>
      <c r="R79" s="2"/>
    </row>
    <row r="80" spans="1:18" ht="15" x14ac:dyDescent="0.15">
      <c r="A80">
        <f>IF(COUNTIF(Fold1!A:A, B80), 1, IF(COUNTIF(Fold2!A:A, B80), 2, ""))</f>
        <v>1</v>
      </c>
      <c r="B80" s="3">
        <v>11029</v>
      </c>
      <c r="C80" s="3" t="s">
        <v>314</v>
      </c>
      <c r="D80" s="2" t="s">
        <v>315</v>
      </c>
      <c r="E80" s="3" t="s">
        <v>307</v>
      </c>
      <c r="F80" s="2" t="s">
        <v>316</v>
      </c>
      <c r="G80" s="1" t="s">
        <v>17</v>
      </c>
      <c r="H80" s="3" t="s">
        <v>221</v>
      </c>
      <c r="I80" s="3" t="s">
        <v>317</v>
      </c>
      <c r="J80" s="3">
        <f>11*60+8</f>
        <v>668</v>
      </c>
      <c r="K80" s="3">
        <f>16*60</f>
        <v>960</v>
      </c>
      <c r="L80">
        <f t="shared" si="4"/>
        <v>292</v>
      </c>
      <c r="M80">
        <f t="shared" si="5"/>
        <v>4.87</v>
      </c>
      <c r="N80" s="1">
        <v>406</v>
      </c>
      <c r="O80" s="1">
        <v>136</v>
      </c>
      <c r="P80" s="2"/>
      <c r="Q80" s="3"/>
      <c r="R80" s="2"/>
    </row>
    <row r="81" spans="1:18" ht="15" x14ac:dyDescent="0.15">
      <c r="A81">
        <f>IF(COUNTIF(Fold1!A:A, B81), 1, IF(COUNTIF(Fold2!A:A, B81), 2, ""))</f>
        <v>2</v>
      </c>
      <c r="B81" s="3">
        <v>11030</v>
      </c>
      <c r="C81" s="3" t="s">
        <v>318</v>
      </c>
      <c r="D81" s="2" t="s">
        <v>319</v>
      </c>
      <c r="E81" s="3" t="s">
        <v>307</v>
      </c>
      <c r="F81" s="2" t="s">
        <v>320</v>
      </c>
      <c r="G81" s="1" t="s">
        <v>17</v>
      </c>
      <c r="H81" s="3" t="s">
        <v>221</v>
      </c>
      <c r="I81" s="3" t="s">
        <v>321</v>
      </c>
      <c r="J81" s="3">
        <f>15*60+19</f>
        <v>919</v>
      </c>
      <c r="K81" s="3">
        <f>22*60+43</f>
        <v>1363</v>
      </c>
      <c r="L81">
        <f t="shared" si="4"/>
        <v>444</v>
      </c>
      <c r="M81">
        <f t="shared" si="5"/>
        <v>7.4</v>
      </c>
      <c r="N81" s="1">
        <v>602</v>
      </c>
      <c r="O81" s="1">
        <v>201</v>
      </c>
      <c r="P81" s="2"/>
      <c r="Q81" s="3"/>
      <c r="R81" s="2"/>
    </row>
    <row r="82" spans="1:18" ht="15" x14ac:dyDescent="0.15">
      <c r="A82">
        <f>IF(COUNTIF(Fold1!A:A, B82), 1, IF(COUNTIF(Fold2!A:A, B82), 2, ""))</f>
        <v>2</v>
      </c>
      <c r="B82" s="3">
        <v>11031</v>
      </c>
      <c r="C82" s="3" t="s">
        <v>322</v>
      </c>
      <c r="D82" s="2" t="s">
        <v>323</v>
      </c>
      <c r="E82" s="3" t="s">
        <v>307</v>
      </c>
      <c r="F82" s="2" t="s">
        <v>324</v>
      </c>
      <c r="G82" s="1" t="s">
        <v>17</v>
      </c>
      <c r="H82" s="3" t="s">
        <v>221</v>
      </c>
      <c r="I82" s="3" t="s">
        <v>325</v>
      </c>
      <c r="J82" s="3">
        <v>9</v>
      </c>
      <c r="K82" s="3">
        <f>7*60+42</f>
        <v>462</v>
      </c>
      <c r="L82">
        <f t="shared" si="4"/>
        <v>453</v>
      </c>
      <c r="M82">
        <f t="shared" si="5"/>
        <v>7.55</v>
      </c>
      <c r="N82" s="1">
        <v>611</v>
      </c>
      <c r="O82" s="1">
        <v>204</v>
      </c>
      <c r="P82" s="2"/>
      <c r="Q82" s="3"/>
      <c r="R82" s="2"/>
    </row>
    <row r="83" spans="1:18" ht="15" x14ac:dyDescent="0.15">
      <c r="A83">
        <f>IF(COUNTIF(Fold1!A:A, B83), 1, IF(COUNTIF(Fold2!A:A, B83), 2, ""))</f>
        <v>2</v>
      </c>
      <c r="B83" s="3">
        <v>11032</v>
      </c>
      <c r="C83" s="3" t="s">
        <v>326</v>
      </c>
      <c r="D83" s="2" t="s">
        <v>327</v>
      </c>
      <c r="E83" s="3" t="s">
        <v>307</v>
      </c>
      <c r="F83" s="2" t="s">
        <v>328</v>
      </c>
      <c r="G83" s="1" t="s">
        <v>17</v>
      </c>
      <c r="H83" s="3" t="s">
        <v>221</v>
      </c>
      <c r="I83" s="3" t="s">
        <v>329</v>
      </c>
      <c r="J83" s="3">
        <f>60+45</f>
        <v>105</v>
      </c>
      <c r="K83" s="3">
        <f>5*60+52</f>
        <v>352</v>
      </c>
      <c r="L83">
        <f t="shared" si="4"/>
        <v>247</v>
      </c>
      <c r="M83">
        <f t="shared" si="5"/>
        <v>4.12</v>
      </c>
      <c r="N83" s="1">
        <v>298</v>
      </c>
      <c r="O83" s="1">
        <v>100</v>
      </c>
      <c r="P83" s="2"/>
      <c r="Q83" s="3"/>
    </row>
    <row r="84" spans="1:18" ht="15" x14ac:dyDescent="0.15">
      <c r="A84">
        <f>IF(COUNTIF(Fold1!A:A, B84), 1, IF(COUNTIF(Fold2!A:A, B84), 2, ""))</f>
        <v>2</v>
      </c>
      <c r="B84" s="3">
        <v>11033</v>
      </c>
      <c r="C84" s="3" t="s">
        <v>330</v>
      </c>
      <c r="D84" s="2" t="s">
        <v>331</v>
      </c>
      <c r="E84" s="3" t="s">
        <v>307</v>
      </c>
      <c r="F84" s="2" t="s">
        <v>332</v>
      </c>
      <c r="G84" s="1" t="s">
        <v>17</v>
      </c>
      <c r="H84" s="3" t="s">
        <v>221</v>
      </c>
      <c r="I84" s="3" t="s">
        <v>333</v>
      </c>
      <c r="J84" s="3">
        <f>8*60+24</f>
        <v>504</v>
      </c>
      <c r="K84" s="3">
        <f>12*60+36</f>
        <v>756</v>
      </c>
      <c r="L84">
        <f t="shared" si="4"/>
        <v>252</v>
      </c>
      <c r="M84">
        <f t="shared" si="5"/>
        <v>4.2</v>
      </c>
      <c r="N84" s="1">
        <v>357</v>
      </c>
      <c r="O84" s="1">
        <v>119</v>
      </c>
      <c r="P84" s="2"/>
      <c r="Q84" s="3"/>
      <c r="R84" s="2"/>
    </row>
    <row r="85" spans="1:18" ht="15" x14ac:dyDescent="0.15">
      <c r="A85">
        <f>IF(COUNTIF(Fold1!A:A, B85), 1, IF(COUNTIF(Fold2!A:A, B85), 2, ""))</f>
        <v>1</v>
      </c>
      <c r="B85" s="3">
        <v>11034</v>
      </c>
      <c r="C85" s="3" t="s">
        <v>334</v>
      </c>
      <c r="D85" s="2" t="s">
        <v>335</v>
      </c>
      <c r="E85" s="3" t="s">
        <v>336</v>
      </c>
      <c r="F85" s="2" t="s">
        <v>337</v>
      </c>
      <c r="G85" s="1" t="s">
        <v>17</v>
      </c>
      <c r="H85" s="3" t="s">
        <v>221</v>
      </c>
      <c r="I85" s="3" t="s">
        <v>338</v>
      </c>
      <c r="J85" s="3">
        <v>1</v>
      </c>
      <c r="K85" s="3">
        <f>3*60+8</f>
        <v>188</v>
      </c>
      <c r="L85">
        <f t="shared" si="4"/>
        <v>187</v>
      </c>
      <c r="M85">
        <f t="shared" si="5"/>
        <v>3.12</v>
      </c>
      <c r="N85" s="1">
        <v>250</v>
      </c>
      <c r="O85" s="1">
        <v>84</v>
      </c>
      <c r="P85" s="2"/>
      <c r="Q85" s="3"/>
      <c r="R85" s="2"/>
    </row>
    <row r="86" spans="1:18" ht="15" x14ac:dyDescent="0.15">
      <c r="A86">
        <f>IF(COUNTIF(Fold1!A:A, B86), 1, IF(COUNTIF(Fold2!A:A, B86), 2, ""))</f>
        <v>2</v>
      </c>
      <c r="B86" s="3">
        <v>11035</v>
      </c>
      <c r="C86" s="3" t="s">
        <v>339</v>
      </c>
      <c r="D86" s="2" t="s">
        <v>273</v>
      </c>
      <c r="E86" s="3" t="s">
        <v>336</v>
      </c>
      <c r="F86" s="2" t="s">
        <v>340</v>
      </c>
      <c r="G86" s="1" t="s">
        <v>17</v>
      </c>
      <c r="H86" s="3" t="s">
        <v>221</v>
      </c>
      <c r="I86" s="3" t="s">
        <v>222</v>
      </c>
      <c r="J86" s="3">
        <v>117</v>
      </c>
      <c r="K86" s="3">
        <f>5*60+6</f>
        <v>306</v>
      </c>
      <c r="L86">
        <f t="shared" si="4"/>
        <v>189</v>
      </c>
      <c r="M86">
        <f t="shared" si="5"/>
        <v>3.15</v>
      </c>
      <c r="N86" s="1">
        <v>277</v>
      </c>
      <c r="O86" s="1">
        <v>93</v>
      </c>
      <c r="P86" s="2"/>
      <c r="Q86" s="3"/>
      <c r="R86" s="2"/>
    </row>
    <row r="87" spans="1:18" ht="15" x14ac:dyDescent="0.15">
      <c r="A87">
        <f>IF(COUNTIF(Fold1!A:A, B87), 1, IF(COUNTIF(Fold2!A:A, B87), 2, ""))</f>
        <v>1</v>
      </c>
      <c r="B87" s="3">
        <v>11036</v>
      </c>
      <c r="C87" s="3" t="s">
        <v>341</v>
      </c>
      <c r="D87" s="2" t="s">
        <v>342</v>
      </c>
      <c r="E87" s="3" t="s">
        <v>191</v>
      </c>
      <c r="F87" s="2" t="s">
        <v>192</v>
      </c>
      <c r="G87" s="1" t="s">
        <v>156</v>
      </c>
      <c r="H87" s="3" t="s">
        <v>221</v>
      </c>
      <c r="I87" s="3" t="s">
        <v>271</v>
      </c>
      <c r="J87" s="3">
        <v>15</v>
      </c>
      <c r="K87" s="3">
        <f>5*60+33</f>
        <v>333</v>
      </c>
      <c r="L87">
        <f t="shared" si="4"/>
        <v>318</v>
      </c>
      <c r="M87">
        <f t="shared" si="5"/>
        <v>5.3</v>
      </c>
      <c r="N87" s="1">
        <v>511</v>
      </c>
      <c r="O87" s="1">
        <v>171</v>
      </c>
      <c r="P87" s="2"/>
      <c r="Q87" s="3"/>
      <c r="R87" s="2"/>
    </row>
    <row r="88" spans="1:18" ht="15" x14ac:dyDescent="0.15">
      <c r="A88">
        <f>IF(COUNTIF(Fold1!A:A, B88), 1, IF(COUNTIF(Fold2!A:A, B88), 2, ""))</f>
        <v>2</v>
      </c>
      <c r="B88" s="3">
        <v>11037</v>
      </c>
      <c r="C88" s="3" t="s">
        <v>343</v>
      </c>
      <c r="D88" s="2" t="s">
        <v>344</v>
      </c>
      <c r="E88" s="3" t="s">
        <v>345</v>
      </c>
      <c r="F88" s="2" t="s">
        <v>346</v>
      </c>
      <c r="G88" s="1" t="s">
        <v>17</v>
      </c>
      <c r="H88" s="3" t="s">
        <v>221</v>
      </c>
      <c r="I88" s="3" t="s">
        <v>347</v>
      </c>
      <c r="J88" s="3">
        <f>12*60+58</f>
        <v>778</v>
      </c>
      <c r="K88" s="3">
        <f>16*60+2</f>
        <v>962</v>
      </c>
      <c r="L88">
        <f t="shared" si="4"/>
        <v>184</v>
      </c>
      <c r="M88">
        <f t="shared" si="5"/>
        <v>3.07</v>
      </c>
      <c r="N88" s="1">
        <v>236</v>
      </c>
      <c r="O88" s="1">
        <v>79</v>
      </c>
      <c r="P88" s="2"/>
      <c r="Q88" s="3"/>
      <c r="R88" s="2"/>
    </row>
    <row r="89" spans="1:18" ht="15" x14ac:dyDescent="0.15">
      <c r="A89">
        <f>IF(COUNTIF(Fold1!A:A, B89), 1, IF(COUNTIF(Fold2!A:A, B89), 2, ""))</f>
        <v>2</v>
      </c>
      <c r="B89" s="3">
        <v>11038</v>
      </c>
      <c r="C89" s="3" t="s">
        <v>348</v>
      </c>
      <c r="D89" s="2" t="s">
        <v>349</v>
      </c>
      <c r="E89" s="3" t="s">
        <v>345</v>
      </c>
      <c r="F89" s="2" t="s">
        <v>350</v>
      </c>
      <c r="G89" s="1" t="s">
        <v>17</v>
      </c>
      <c r="H89" s="3" t="s">
        <v>221</v>
      </c>
      <c r="I89" s="3" t="s">
        <v>281</v>
      </c>
      <c r="J89" s="3">
        <v>372</v>
      </c>
      <c r="K89" s="3">
        <f>11*60+39</f>
        <v>699</v>
      </c>
      <c r="L89">
        <f t="shared" si="4"/>
        <v>327</v>
      </c>
      <c r="M89">
        <f t="shared" si="5"/>
        <v>5.45</v>
      </c>
      <c r="N89" s="1">
        <v>444</v>
      </c>
      <c r="O89" s="1">
        <v>148</v>
      </c>
      <c r="P89" s="2"/>
      <c r="Q89" s="3"/>
      <c r="R89" s="2"/>
    </row>
    <row r="90" spans="1:18" ht="15" x14ac:dyDescent="0.15">
      <c r="A90">
        <f>IF(COUNTIF(Fold1!A:A, B90), 1, IF(COUNTIF(Fold2!A:A, B90), 2, ""))</f>
        <v>2</v>
      </c>
      <c r="B90" s="3">
        <v>11039</v>
      </c>
      <c r="C90" s="3" t="s">
        <v>351</v>
      </c>
      <c r="D90" s="2" t="s">
        <v>352</v>
      </c>
      <c r="E90" s="3" t="s">
        <v>345</v>
      </c>
      <c r="F90" s="2" t="s">
        <v>350</v>
      </c>
      <c r="G90" s="1" t="s">
        <v>17</v>
      </c>
      <c r="H90" s="3" t="s">
        <v>221</v>
      </c>
      <c r="I90" s="3" t="s">
        <v>188</v>
      </c>
      <c r="J90" s="3">
        <v>2</v>
      </c>
      <c r="K90" s="3">
        <f>4*60+36</f>
        <v>276</v>
      </c>
      <c r="L90">
        <f t="shared" si="4"/>
        <v>274</v>
      </c>
      <c r="M90">
        <f t="shared" si="5"/>
        <v>4.57</v>
      </c>
      <c r="N90" s="1">
        <v>355</v>
      </c>
      <c r="O90" s="1">
        <v>119</v>
      </c>
      <c r="P90" s="2"/>
      <c r="Q90" s="3"/>
      <c r="R90" s="2"/>
    </row>
    <row r="91" spans="1:18" ht="15" x14ac:dyDescent="0.15">
      <c r="A91">
        <f>IF(COUNTIF(Fold1!A:A, B91), 1, IF(COUNTIF(Fold2!A:A, B91), 2, ""))</f>
        <v>1</v>
      </c>
      <c r="B91" s="3">
        <v>11040</v>
      </c>
      <c r="C91" s="3" t="s">
        <v>353</v>
      </c>
      <c r="D91" s="2" t="s">
        <v>354</v>
      </c>
      <c r="E91" s="3" t="s">
        <v>355</v>
      </c>
      <c r="F91" s="2" t="s">
        <v>350</v>
      </c>
      <c r="G91" s="1" t="s">
        <v>17</v>
      </c>
      <c r="H91" s="3" t="s">
        <v>221</v>
      </c>
      <c r="I91" s="3" t="s">
        <v>134</v>
      </c>
      <c r="J91" s="3">
        <v>2</v>
      </c>
      <c r="K91" s="3">
        <f>4*60+30</f>
        <v>270</v>
      </c>
      <c r="L91">
        <f t="shared" si="4"/>
        <v>268</v>
      </c>
      <c r="M91">
        <f t="shared" si="5"/>
        <v>4.47</v>
      </c>
      <c r="N91" s="1">
        <v>412</v>
      </c>
      <c r="O91" s="1">
        <v>138</v>
      </c>
      <c r="P91" s="2"/>
      <c r="Q91" s="3"/>
      <c r="R91" s="2"/>
    </row>
    <row r="92" spans="1:18" ht="15" x14ac:dyDescent="0.15">
      <c r="A92">
        <f>IF(COUNTIF(Fold1!A:A, B92), 1, IF(COUNTIF(Fold2!A:A, B92), 2, ""))</f>
        <v>1</v>
      </c>
      <c r="B92" s="3">
        <v>11041</v>
      </c>
      <c r="C92" s="3" t="s">
        <v>356</v>
      </c>
      <c r="D92" s="2" t="s">
        <v>357</v>
      </c>
      <c r="E92" s="3" t="s">
        <v>355</v>
      </c>
      <c r="F92" s="2" t="s">
        <v>350</v>
      </c>
      <c r="G92" s="1" t="s">
        <v>17</v>
      </c>
      <c r="H92" s="3" t="s">
        <v>221</v>
      </c>
      <c r="I92" s="3" t="s">
        <v>358</v>
      </c>
      <c r="J92" s="3">
        <v>5</v>
      </c>
      <c r="K92" s="3">
        <f>4*60+50</f>
        <v>290</v>
      </c>
      <c r="L92">
        <f t="shared" si="4"/>
        <v>285</v>
      </c>
      <c r="M92">
        <f t="shared" si="5"/>
        <v>4.75</v>
      </c>
      <c r="N92" s="1">
        <v>385</v>
      </c>
      <c r="O92" s="1">
        <v>129</v>
      </c>
      <c r="P92" s="2"/>
      <c r="Q92" s="3"/>
      <c r="R92" s="2"/>
    </row>
    <row r="93" spans="1:18" ht="15" x14ac:dyDescent="0.15">
      <c r="A93">
        <f>IF(COUNTIF(Fold1!A:A, B93), 1, IF(COUNTIF(Fold2!A:A, B93), 2, ""))</f>
        <v>2</v>
      </c>
      <c r="B93" s="3">
        <v>11042</v>
      </c>
      <c r="C93" s="3" t="s">
        <v>359</v>
      </c>
      <c r="D93" s="2" t="s">
        <v>360</v>
      </c>
      <c r="E93" s="3" t="s">
        <v>355</v>
      </c>
      <c r="F93" s="2" t="s">
        <v>350</v>
      </c>
      <c r="G93" s="1" t="s">
        <v>17</v>
      </c>
      <c r="H93" s="3" t="s">
        <v>221</v>
      </c>
      <c r="I93" s="3" t="s">
        <v>361</v>
      </c>
      <c r="J93" s="3">
        <v>9</v>
      </c>
      <c r="K93" s="3">
        <f>5*60+31</f>
        <v>331</v>
      </c>
      <c r="L93">
        <f t="shared" si="4"/>
        <v>322</v>
      </c>
      <c r="M93">
        <f t="shared" si="5"/>
        <v>5.37</v>
      </c>
      <c r="N93" s="1">
        <v>421</v>
      </c>
      <c r="O93" s="1">
        <v>141</v>
      </c>
      <c r="P93" s="2"/>
      <c r="Q93" s="3"/>
      <c r="R93" s="2"/>
    </row>
    <row r="94" spans="1:18" ht="15" x14ac:dyDescent="0.15">
      <c r="A94">
        <f>IF(COUNTIF(Fold1!A:A, B94), 1, IF(COUNTIF(Fold2!A:A, B94), 2, ""))</f>
        <v>2</v>
      </c>
      <c r="B94" s="3">
        <v>11043</v>
      </c>
      <c r="C94" s="3" t="s">
        <v>362</v>
      </c>
      <c r="D94" s="2" t="s">
        <v>363</v>
      </c>
      <c r="E94" s="3" t="s">
        <v>364</v>
      </c>
      <c r="F94" s="2" t="s">
        <v>365</v>
      </c>
      <c r="G94" s="1" t="s">
        <v>17</v>
      </c>
      <c r="H94" s="3" t="s">
        <v>221</v>
      </c>
      <c r="I94" s="3" t="s">
        <v>366</v>
      </c>
      <c r="J94" s="3">
        <v>6</v>
      </c>
      <c r="K94" s="3">
        <f>3*60+10</f>
        <v>190</v>
      </c>
      <c r="L94">
        <f t="shared" si="4"/>
        <v>184</v>
      </c>
      <c r="M94">
        <f t="shared" si="5"/>
        <v>3.07</v>
      </c>
      <c r="N94" s="1">
        <v>226</v>
      </c>
      <c r="O94" s="1">
        <v>76</v>
      </c>
      <c r="P94" s="2"/>
      <c r="Q94" s="3"/>
      <c r="R94" s="2"/>
    </row>
    <row r="95" spans="1:18" ht="15" x14ac:dyDescent="0.15">
      <c r="A95">
        <f>IF(COUNTIF(Fold1!A:A, B95), 1, IF(COUNTIF(Fold2!A:A, B95), 2, ""))</f>
        <v>1</v>
      </c>
      <c r="B95" s="3">
        <v>11044</v>
      </c>
      <c r="C95" s="3" t="s">
        <v>367</v>
      </c>
      <c r="D95" s="2" t="s">
        <v>368</v>
      </c>
      <c r="E95" s="3" t="s">
        <v>203</v>
      </c>
      <c r="F95" s="2" t="s">
        <v>350</v>
      </c>
      <c r="G95" s="1" t="s">
        <v>17</v>
      </c>
      <c r="H95" s="3" t="s">
        <v>221</v>
      </c>
      <c r="I95" s="3" t="s">
        <v>281</v>
      </c>
      <c r="J95" s="3">
        <f>5*60+41</f>
        <v>341</v>
      </c>
      <c r="K95" s="3">
        <f>8*60+59</f>
        <v>539</v>
      </c>
      <c r="L95">
        <f t="shared" si="4"/>
        <v>198</v>
      </c>
      <c r="M95">
        <f t="shared" si="5"/>
        <v>3.3</v>
      </c>
      <c r="N95" s="1">
        <v>243</v>
      </c>
      <c r="O95" s="1">
        <v>81</v>
      </c>
      <c r="P95" s="2"/>
      <c r="Q95" s="3"/>
      <c r="R95" s="2"/>
    </row>
    <row r="96" spans="1:18" ht="15" x14ac:dyDescent="0.15">
      <c r="A96">
        <f>IF(COUNTIF(Fold1!A:A, B96), 1, IF(COUNTIF(Fold2!A:A, B96), 2, ""))</f>
        <v>1</v>
      </c>
      <c r="B96" s="3">
        <v>11045</v>
      </c>
      <c r="C96" s="3" t="s">
        <v>369</v>
      </c>
      <c r="D96" s="2" t="s">
        <v>370</v>
      </c>
      <c r="E96" s="3" t="s">
        <v>203</v>
      </c>
      <c r="F96" s="2" t="s">
        <v>225</v>
      </c>
      <c r="G96" s="1" t="s">
        <v>17</v>
      </c>
      <c r="H96" s="3" t="s">
        <v>221</v>
      </c>
      <c r="I96" s="3" t="s">
        <v>371</v>
      </c>
      <c r="J96" s="3">
        <v>4</v>
      </c>
      <c r="K96" s="3">
        <f>2*60+21</f>
        <v>141</v>
      </c>
      <c r="L96">
        <f t="shared" si="4"/>
        <v>137</v>
      </c>
      <c r="M96">
        <f t="shared" si="5"/>
        <v>2.2799999999999998</v>
      </c>
      <c r="N96" s="1">
        <v>223</v>
      </c>
      <c r="O96" s="1">
        <v>75</v>
      </c>
      <c r="P96" s="2"/>
      <c r="Q96" s="3"/>
      <c r="R96" s="2"/>
    </row>
    <row r="97" spans="1:22" ht="15" x14ac:dyDescent="0.15">
      <c r="A97">
        <f>IF(COUNTIF(Fold1!A:A, B97), 1, IF(COUNTIF(Fold2!A:A, B97), 2, ""))</f>
        <v>1</v>
      </c>
      <c r="B97" s="3">
        <v>11046</v>
      </c>
      <c r="C97" s="3" t="s">
        <v>372</v>
      </c>
      <c r="D97" s="2" t="s">
        <v>373</v>
      </c>
      <c r="E97" s="3" t="s">
        <v>214</v>
      </c>
      <c r="F97" s="2" t="s">
        <v>215</v>
      </c>
      <c r="G97" s="1" t="s">
        <v>17</v>
      </c>
      <c r="H97" s="3" t="s">
        <v>221</v>
      </c>
      <c r="I97" s="3" t="s">
        <v>374</v>
      </c>
      <c r="J97" s="3">
        <f>3*60+4</f>
        <v>184</v>
      </c>
      <c r="K97" s="3">
        <f>8*60+41</f>
        <v>521</v>
      </c>
      <c r="L97">
        <f t="shared" si="4"/>
        <v>337</v>
      </c>
      <c r="M97">
        <f t="shared" si="5"/>
        <v>5.62</v>
      </c>
      <c r="N97" s="1">
        <v>502</v>
      </c>
      <c r="O97" s="1">
        <v>168</v>
      </c>
      <c r="P97" s="2"/>
      <c r="Q97" s="3"/>
      <c r="R97" s="2"/>
    </row>
    <row r="98" spans="1:22" ht="15" x14ac:dyDescent="0.15">
      <c r="A98">
        <f>IF(COUNTIF(Fold1!A:A, B98), 1, IF(COUNTIF(Fold2!A:A, B98), 2, ""))</f>
        <v>2</v>
      </c>
      <c r="B98" s="3">
        <v>11047</v>
      </c>
      <c r="C98" s="3" t="s">
        <v>375</v>
      </c>
      <c r="D98" s="2" t="s">
        <v>376</v>
      </c>
      <c r="E98" s="3" t="s">
        <v>377</v>
      </c>
      <c r="F98" s="2" t="s">
        <v>378</v>
      </c>
      <c r="G98" s="1" t="s">
        <v>17</v>
      </c>
      <c r="H98" s="3" t="s">
        <v>221</v>
      </c>
      <c r="I98" s="3" t="s">
        <v>165</v>
      </c>
      <c r="J98" s="3">
        <v>12</v>
      </c>
      <c r="K98" s="3">
        <f>5*60+55</f>
        <v>355</v>
      </c>
      <c r="L98">
        <f t="shared" ref="L98:L129" si="6">K98-J98</f>
        <v>343</v>
      </c>
      <c r="M98">
        <f t="shared" ref="M98:M129" si="7">ROUND(L98/60,2)</f>
        <v>5.72</v>
      </c>
      <c r="N98" s="1">
        <v>484</v>
      </c>
      <c r="O98" s="1">
        <v>162</v>
      </c>
      <c r="P98" s="2"/>
      <c r="Q98" s="3"/>
      <c r="R98" s="2"/>
    </row>
    <row r="99" spans="1:22" ht="15" x14ac:dyDescent="0.15">
      <c r="A99">
        <f>IF(COUNTIF(Fold1!A:A, B99), 1, IF(COUNTIF(Fold2!A:A, B99), 2, ""))</f>
        <v>1</v>
      </c>
      <c r="B99" s="3">
        <v>11048</v>
      </c>
      <c r="C99" s="3" t="s">
        <v>379</v>
      </c>
      <c r="D99" s="2" t="s">
        <v>380</v>
      </c>
      <c r="E99" s="3" t="s">
        <v>381</v>
      </c>
      <c r="F99" s="2" t="s">
        <v>225</v>
      </c>
      <c r="G99" s="1" t="s">
        <v>17</v>
      </c>
      <c r="H99" s="3" t="s">
        <v>221</v>
      </c>
      <c r="I99" s="3" t="s">
        <v>382</v>
      </c>
      <c r="J99" s="3">
        <f>2*60+54</f>
        <v>174</v>
      </c>
      <c r="K99" s="3">
        <f>7*60+35</f>
        <v>455</v>
      </c>
      <c r="L99">
        <f t="shared" si="6"/>
        <v>281</v>
      </c>
      <c r="M99">
        <f t="shared" si="7"/>
        <v>4.68</v>
      </c>
      <c r="N99" s="1">
        <v>480</v>
      </c>
      <c r="O99" s="1">
        <v>160</v>
      </c>
      <c r="P99" s="2"/>
      <c r="Q99" s="3"/>
      <c r="R99" s="2"/>
    </row>
    <row r="100" spans="1:22" ht="15" x14ac:dyDescent="0.15">
      <c r="A100">
        <f>IF(COUNTIF(Fold1!A:A, B100), 1, IF(COUNTIF(Fold2!A:A, B100), 2, ""))</f>
        <v>2</v>
      </c>
      <c r="B100" s="3">
        <v>11049</v>
      </c>
      <c r="C100" s="3" t="s">
        <v>383</v>
      </c>
      <c r="D100" s="2" t="s">
        <v>384</v>
      </c>
      <c r="E100" s="3" t="s">
        <v>381</v>
      </c>
      <c r="F100" s="2" t="s">
        <v>208</v>
      </c>
      <c r="G100" s="1" t="s">
        <v>17</v>
      </c>
      <c r="H100" s="3" t="s">
        <v>221</v>
      </c>
      <c r="I100" s="3" t="s">
        <v>385</v>
      </c>
      <c r="J100" s="3">
        <f>8*60+58</f>
        <v>538</v>
      </c>
      <c r="K100" s="3">
        <f>16*60+18</f>
        <v>978</v>
      </c>
      <c r="L100">
        <f t="shared" si="6"/>
        <v>440</v>
      </c>
      <c r="M100">
        <f t="shared" si="7"/>
        <v>7.33</v>
      </c>
      <c r="N100" s="1">
        <v>683</v>
      </c>
      <c r="O100" s="1">
        <v>228</v>
      </c>
      <c r="P100" s="2"/>
      <c r="Q100" s="3"/>
      <c r="R100" s="2"/>
    </row>
    <row r="101" spans="1:22" ht="15" x14ac:dyDescent="0.15">
      <c r="A101">
        <f>IF(COUNTIF(Fold1!A:A, B101), 1, IF(COUNTIF(Fold2!A:A, B101), 2, ""))</f>
        <v>2</v>
      </c>
      <c r="B101" s="4">
        <v>11050</v>
      </c>
      <c r="C101" s="4" t="s">
        <v>386</v>
      </c>
      <c r="D101" s="5" t="s">
        <v>387</v>
      </c>
      <c r="E101" s="4" t="s">
        <v>381</v>
      </c>
      <c r="F101" s="5" t="s">
        <v>208</v>
      </c>
      <c r="G101" s="6" t="s">
        <v>17</v>
      </c>
      <c r="H101" s="4" t="s">
        <v>221</v>
      </c>
      <c r="I101" s="4" t="s">
        <v>388</v>
      </c>
      <c r="J101" s="4">
        <v>10</v>
      </c>
      <c r="K101" s="4">
        <f>2*60+14</f>
        <v>134</v>
      </c>
      <c r="L101" s="6">
        <f t="shared" si="6"/>
        <v>124</v>
      </c>
      <c r="M101" s="6">
        <f t="shared" si="7"/>
        <v>2.0699999999999998</v>
      </c>
      <c r="N101" s="6">
        <v>178</v>
      </c>
      <c r="O101" s="6">
        <v>60</v>
      </c>
      <c r="P101" s="5"/>
      <c r="Q101" s="4"/>
      <c r="R101" s="6"/>
      <c r="S101" s="6"/>
      <c r="T101" s="6"/>
      <c r="U101" s="6"/>
      <c r="V101" s="6"/>
    </row>
    <row r="102" spans="1:22" ht="15" x14ac:dyDescent="0.15">
      <c r="A102">
        <f>IF(COUNTIF(Fold1!A:A, B102), 1, IF(COUNTIF(Fold2!A:A, B102), 2, ""))</f>
        <v>1</v>
      </c>
      <c r="B102" s="7">
        <v>12001</v>
      </c>
      <c r="C102" s="7" t="s">
        <v>389</v>
      </c>
      <c r="D102" s="8" t="s">
        <v>390</v>
      </c>
      <c r="E102" s="7" t="s">
        <v>31</v>
      </c>
      <c r="F102" s="8" t="s">
        <v>32</v>
      </c>
      <c r="G102" s="9" t="s">
        <v>33</v>
      </c>
      <c r="H102" s="7" t="s">
        <v>391</v>
      </c>
      <c r="I102" s="7" t="s">
        <v>392</v>
      </c>
      <c r="J102" s="7">
        <v>76</v>
      </c>
      <c r="K102" s="7">
        <f>5*60+12</f>
        <v>312</v>
      </c>
      <c r="L102" s="9">
        <f t="shared" si="6"/>
        <v>236</v>
      </c>
      <c r="M102" s="9">
        <f t="shared" si="7"/>
        <v>3.93</v>
      </c>
      <c r="N102" s="9">
        <v>349</v>
      </c>
      <c r="O102" s="9">
        <v>88</v>
      </c>
      <c r="P102" s="8"/>
      <c r="Q102" s="7"/>
      <c r="R102" s="8"/>
      <c r="S102" s="9"/>
      <c r="T102" s="9"/>
      <c r="U102" s="9"/>
      <c r="V102" s="9"/>
    </row>
    <row r="103" spans="1:22" ht="15" x14ac:dyDescent="0.15">
      <c r="A103">
        <f>IF(COUNTIF(Fold1!A:A, B103), 1, IF(COUNTIF(Fold2!A:A, B103), 2, ""))</f>
        <v>2</v>
      </c>
      <c r="B103" s="3">
        <v>12002</v>
      </c>
      <c r="C103" s="3" t="s">
        <v>393</v>
      </c>
      <c r="D103" s="2" t="s">
        <v>394</v>
      </c>
      <c r="E103" s="3" t="s">
        <v>15</v>
      </c>
      <c r="F103" s="2" t="s">
        <v>395</v>
      </c>
      <c r="G103" s="1" t="s">
        <v>17</v>
      </c>
      <c r="H103" s="3" t="s">
        <v>391</v>
      </c>
      <c r="I103" s="3" t="s">
        <v>396</v>
      </c>
      <c r="J103" s="3">
        <v>9</v>
      </c>
      <c r="K103" s="3">
        <f>10*60+12</f>
        <v>612</v>
      </c>
      <c r="L103">
        <f t="shared" si="6"/>
        <v>603</v>
      </c>
      <c r="M103">
        <f t="shared" si="7"/>
        <v>10.050000000000001</v>
      </c>
      <c r="N103" s="1">
        <v>949</v>
      </c>
      <c r="O103" s="1">
        <v>238</v>
      </c>
      <c r="P103" s="2"/>
      <c r="Q103" s="3"/>
      <c r="R103" s="2"/>
    </row>
    <row r="104" spans="1:22" ht="15" x14ac:dyDescent="0.15">
      <c r="A104">
        <f>IF(COUNTIF(Fold1!A:A, B104), 1, IF(COUNTIF(Fold2!A:A, B104), 2, ""))</f>
        <v>2</v>
      </c>
      <c r="B104" s="3">
        <v>12003</v>
      </c>
      <c r="C104" s="3" t="s">
        <v>397</v>
      </c>
      <c r="D104" s="2" t="s">
        <v>398</v>
      </c>
      <c r="E104" s="3" t="s">
        <v>26</v>
      </c>
      <c r="F104" s="2" t="s">
        <v>365</v>
      </c>
      <c r="G104" s="1" t="s">
        <v>17</v>
      </c>
      <c r="H104" s="3" t="s">
        <v>391</v>
      </c>
      <c r="I104" s="3" t="s">
        <v>399</v>
      </c>
      <c r="J104" s="3">
        <f>18*60+28</f>
        <v>1108</v>
      </c>
      <c r="K104" s="3">
        <f>27*60+34</f>
        <v>1654</v>
      </c>
      <c r="L104">
        <f t="shared" si="6"/>
        <v>546</v>
      </c>
      <c r="M104">
        <f t="shared" si="7"/>
        <v>9.1</v>
      </c>
      <c r="N104" s="1">
        <v>801</v>
      </c>
      <c r="O104" s="1">
        <v>201</v>
      </c>
      <c r="P104" s="2"/>
      <c r="Q104" s="3"/>
      <c r="R104" s="2"/>
    </row>
    <row r="105" spans="1:22" ht="15" x14ac:dyDescent="0.15">
      <c r="A105">
        <f>IF(COUNTIF(Fold1!A:A, B105), 1, IF(COUNTIF(Fold2!A:A, B105), 2, ""))</f>
        <v>2</v>
      </c>
      <c r="B105" s="3">
        <v>12004</v>
      </c>
      <c r="C105" s="3" t="s">
        <v>400</v>
      </c>
      <c r="D105" s="2" t="s">
        <v>401</v>
      </c>
      <c r="E105" s="3" t="s">
        <v>26</v>
      </c>
      <c r="F105" s="2" t="s">
        <v>365</v>
      </c>
      <c r="G105" s="1" t="s">
        <v>17</v>
      </c>
      <c r="H105" s="3" t="s">
        <v>391</v>
      </c>
      <c r="I105" s="3" t="s">
        <v>216</v>
      </c>
      <c r="J105" s="3">
        <v>307</v>
      </c>
      <c r="K105" s="3">
        <f>10*60+16</f>
        <v>616</v>
      </c>
      <c r="L105">
        <f t="shared" si="6"/>
        <v>309</v>
      </c>
      <c r="M105">
        <f t="shared" si="7"/>
        <v>5.15</v>
      </c>
      <c r="N105" s="1">
        <v>397</v>
      </c>
      <c r="O105" s="1">
        <v>100</v>
      </c>
      <c r="P105" s="2"/>
      <c r="Q105" s="3"/>
    </row>
    <row r="106" spans="1:22" ht="15" x14ac:dyDescent="0.15">
      <c r="A106">
        <f>IF(COUNTIF(Fold1!A:A, B106), 1, IF(COUNTIF(Fold2!A:A, B106), 2, ""))</f>
        <v>2</v>
      </c>
      <c r="B106" s="3">
        <v>12005</v>
      </c>
      <c r="C106" s="3" t="s">
        <v>402</v>
      </c>
      <c r="D106" s="2" t="s">
        <v>403</v>
      </c>
      <c r="E106" s="3" t="s">
        <v>404</v>
      </c>
      <c r="F106" s="2" t="s">
        <v>405</v>
      </c>
      <c r="G106" s="1" t="s">
        <v>17</v>
      </c>
      <c r="H106" s="3" t="s">
        <v>391</v>
      </c>
      <c r="I106" s="3" t="s">
        <v>406</v>
      </c>
      <c r="J106" s="3">
        <f>4*60+5</f>
        <v>245</v>
      </c>
      <c r="K106" s="3">
        <f>10*60+1</f>
        <v>601</v>
      </c>
      <c r="L106">
        <f t="shared" si="6"/>
        <v>356</v>
      </c>
      <c r="M106">
        <f t="shared" si="7"/>
        <v>5.93</v>
      </c>
      <c r="N106" s="1">
        <v>758</v>
      </c>
      <c r="O106" s="1">
        <v>189</v>
      </c>
      <c r="P106" s="2"/>
      <c r="Q106" s="3"/>
      <c r="R106" s="2"/>
    </row>
    <row r="107" spans="1:22" ht="15" x14ac:dyDescent="0.15">
      <c r="A107">
        <f>IF(COUNTIF(Fold1!A:A, B107), 1, IF(COUNTIF(Fold2!A:A, B107), 2, ""))</f>
        <v>1</v>
      </c>
      <c r="B107" s="3">
        <v>12006</v>
      </c>
      <c r="C107" s="3" t="s">
        <v>407</v>
      </c>
      <c r="D107" s="2" t="s">
        <v>408</v>
      </c>
      <c r="E107" s="3" t="s">
        <v>43</v>
      </c>
      <c r="F107" s="2" t="s">
        <v>409</v>
      </c>
      <c r="G107" s="1" t="s">
        <v>17</v>
      </c>
      <c r="H107" s="3" t="s">
        <v>391</v>
      </c>
      <c r="I107" s="3" t="s">
        <v>338</v>
      </c>
      <c r="J107" s="3">
        <f>1*60+56</f>
        <v>116</v>
      </c>
      <c r="K107" s="3">
        <f>8*60+25</f>
        <v>505</v>
      </c>
      <c r="L107">
        <f t="shared" si="6"/>
        <v>389</v>
      </c>
      <c r="M107">
        <f t="shared" si="7"/>
        <v>6.48</v>
      </c>
      <c r="N107" s="1">
        <v>485</v>
      </c>
      <c r="O107" s="1">
        <v>122</v>
      </c>
      <c r="P107" s="2"/>
      <c r="Q107" s="3"/>
      <c r="R107" s="2"/>
    </row>
    <row r="108" spans="1:22" ht="15" x14ac:dyDescent="0.15">
      <c r="A108">
        <f>IF(COUNTIF(Fold1!A:A, B108), 1, IF(COUNTIF(Fold2!A:A, B108), 2, ""))</f>
        <v>1</v>
      </c>
      <c r="B108" s="3">
        <v>12007</v>
      </c>
      <c r="C108" s="3" t="s">
        <v>410</v>
      </c>
      <c r="D108" s="2" t="s">
        <v>411</v>
      </c>
      <c r="E108" s="3" t="s">
        <v>43</v>
      </c>
      <c r="F108" s="2" t="s">
        <v>225</v>
      </c>
      <c r="G108" s="1" t="s">
        <v>17</v>
      </c>
      <c r="H108" s="3" t="s">
        <v>391</v>
      </c>
      <c r="I108" s="3" t="s">
        <v>23</v>
      </c>
      <c r="J108" s="3">
        <f>2*60+27</f>
        <v>147</v>
      </c>
      <c r="K108" s="3">
        <f>7*60+1</f>
        <v>421</v>
      </c>
      <c r="L108">
        <f t="shared" si="6"/>
        <v>274</v>
      </c>
      <c r="M108">
        <f t="shared" si="7"/>
        <v>4.57</v>
      </c>
      <c r="N108" s="1">
        <v>329</v>
      </c>
      <c r="O108" s="1">
        <v>83</v>
      </c>
      <c r="P108" s="2"/>
      <c r="Q108" s="3"/>
      <c r="R108" s="2"/>
    </row>
    <row r="109" spans="1:22" ht="15" x14ac:dyDescent="0.15">
      <c r="A109">
        <f>IF(COUNTIF(Fold1!A:A, B109), 1, IF(COUNTIF(Fold2!A:A, B109), 2, ""))</f>
        <v>2</v>
      </c>
      <c r="B109" s="3">
        <v>12008</v>
      </c>
      <c r="C109" s="3" t="s">
        <v>412</v>
      </c>
      <c r="D109" s="2" t="s">
        <v>413</v>
      </c>
      <c r="E109" s="3" t="s">
        <v>48</v>
      </c>
      <c r="F109" s="2" t="s">
        <v>49</v>
      </c>
      <c r="G109" s="1" t="s">
        <v>17</v>
      </c>
      <c r="H109" s="3" t="s">
        <v>391</v>
      </c>
      <c r="I109" s="3" t="s">
        <v>414</v>
      </c>
      <c r="J109" s="3">
        <v>3</v>
      </c>
      <c r="K109" s="3">
        <f>8*60+29</f>
        <v>509</v>
      </c>
      <c r="L109">
        <f t="shared" si="6"/>
        <v>506</v>
      </c>
      <c r="M109">
        <f t="shared" si="7"/>
        <v>8.43</v>
      </c>
      <c r="N109" s="1">
        <v>689</v>
      </c>
      <c r="O109" s="1">
        <v>173</v>
      </c>
      <c r="P109" s="2"/>
      <c r="Q109" s="3"/>
      <c r="R109" s="2"/>
    </row>
    <row r="110" spans="1:22" ht="15" x14ac:dyDescent="0.15">
      <c r="A110">
        <f>IF(COUNTIF(Fold1!A:A, B110), 1, IF(COUNTIF(Fold2!A:A, B110), 2, ""))</f>
        <v>2</v>
      </c>
      <c r="B110" s="3">
        <v>12009</v>
      </c>
      <c r="C110" s="3" t="s">
        <v>415</v>
      </c>
      <c r="D110" s="2" t="s">
        <v>416</v>
      </c>
      <c r="E110" s="3" t="s">
        <v>48</v>
      </c>
      <c r="F110" s="2" t="s">
        <v>225</v>
      </c>
      <c r="G110" s="1" t="s">
        <v>17</v>
      </c>
      <c r="H110" s="3" t="s">
        <v>391</v>
      </c>
      <c r="I110" s="3" t="s">
        <v>417</v>
      </c>
      <c r="J110" s="3">
        <f>6*60+29</f>
        <v>389</v>
      </c>
      <c r="K110" s="3">
        <f>12*60+43</f>
        <v>763</v>
      </c>
      <c r="L110">
        <f t="shared" si="6"/>
        <v>374</v>
      </c>
      <c r="M110">
        <f t="shared" si="7"/>
        <v>6.23</v>
      </c>
      <c r="N110" s="1">
        <v>609</v>
      </c>
      <c r="O110" s="1">
        <v>153</v>
      </c>
      <c r="P110" s="2"/>
      <c r="Q110" s="3"/>
      <c r="R110" s="2"/>
    </row>
    <row r="111" spans="1:22" ht="15" x14ac:dyDescent="0.15">
      <c r="A111">
        <f>IF(COUNTIF(Fold1!A:A, B111), 1, IF(COUNTIF(Fold2!A:A, B111), 2, ""))</f>
        <v>2</v>
      </c>
      <c r="B111" s="3">
        <v>12010</v>
      </c>
      <c r="C111" s="3" t="s">
        <v>418</v>
      </c>
      <c r="D111" s="2" t="s">
        <v>419</v>
      </c>
      <c r="E111" s="3" t="s">
        <v>66</v>
      </c>
      <c r="F111" s="2" t="s">
        <v>420</v>
      </c>
      <c r="G111" s="1" t="s">
        <v>17</v>
      </c>
      <c r="H111" s="3" t="s">
        <v>391</v>
      </c>
      <c r="I111" s="3" t="s">
        <v>178</v>
      </c>
      <c r="J111" s="3">
        <f>7*60+17</f>
        <v>437</v>
      </c>
      <c r="K111" s="3">
        <f>15*60+36</f>
        <v>936</v>
      </c>
      <c r="L111">
        <f t="shared" si="6"/>
        <v>499</v>
      </c>
      <c r="M111">
        <f t="shared" si="7"/>
        <v>8.32</v>
      </c>
      <c r="N111" s="1">
        <v>841</v>
      </c>
      <c r="O111" s="1">
        <v>211</v>
      </c>
      <c r="P111" s="2"/>
      <c r="Q111" s="3"/>
      <c r="R111" s="2"/>
    </row>
    <row r="112" spans="1:22" ht="15" x14ac:dyDescent="0.15">
      <c r="A112">
        <f>IF(COUNTIF(Fold1!A:A, B112), 1, IF(COUNTIF(Fold2!A:A, B112), 2, ""))</f>
        <v>1</v>
      </c>
      <c r="B112" s="3">
        <v>12011</v>
      </c>
      <c r="C112" s="3" t="s">
        <v>421</v>
      </c>
      <c r="D112" s="2" t="s">
        <v>422</v>
      </c>
      <c r="E112" s="3" t="s">
        <v>423</v>
      </c>
      <c r="F112" s="2" t="s">
        <v>424</v>
      </c>
      <c r="G112" s="1" t="s">
        <v>17</v>
      </c>
      <c r="H112" s="3" t="s">
        <v>391</v>
      </c>
      <c r="I112" s="3" t="s">
        <v>281</v>
      </c>
      <c r="J112" s="3">
        <v>10</v>
      </c>
      <c r="K112" s="3">
        <f>10*60+16</f>
        <v>616</v>
      </c>
      <c r="L112">
        <f t="shared" si="6"/>
        <v>606</v>
      </c>
      <c r="M112">
        <f t="shared" si="7"/>
        <v>10.1</v>
      </c>
      <c r="N112" s="1">
        <v>981</v>
      </c>
      <c r="O112" s="1">
        <v>246</v>
      </c>
      <c r="P112" s="2"/>
      <c r="Q112" s="3"/>
      <c r="R112" s="2"/>
    </row>
    <row r="113" spans="1:18" ht="15" x14ac:dyDescent="0.15">
      <c r="A113">
        <f>IF(COUNTIF(Fold1!A:A, B113), 1, IF(COUNTIF(Fold2!A:A, B113), 2, ""))</f>
        <v>1</v>
      </c>
      <c r="B113" s="3">
        <v>12012</v>
      </c>
      <c r="C113" s="3" t="s">
        <v>425</v>
      </c>
      <c r="D113" s="2" t="s">
        <v>426</v>
      </c>
      <c r="E113" s="3" t="s">
        <v>71</v>
      </c>
      <c r="F113" s="2" t="s">
        <v>72</v>
      </c>
      <c r="G113" s="1" t="s">
        <v>55</v>
      </c>
      <c r="H113" s="3" t="s">
        <v>391</v>
      </c>
      <c r="I113" s="3" t="s">
        <v>427</v>
      </c>
      <c r="J113" s="3">
        <v>3</v>
      </c>
      <c r="K113" s="3">
        <f>6*60+28</f>
        <v>388</v>
      </c>
      <c r="L113">
        <f t="shared" si="6"/>
        <v>385</v>
      </c>
      <c r="M113">
        <f t="shared" si="7"/>
        <v>6.42</v>
      </c>
      <c r="N113" s="1">
        <v>553</v>
      </c>
      <c r="O113" s="1">
        <v>139</v>
      </c>
      <c r="P113" s="2"/>
      <c r="Q113" s="3"/>
      <c r="R113" s="2"/>
    </row>
    <row r="114" spans="1:18" ht="15" x14ac:dyDescent="0.15">
      <c r="A114">
        <f>IF(COUNTIF(Fold1!A:A, B114), 1, IF(COUNTIF(Fold2!A:A, B114), 2, ""))</f>
        <v>1</v>
      </c>
      <c r="B114" s="3">
        <v>12013</v>
      </c>
      <c r="C114" s="3" t="s">
        <v>428</v>
      </c>
      <c r="D114" s="2" t="s">
        <v>429</v>
      </c>
      <c r="E114" s="3" t="s">
        <v>87</v>
      </c>
      <c r="F114" s="2" t="s">
        <v>430</v>
      </c>
      <c r="G114" s="1" t="s">
        <v>17</v>
      </c>
      <c r="H114" s="3" t="s">
        <v>391</v>
      </c>
      <c r="I114" s="3" t="s">
        <v>431</v>
      </c>
      <c r="J114" s="3">
        <f>2*60+38</f>
        <v>158</v>
      </c>
      <c r="K114" s="3">
        <f>10*60+43</f>
        <v>643</v>
      </c>
      <c r="L114">
        <f t="shared" si="6"/>
        <v>485</v>
      </c>
      <c r="M114">
        <f t="shared" si="7"/>
        <v>8.08</v>
      </c>
      <c r="N114" s="1">
        <v>829</v>
      </c>
      <c r="O114" s="1">
        <v>208</v>
      </c>
      <c r="P114" s="2"/>
      <c r="Q114" s="3"/>
      <c r="R114" s="2"/>
    </row>
    <row r="115" spans="1:18" ht="15" x14ac:dyDescent="0.15">
      <c r="A115">
        <f>IF(COUNTIF(Fold1!A:A, B115), 1, IF(COUNTIF(Fold2!A:A, B115), 2, ""))</f>
        <v>1</v>
      </c>
      <c r="B115" s="3">
        <v>12014</v>
      </c>
      <c r="C115" s="3" t="s">
        <v>432</v>
      </c>
      <c r="D115" s="2" t="s">
        <v>433</v>
      </c>
      <c r="E115" s="3" t="s">
        <v>87</v>
      </c>
      <c r="F115" s="2" t="s">
        <v>434</v>
      </c>
      <c r="G115" s="1" t="s">
        <v>17</v>
      </c>
      <c r="H115" s="3" t="s">
        <v>391</v>
      </c>
      <c r="I115" s="3" t="s">
        <v>165</v>
      </c>
      <c r="J115" s="3">
        <f>17*60+19</f>
        <v>1039</v>
      </c>
      <c r="K115" s="3">
        <f>26*60+22</f>
        <v>1582</v>
      </c>
      <c r="L115">
        <f t="shared" si="6"/>
        <v>543</v>
      </c>
      <c r="M115">
        <f t="shared" si="7"/>
        <v>9.0500000000000007</v>
      </c>
      <c r="N115" s="1">
        <v>972</v>
      </c>
      <c r="O115" s="1">
        <v>243</v>
      </c>
      <c r="Q115" s="3"/>
      <c r="R115" s="2"/>
    </row>
    <row r="116" spans="1:18" ht="15" x14ac:dyDescent="0.15">
      <c r="A116">
        <f>IF(COUNTIF(Fold1!A:A, B116), 1, IF(COUNTIF(Fold2!A:A, B116), 2, ""))</f>
        <v>1</v>
      </c>
      <c r="B116" s="3">
        <v>12015</v>
      </c>
      <c r="C116" s="3" t="s">
        <v>435</v>
      </c>
      <c r="D116" s="2" t="s">
        <v>436</v>
      </c>
      <c r="E116" s="3" t="s">
        <v>262</v>
      </c>
      <c r="F116" s="2" t="s">
        <v>437</v>
      </c>
      <c r="G116" s="1" t="s">
        <v>17</v>
      </c>
      <c r="H116" s="3" t="s">
        <v>391</v>
      </c>
      <c r="I116" s="3" t="s">
        <v>195</v>
      </c>
      <c r="J116" s="3">
        <f>4*60+26</f>
        <v>266</v>
      </c>
      <c r="K116" s="3">
        <f>8*60+53</f>
        <v>533</v>
      </c>
      <c r="L116">
        <f t="shared" si="6"/>
        <v>267</v>
      </c>
      <c r="M116">
        <f t="shared" si="7"/>
        <v>4.45</v>
      </c>
      <c r="N116" s="1">
        <v>445</v>
      </c>
      <c r="O116" s="1">
        <v>112</v>
      </c>
      <c r="P116" s="2"/>
      <c r="Q116" s="3"/>
      <c r="R116" s="2"/>
    </row>
    <row r="117" spans="1:18" ht="15" x14ac:dyDescent="0.15">
      <c r="A117">
        <f>IF(COUNTIF(Fold1!A:A, B117), 1, IF(COUNTIF(Fold2!A:A, B117), 2, ""))</f>
        <v>1</v>
      </c>
      <c r="B117" s="3">
        <v>12016</v>
      </c>
      <c r="C117" s="3" t="s">
        <v>438</v>
      </c>
      <c r="D117" s="2" t="s">
        <v>439</v>
      </c>
      <c r="E117" s="3" t="s">
        <v>262</v>
      </c>
      <c r="F117" s="2" t="s">
        <v>437</v>
      </c>
      <c r="G117" s="1" t="s">
        <v>17</v>
      </c>
      <c r="H117" s="3" t="s">
        <v>391</v>
      </c>
      <c r="I117" s="3" t="s">
        <v>82</v>
      </c>
      <c r="J117" s="3">
        <f>3*60+46</f>
        <v>226</v>
      </c>
      <c r="K117" s="3">
        <f>7*60+43</f>
        <v>463</v>
      </c>
      <c r="L117">
        <f t="shared" si="6"/>
        <v>237</v>
      </c>
      <c r="M117">
        <f t="shared" si="7"/>
        <v>3.95</v>
      </c>
      <c r="N117" s="1">
        <v>368</v>
      </c>
      <c r="O117" s="1">
        <v>92</v>
      </c>
      <c r="P117" s="2"/>
      <c r="Q117" s="3"/>
      <c r="R117" s="2"/>
    </row>
    <row r="118" spans="1:18" ht="15" x14ac:dyDescent="0.15">
      <c r="A118">
        <f>IF(COUNTIF(Fold1!A:A, B118), 1, IF(COUNTIF(Fold2!A:A, B118), 2, ""))</f>
        <v>2</v>
      </c>
      <c r="B118" s="3">
        <v>12017</v>
      </c>
      <c r="C118" s="3" t="s">
        <v>440</v>
      </c>
      <c r="D118" s="2" t="s">
        <v>441</v>
      </c>
      <c r="E118" s="3" t="s">
        <v>262</v>
      </c>
      <c r="F118" s="2" t="s">
        <v>437</v>
      </c>
      <c r="G118" s="1" t="s">
        <v>17</v>
      </c>
      <c r="H118" s="3" t="s">
        <v>391</v>
      </c>
      <c r="I118" s="3" t="s">
        <v>59</v>
      </c>
      <c r="J118" s="3">
        <v>11</v>
      </c>
      <c r="K118" s="3">
        <f>4*60+8</f>
        <v>248</v>
      </c>
      <c r="L118">
        <f t="shared" si="6"/>
        <v>237</v>
      </c>
      <c r="M118">
        <f t="shared" si="7"/>
        <v>3.95</v>
      </c>
      <c r="N118" s="1">
        <v>329</v>
      </c>
      <c r="O118" s="1">
        <v>83</v>
      </c>
      <c r="P118" s="2"/>
      <c r="Q118" s="3"/>
      <c r="R118" s="2"/>
    </row>
    <row r="119" spans="1:18" ht="15" x14ac:dyDescent="0.15">
      <c r="A119">
        <f>IF(COUNTIF(Fold1!A:A, B119), 1, IF(COUNTIF(Fold2!A:A, B119), 2, ""))</f>
        <v>1</v>
      </c>
      <c r="B119" s="3">
        <v>12018</v>
      </c>
      <c r="C119" s="3" t="s">
        <v>442</v>
      </c>
      <c r="D119" s="2" t="s">
        <v>443</v>
      </c>
      <c r="E119" s="3" t="s">
        <v>444</v>
      </c>
      <c r="F119" s="2" t="s">
        <v>445</v>
      </c>
      <c r="G119" s="1" t="s">
        <v>17</v>
      </c>
      <c r="H119" s="3" t="s">
        <v>391</v>
      </c>
      <c r="I119" s="3" t="s">
        <v>446</v>
      </c>
      <c r="J119" s="3">
        <f>5*60+5</f>
        <v>305</v>
      </c>
      <c r="K119" s="3">
        <f>13*60+14</f>
        <v>794</v>
      </c>
      <c r="L119">
        <f t="shared" si="6"/>
        <v>489</v>
      </c>
      <c r="M119">
        <f t="shared" si="7"/>
        <v>8.15</v>
      </c>
      <c r="N119" s="1">
        <v>726</v>
      </c>
      <c r="O119" s="1">
        <v>182</v>
      </c>
      <c r="P119" s="2"/>
      <c r="Q119" s="3"/>
      <c r="R119" s="2"/>
    </row>
    <row r="120" spans="1:18" ht="15" x14ac:dyDescent="0.15">
      <c r="A120">
        <f>IF(COUNTIF(Fold1!A:A, B120), 1, IF(COUNTIF(Fold2!A:A, B120), 2, ""))</f>
        <v>2</v>
      </c>
      <c r="B120" s="3">
        <v>12019</v>
      </c>
      <c r="C120" s="3" t="s">
        <v>447</v>
      </c>
      <c r="D120" s="2" t="s">
        <v>448</v>
      </c>
      <c r="E120" s="3" t="s">
        <v>444</v>
      </c>
      <c r="F120" s="2" t="s">
        <v>445</v>
      </c>
      <c r="G120" s="1" t="s">
        <v>17</v>
      </c>
      <c r="H120" s="3" t="s">
        <v>391</v>
      </c>
      <c r="I120" s="3" t="s">
        <v>414</v>
      </c>
      <c r="J120" s="3">
        <f>60+48</f>
        <v>108</v>
      </c>
      <c r="K120" s="3">
        <f>7*60+8</f>
        <v>428</v>
      </c>
      <c r="L120">
        <f t="shared" si="6"/>
        <v>320</v>
      </c>
      <c r="M120">
        <f t="shared" si="7"/>
        <v>5.33</v>
      </c>
      <c r="N120" s="1">
        <v>409</v>
      </c>
      <c r="O120" s="1">
        <v>103</v>
      </c>
      <c r="P120" s="2"/>
      <c r="Q120" s="3"/>
    </row>
    <row r="121" spans="1:18" ht="15" x14ac:dyDescent="0.15">
      <c r="A121">
        <f>IF(COUNTIF(Fold1!A:A, B121), 1, IF(COUNTIF(Fold2!A:A, B121), 2, ""))</f>
        <v>1</v>
      </c>
      <c r="B121" s="3">
        <v>12020</v>
      </c>
      <c r="C121" s="3" t="s">
        <v>449</v>
      </c>
      <c r="D121" s="2" t="s">
        <v>450</v>
      </c>
      <c r="E121" s="3" t="s">
        <v>128</v>
      </c>
      <c r="F121" s="2" t="s">
        <v>129</v>
      </c>
      <c r="G121" s="1" t="s">
        <v>33</v>
      </c>
      <c r="H121" s="3" t="s">
        <v>391</v>
      </c>
      <c r="I121" s="3" t="s">
        <v>451</v>
      </c>
      <c r="J121" s="3">
        <v>5</v>
      </c>
      <c r="K121" s="3">
        <f>5*60+30</f>
        <v>330</v>
      </c>
      <c r="L121">
        <f t="shared" si="6"/>
        <v>325</v>
      </c>
      <c r="M121">
        <f t="shared" si="7"/>
        <v>5.42</v>
      </c>
      <c r="N121" s="1">
        <v>609</v>
      </c>
      <c r="O121" s="1">
        <v>153</v>
      </c>
      <c r="P121" s="2"/>
      <c r="Q121" s="3"/>
      <c r="R121" s="2"/>
    </row>
    <row r="122" spans="1:18" ht="15" x14ac:dyDescent="0.15">
      <c r="A122">
        <f>IF(COUNTIF(Fold1!A:A, B122), 1, IF(COUNTIF(Fold2!A:A, B122), 2, ""))</f>
        <v>1</v>
      </c>
      <c r="B122" s="3">
        <v>12021</v>
      </c>
      <c r="C122" s="3" t="s">
        <v>452</v>
      </c>
      <c r="D122" s="2" t="s">
        <v>453</v>
      </c>
      <c r="E122" s="3" t="s">
        <v>128</v>
      </c>
      <c r="F122" s="2" t="s">
        <v>129</v>
      </c>
      <c r="G122" s="1" t="s">
        <v>33</v>
      </c>
      <c r="H122" s="3" t="s">
        <v>391</v>
      </c>
      <c r="I122" s="3" t="s">
        <v>417</v>
      </c>
      <c r="J122" s="3">
        <f>3*60+36</f>
        <v>216</v>
      </c>
      <c r="K122" s="3">
        <f>11*60</f>
        <v>660</v>
      </c>
      <c r="L122">
        <f t="shared" si="6"/>
        <v>444</v>
      </c>
      <c r="M122">
        <f t="shared" si="7"/>
        <v>7.4</v>
      </c>
      <c r="N122" s="1">
        <v>799</v>
      </c>
      <c r="O122" s="1">
        <v>200</v>
      </c>
      <c r="P122" s="2"/>
      <c r="Q122" s="3"/>
      <c r="R122" s="2"/>
    </row>
    <row r="123" spans="1:18" ht="15" x14ac:dyDescent="0.15">
      <c r="A123">
        <f>IF(COUNTIF(Fold1!A:A, B123), 1, IF(COUNTIF(Fold2!A:A, B123), 2, ""))</f>
        <v>2</v>
      </c>
      <c r="B123" s="3">
        <v>12022</v>
      </c>
      <c r="C123" s="3" t="s">
        <v>454</v>
      </c>
      <c r="D123" s="2" t="s">
        <v>455</v>
      </c>
      <c r="E123" s="3" t="s">
        <v>140</v>
      </c>
      <c r="F123" s="2" t="s">
        <v>141</v>
      </c>
      <c r="G123" s="1" t="s">
        <v>33</v>
      </c>
      <c r="H123" s="3" t="s">
        <v>391</v>
      </c>
      <c r="I123" s="3" t="s">
        <v>456</v>
      </c>
      <c r="J123" s="3">
        <v>9</v>
      </c>
      <c r="K123" s="3">
        <f>4*60</f>
        <v>240</v>
      </c>
      <c r="L123">
        <f t="shared" si="6"/>
        <v>231</v>
      </c>
      <c r="M123">
        <f t="shared" si="7"/>
        <v>3.85</v>
      </c>
      <c r="N123" s="1">
        <v>377</v>
      </c>
      <c r="O123" s="1">
        <v>95</v>
      </c>
      <c r="P123" s="2"/>
      <c r="Q123" s="3"/>
    </row>
    <row r="124" spans="1:18" ht="15" x14ac:dyDescent="0.15">
      <c r="A124">
        <f>IF(COUNTIF(Fold1!A:A, B124), 1, IF(COUNTIF(Fold2!A:A, B124), 2, ""))</f>
        <v>2</v>
      </c>
      <c r="B124" s="3">
        <v>12023</v>
      </c>
      <c r="C124" s="3" t="s">
        <v>457</v>
      </c>
      <c r="D124" s="2" t="s">
        <v>458</v>
      </c>
      <c r="E124" s="3" t="s">
        <v>279</v>
      </c>
      <c r="F124" s="2" t="s">
        <v>280</v>
      </c>
      <c r="G124" s="1" t="s">
        <v>17</v>
      </c>
      <c r="H124" s="3" t="s">
        <v>391</v>
      </c>
      <c r="I124" s="3" t="s">
        <v>317</v>
      </c>
      <c r="J124" s="3">
        <v>480</v>
      </c>
      <c r="K124" s="3">
        <f>22*60+8</f>
        <v>1328</v>
      </c>
      <c r="L124">
        <f t="shared" si="6"/>
        <v>848</v>
      </c>
      <c r="M124">
        <f t="shared" si="7"/>
        <v>14.13</v>
      </c>
      <c r="N124" s="1">
        <v>1325</v>
      </c>
      <c r="O124" s="1">
        <v>332</v>
      </c>
      <c r="P124" s="2"/>
      <c r="Q124" s="3"/>
      <c r="R124" s="2"/>
    </row>
    <row r="125" spans="1:18" ht="15" x14ac:dyDescent="0.15">
      <c r="A125">
        <f>IF(COUNTIF(Fold1!A:A, B125), 1, IF(COUNTIF(Fold2!A:A, B125), 2, ""))</f>
        <v>1</v>
      </c>
      <c r="B125" s="3">
        <v>12024</v>
      </c>
      <c r="C125" s="3" t="s">
        <v>459</v>
      </c>
      <c r="D125" s="2" t="s">
        <v>460</v>
      </c>
      <c r="E125" s="3" t="s">
        <v>149</v>
      </c>
      <c r="F125" s="2" t="s">
        <v>461</v>
      </c>
      <c r="G125" s="1" t="s">
        <v>17</v>
      </c>
      <c r="H125" s="3" t="s">
        <v>391</v>
      </c>
      <c r="I125" s="3" t="s">
        <v>173</v>
      </c>
      <c r="J125" s="3">
        <v>1</v>
      </c>
      <c r="K125" s="3">
        <f>5*60+6</f>
        <v>306</v>
      </c>
      <c r="L125">
        <f t="shared" si="6"/>
        <v>305</v>
      </c>
      <c r="M125">
        <f t="shared" si="7"/>
        <v>5.08</v>
      </c>
      <c r="N125" s="1">
        <v>505</v>
      </c>
      <c r="O125" s="1">
        <v>127</v>
      </c>
      <c r="P125" s="2"/>
      <c r="Q125" s="3"/>
      <c r="R125" s="2"/>
    </row>
    <row r="126" spans="1:18" ht="15" x14ac:dyDescent="0.15">
      <c r="A126">
        <f>IF(COUNTIF(Fold1!A:A, B126), 1, IF(COUNTIF(Fold2!A:A, B126), 2, ""))</f>
        <v>1</v>
      </c>
      <c r="B126" s="3">
        <v>12025</v>
      </c>
      <c r="C126" s="3" t="s">
        <v>462</v>
      </c>
      <c r="D126" s="2" t="s">
        <v>463</v>
      </c>
      <c r="E126" s="3" t="s">
        <v>288</v>
      </c>
      <c r="F126" s="2" t="s">
        <v>49</v>
      </c>
      <c r="G126" s="1" t="s">
        <v>17</v>
      </c>
      <c r="H126" s="3" t="s">
        <v>391</v>
      </c>
      <c r="I126" s="3" t="s">
        <v>188</v>
      </c>
      <c r="J126" s="3">
        <v>1</v>
      </c>
      <c r="K126" s="3">
        <f>60+56</f>
        <v>116</v>
      </c>
      <c r="L126">
        <f t="shared" si="6"/>
        <v>115</v>
      </c>
      <c r="M126">
        <f t="shared" si="7"/>
        <v>1.92</v>
      </c>
      <c r="N126" s="1">
        <v>241</v>
      </c>
      <c r="O126" s="1">
        <v>61</v>
      </c>
      <c r="P126" s="2"/>
      <c r="Q126" s="3"/>
      <c r="R126" s="2"/>
    </row>
    <row r="127" spans="1:18" ht="15" x14ac:dyDescent="0.15">
      <c r="A127">
        <f>IF(COUNTIF(Fold1!A:A, B127), 1, IF(COUNTIF(Fold2!A:A, B127), 2, ""))</f>
        <v>1</v>
      </c>
      <c r="B127" s="3">
        <v>12026</v>
      </c>
      <c r="C127" s="3" t="s">
        <v>464</v>
      </c>
      <c r="D127" s="2" t="s">
        <v>465</v>
      </c>
      <c r="E127" s="3" t="s">
        <v>466</v>
      </c>
      <c r="F127" s="2" t="s">
        <v>467</v>
      </c>
      <c r="G127" s="1" t="s">
        <v>17</v>
      </c>
      <c r="H127" s="3" t="s">
        <v>391</v>
      </c>
      <c r="I127" s="3" t="s">
        <v>468</v>
      </c>
      <c r="J127" s="3">
        <v>1</v>
      </c>
      <c r="K127" s="3">
        <f>4*60+30</f>
        <v>270</v>
      </c>
      <c r="L127">
        <f t="shared" si="6"/>
        <v>269</v>
      </c>
      <c r="M127">
        <f t="shared" si="7"/>
        <v>4.4800000000000004</v>
      </c>
      <c r="N127" s="1">
        <v>385</v>
      </c>
      <c r="O127" s="1">
        <v>97</v>
      </c>
      <c r="P127" s="2"/>
      <c r="Q127" s="3"/>
      <c r="R127" s="2"/>
    </row>
    <row r="128" spans="1:18" ht="15" x14ac:dyDescent="0.15">
      <c r="A128">
        <f>IF(COUNTIF(Fold1!A:A, B128), 1, IF(COUNTIF(Fold2!A:A, B128), 2, ""))</f>
        <v>1</v>
      </c>
      <c r="B128" s="3">
        <v>12027</v>
      </c>
      <c r="C128" s="3" t="s">
        <v>469</v>
      </c>
      <c r="D128" s="2" t="s">
        <v>470</v>
      </c>
      <c r="E128" s="3" t="s">
        <v>471</v>
      </c>
      <c r="F128" s="2" t="s">
        <v>472</v>
      </c>
      <c r="G128" s="1" t="s">
        <v>17</v>
      </c>
      <c r="H128" s="3" t="s">
        <v>391</v>
      </c>
      <c r="I128" s="3" t="s">
        <v>178</v>
      </c>
      <c r="J128" s="3">
        <f>16*60+46</f>
        <v>1006</v>
      </c>
      <c r="K128" s="3">
        <f>23*60+6</f>
        <v>1386</v>
      </c>
      <c r="L128">
        <f t="shared" si="6"/>
        <v>380</v>
      </c>
      <c r="M128">
        <f t="shared" si="7"/>
        <v>6.33</v>
      </c>
      <c r="N128" s="1">
        <v>549</v>
      </c>
      <c r="O128" s="1">
        <v>138</v>
      </c>
      <c r="P128" s="2"/>
      <c r="Q128" s="3"/>
      <c r="R128" s="2"/>
    </row>
    <row r="129" spans="1:18" ht="15" x14ac:dyDescent="0.15">
      <c r="A129">
        <f>IF(COUNTIF(Fold1!A:A, B129), 1, IF(COUNTIF(Fold2!A:A, B129), 2, ""))</f>
        <v>2</v>
      </c>
      <c r="B129" s="3">
        <v>12028</v>
      </c>
      <c r="C129" s="3" t="s">
        <v>473</v>
      </c>
      <c r="D129" s="2" t="s">
        <v>474</v>
      </c>
      <c r="E129" s="3" t="s">
        <v>176</v>
      </c>
      <c r="F129" s="2" t="s">
        <v>475</v>
      </c>
      <c r="G129" s="1" t="s">
        <v>17</v>
      </c>
      <c r="H129" s="3" t="s">
        <v>391</v>
      </c>
      <c r="I129" s="3" t="s">
        <v>476</v>
      </c>
      <c r="J129" s="3">
        <f>13*60+39</f>
        <v>819</v>
      </c>
      <c r="K129" s="3">
        <f>22*60+48</f>
        <v>1368</v>
      </c>
      <c r="L129">
        <f t="shared" si="6"/>
        <v>549</v>
      </c>
      <c r="M129">
        <f t="shared" si="7"/>
        <v>9.15</v>
      </c>
      <c r="N129" s="1">
        <v>825</v>
      </c>
      <c r="O129" s="1">
        <v>207</v>
      </c>
      <c r="P129" s="2"/>
      <c r="Q129" s="3"/>
      <c r="R129" s="2"/>
    </row>
    <row r="130" spans="1:18" ht="15" x14ac:dyDescent="0.15">
      <c r="A130">
        <f>IF(COUNTIF(Fold1!A:A, B130), 1, IF(COUNTIF(Fold2!A:A, B130), 2, ""))</f>
        <v>1</v>
      </c>
      <c r="B130" s="3">
        <v>12029</v>
      </c>
      <c r="C130" s="3" t="s">
        <v>477</v>
      </c>
      <c r="D130" s="2" t="s">
        <v>478</v>
      </c>
      <c r="E130" s="3" t="s">
        <v>176</v>
      </c>
      <c r="F130" s="2" t="s">
        <v>177</v>
      </c>
      <c r="G130" s="1" t="s">
        <v>17</v>
      </c>
      <c r="H130" s="3" t="s">
        <v>391</v>
      </c>
      <c r="I130" s="3" t="s">
        <v>119</v>
      </c>
      <c r="J130" s="3">
        <v>54</v>
      </c>
      <c r="K130" s="3">
        <f>7*60+33</f>
        <v>453</v>
      </c>
      <c r="L130">
        <f t="shared" ref="L130:L161" si="8">K130-J130</f>
        <v>399</v>
      </c>
      <c r="M130">
        <f t="shared" ref="M130:M161" si="9">ROUND(L130/60,2)</f>
        <v>6.65</v>
      </c>
      <c r="N130" s="1">
        <v>621</v>
      </c>
      <c r="O130" s="1">
        <v>156</v>
      </c>
      <c r="P130" s="2"/>
      <c r="Q130" s="3"/>
      <c r="R130" s="2"/>
    </row>
    <row r="131" spans="1:18" ht="15" x14ac:dyDescent="0.15">
      <c r="A131">
        <f>IF(COUNTIF(Fold1!A:A, B131), 1, IF(COUNTIF(Fold2!A:A, B131), 2, ""))</f>
        <v>1</v>
      </c>
      <c r="B131" s="3">
        <v>12030</v>
      </c>
      <c r="C131" s="3" t="s">
        <v>479</v>
      </c>
      <c r="D131" s="2" t="s">
        <v>480</v>
      </c>
      <c r="E131" s="3" t="s">
        <v>481</v>
      </c>
      <c r="F131" s="2" t="s">
        <v>482</v>
      </c>
      <c r="G131" s="1" t="s">
        <v>17</v>
      </c>
      <c r="H131" s="3" t="s">
        <v>391</v>
      </c>
      <c r="I131" s="3" t="s">
        <v>483</v>
      </c>
      <c r="J131" s="3">
        <f>23*60+9</f>
        <v>1389</v>
      </c>
      <c r="K131" s="3">
        <f>29*60+41</f>
        <v>1781</v>
      </c>
      <c r="L131">
        <f t="shared" si="8"/>
        <v>392</v>
      </c>
      <c r="M131">
        <f t="shared" si="9"/>
        <v>6.53</v>
      </c>
      <c r="N131" s="1">
        <v>741</v>
      </c>
      <c r="O131" s="1">
        <v>186</v>
      </c>
      <c r="P131" s="2"/>
      <c r="Q131" s="3"/>
      <c r="R131" s="2"/>
    </row>
    <row r="132" spans="1:18" ht="15" x14ac:dyDescent="0.15">
      <c r="A132">
        <f>IF(COUNTIF(Fold1!A:A, B132), 1, IF(COUNTIF(Fold2!A:A, B132), 2, ""))</f>
        <v>2</v>
      </c>
      <c r="B132" s="3">
        <v>12031</v>
      </c>
      <c r="C132" s="3" t="s">
        <v>484</v>
      </c>
      <c r="D132" s="2" t="s">
        <v>485</v>
      </c>
      <c r="E132" s="3" t="s">
        <v>481</v>
      </c>
      <c r="F132" s="2" t="s">
        <v>482</v>
      </c>
      <c r="G132" s="1" t="s">
        <v>17</v>
      </c>
      <c r="H132" s="3" t="s">
        <v>391</v>
      </c>
      <c r="I132" s="3" t="s">
        <v>486</v>
      </c>
      <c r="J132" s="3">
        <v>12</v>
      </c>
      <c r="K132" s="3">
        <f>4*60+42</f>
        <v>282</v>
      </c>
      <c r="L132">
        <f t="shared" si="8"/>
        <v>270</v>
      </c>
      <c r="M132">
        <f t="shared" si="9"/>
        <v>4.5</v>
      </c>
      <c r="N132" s="1">
        <v>525</v>
      </c>
      <c r="O132" s="1">
        <v>132</v>
      </c>
      <c r="P132" s="2"/>
      <c r="Q132" s="3"/>
      <c r="R132" s="2"/>
    </row>
    <row r="133" spans="1:18" ht="15" x14ac:dyDescent="0.15">
      <c r="A133">
        <f>IF(COUNTIF(Fold1!A:A, B133), 1, IF(COUNTIF(Fold2!A:A, B133), 2, ""))</f>
        <v>2</v>
      </c>
      <c r="B133" s="3">
        <v>12032</v>
      </c>
      <c r="C133" s="3" t="s">
        <v>487</v>
      </c>
      <c r="D133" s="2" t="s">
        <v>488</v>
      </c>
      <c r="E133" s="3" t="s">
        <v>489</v>
      </c>
      <c r="F133" s="2" t="s">
        <v>490</v>
      </c>
      <c r="G133" s="1" t="s">
        <v>17</v>
      </c>
      <c r="H133" s="3" t="s">
        <v>391</v>
      </c>
      <c r="I133" s="3" t="s">
        <v>385</v>
      </c>
      <c r="J133" s="3">
        <v>72</v>
      </c>
      <c r="K133" s="3">
        <f>7*60+41</f>
        <v>461</v>
      </c>
      <c r="L133">
        <f t="shared" si="8"/>
        <v>389</v>
      </c>
      <c r="M133">
        <f t="shared" si="9"/>
        <v>6.48</v>
      </c>
      <c r="N133" s="1">
        <v>501</v>
      </c>
      <c r="O133" s="1">
        <v>126</v>
      </c>
      <c r="P133" s="2"/>
      <c r="Q133" s="3"/>
      <c r="R133" s="2"/>
    </row>
    <row r="134" spans="1:18" ht="15" x14ac:dyDescent="0.15">
      <c r="A134">
        <f>IF(COUNTIF(Fold1!A:A, B134), 1, IF(COUNTIF(Fold2!A:A, B134), 2, ""))</f>
        <v>2</v>
      </c>
      <c r="B134" s="3">
        <v>12033</v>
      </c>
      <c r="C134" s="3" t="s">
        <v>491</v>
      </c>
      <c r="D134" s="2" t="s">
        <v>492</v>
      </c>
      <c r="E134" s="3" t="s">
        <v>300</v>
      </c>
      <c r="F134" s="2" t="s">
        <v>301</v>
      </c>
      <c r="G134" s="1" t="s">
        <v>17</v>
      </c>
      <c r="H134" s="3" t="s">
        <v>391</v>
      </c>
      <c r="I134" s="3" t="s">
        <v>493</v>
      </c>
      <c r="J134" s="3">
        <v>8</v>
      </c>
      <c r="K134" s="3">
        <f>4*60+6</f>
        <v>246</v>
      </c>
      <c r="L134">
        <f t="shared" si="8"/>
        <v>238</v>
      </c>
      <c r="M134">
        <f t="shared" si="9"/>
        <v>3.97</v>
      </c>
      <c r="N134" s="1">
        <v>365</v>
      </c>
      <c r="O134" s="1">
        <v>92</v>
      </c>
      <c r="P134" s="2"/>
      <c r="Q134" s="3"/>
      <c r="R134" s="2"/>
    </row>
    <row r="135" spans="1:18" ht="15" x14ac:dyDescent="0.15">
      <c r="A135">
        <f>IF(COUNTIF(Fold1!A:A, B135), 1, IF(COUNTIF(Fold2!A:A, B135), 2, ""))</f>
        <v>2</v>
      </c>
      <c r="B135" s="3">
        <v>12034</v>
      </c>
      <c r="C135" s="3" t="s">
        <v>494</v>
      </c>
      <c r="D135" s="2" t="s">
        <v>495</v>
      </c>
      <c r="E135" s="3" t="s">
        <v>336</v>
      </c>
      <c r="F135" s="2" t="s">
        <v>340</v>
      </c>
      <c r="G135" s="1" t="s">
        <v>17</v>
      </c>
      <c r="H135" s="3" t="s">
        <v>391</v>
      </c>
      <c r="I135" s="3" t="s">
        <v>496</v>
      </c>
      <c r="J135" s="3">
        <f>4*60+32</f>
        <v>272</v>
      </c>
      <c r="K135" s="3">
        <f>15*60+22</f>
        <v>922</v>
      </c>
      <c r="L135">
        <f t="shared" si="8"/>
        <v>650</v>
      </c>
      <c r="M135">
        <f t="shared" si="9"/>
        <v>10.83</v>
      </c>
      <c r="N135" s="1">
        <v>969</v>
      </c>
      <c r="O135" s="1">
        <v>243</v>
      </c>
      <c r="P135" s="2"/>
      <c r="Q135" s="3"/>
      <c r="R135" s="2"/>
    </row>
    <row r="136" spans="1:18" ht="15" x14ac:dyDescent="0.15">
      <c r="A136">
        <f>IF(COUNTIF(Fold1!A:A, B136), 1, IF(COUNTIF(Fold2!A:A, B136), 2, ""))</f>
        <v>2</v>
      </c>
      <c r="B136" s="3">
        <v>12035</v>
      </c>
      <c r="C136" s="3" t="s">
        <v>497</v>
      </c>
      <c r="D136" s="2" t="s">
        <v>498</v>
      </c>
      <c r="E136" s="3" t="s">
        <v>345</v>
      </c>
      <c r="F136" s="2" t="s">
        <v>346</v>
      </c>
      <c r="G136" s="1" t="s">
        <v>17</v>
      </c>
      <c r="H136" s="3" t="s">
        <v>391</v>
      </c>
      <c r="I136" s="3" t="s">
        <v>165</v>
      </c>
      <c r="J136" s="3">
        <f>19*60+26</f>
        <v>1166</v>
      </c>
      <c r="K136" s="3">
        <f>26*60+30</f>
        <v>1590</v>
      </c>
      <c r="L136">
        <f t="shared" si="8"/>
        <v>424</v>
      </c>
      <c r="M136">
        <f t="shared" si="9"/>
        <v>7.07</v>
      </c>
      <c r="N136" s="1">
        <v>633</v>
      </c>
      <c r="O136" s="1">
        <v>159</v>
      </c>
      <c r="P136" s="2"/>
      <c r="Q136" s="3"/>
      <c r="R136" s="2"/>
    </row>
    <row r="137" spans="1:18" ht="15" x14ac:dyDescent="0.15">
      <c r="A137">
        <f>IF(COUNTIF(Fold1!A:A, B137), 1, IF(COUNTIF(Fold2!A:A, B137), 2, ""))</f>
        <v>2</v>
      </c>
      <c r="B137" s="3">
        <v>12036</v>
      </c>
      <c r="C137" s="3" t="s">
        <v>499</v>
      </c>
      <c r="D137" s="2" t="s">
        <v>500</v>
      </c>
      <c r="E137" s="3" t="s">
        <v>345</v>
      </c>
      <c r="F137" s="2" t="s">
        <v>346</v>
      </c>
      <c r="G137" s="1" t="s">
        <v>17</v>
      </c>
      <c r="H137" s="3" t="s">
        <v>391</v>
      </c>
      <c r="I137" s="3" t="s">
        <v>222</v>
      </c>
      <c r="J137" s="3">
        <v>9</v>
      </c>
      <c r="K137" s="3">
        <f>7*60+34</f>
        <v>454</v>
      </c>
      <c r="L137">
        <f t="shared" si="8"/>
        <v>445</v>
      </c>
      <c r="M137">
        <f t="shared" si="9"/>
        <v>7.42</v>
      </c>
      <c r="N137" s="1">
        <v>580</v>
      </c>
      <c r="O137" s="1">
        <v>145</v>
      </c>
      <c r="P137" s="2"/>
      <c r="Q137" s="3"/>
      <c r="R137" s="2"/>
    </row>
    <row r="138" spans="1:18" ht="15" x14ac:dyDescent="0.15">
      <c r="A138">
        <f>IF(COUNTIF(Fold1!A:A, B138), 1, IF(COUNTIF(Fold2!A:A, B138), 2, ""))</f>
        <v>2</v>
      </c>
      <c r="B138" s="3">
        <v>12037</v>
      </c>
      <c r="C138" s="3" t="s">
        <v>501</v>
      </c>
      <c r="D138" s="2" t="s">
        <v>502</v>
      </c>
      <c r="E138" s="3" t="s">
        <v>364</v>
      </c>
      <c r="F138" s="2" t="s">
        <v>503</v>
      </c>
      <c r="G138" s="1" t="s">
        <v>17</v>
      </c>
      <c r="H138" s="3" t="s">
        <v>391</v>
      </c>
      <c r="I138" s="3" t="s">
        <v>504</v>
      </c>
      <c r="J138" s="3">
        <f>4*60+19</f>
        <v>259</v>
      </c>
      <c r="K138" s="3">
        <f>13*60+58</f>
        <v>838</v>
      </c>
      <c r="L138">
        <f t="shared" si="8"/>
        <v>579</v>
      </c>
      <c r="M138">
        <f t="shared" si="9"/>
        <v>9.65</v>
      </c>
      <c r="N138" s="1">
        <v>805</v>
      </c>
      <c r="O138" s="1">
        <v>202</v>
      </c>
      <c r="P138" s="2"/>
      <c r="Q138" s="3"/>
      <c r="R138" s="2"/>
    </row>
    <row r="139" spans="1:18" ht="15" x14ac:dyDescent="0.15">
      <c r="A139">
        <f>IF(COUNTIF(Fold1!A:A, B139), 1, IF(COUNTIF(Fold2!A:A, B139), 2, ""))</f>
        <v>1</v>
      </c>
      <c r="B139" s="3">
        <v>12038</v>
      </c>
      <c r="C139" s="3" t="s">
        <v>505</v>
      </c>
      <c r="D139" s="2" t="s">
        <v>506</v>
      </c>
      <c r="E139" s="3" t="s">
        <v>198</v>
      </c>
      <c r="F139" s="2" t="s">
        <v>199</v>
      </c>
      <c r="G139" s="1" t="s">
        <v>17</v>
      </c>
      <c r="H139" s="3" t="s">
        <v>391</v>
      </c>
      <c r="I139" s="3" t="s">
        <v>507</v>
      </c>
      <c r="J139" s="3">
        <f>5*60+3</f>
        <v>303</v>
      </c>
      <c r="K139" s="3">
        <f>14*60+20</f>
        <v>860</v>
      </c>
      <c r="L139">
        <f t="shared" si="8"/>
        <v>557</v>
      </c>
      <c r="M139">
        <f t="shared" si="9"/>
        <v>9.2799999999999994</v>
      </c>
      <c r="N139" s="1">
        <v>713</v>
      </c>
      <c r="O139" s="1">
        <v>179</v>
      </c>
      <c r="P139" s="2"/>
      <c r="Q139" s="3"/>
      <c r="R139" s="2"/>
    </row>
    <row r="140" spans="1:18" ht="15" x14ac:dyDescent="0.15">
      <c r="A140">
        <f>IF(COUNTIF(Fold1!A:A, B140), 1, IF(COUNTIF(Fold2!A:A, B140), 2, ""))</f>
        <v>2</v>
      </c>
      <c r="B140" s="3">
        <v>12039</v>
      </c>
      <c r="C140" s="3" t="s">
        <v>508</v>
      </c>
      <c r="D140" s="2" t="s">
        <v>509</v>
      </c>
      <c r="E140" s="3" t="s">
        <v>198</v>
      </c>
      <c r="F140" s="2" t="s">
        <v>510</v>
      </c>
      <c r="G140" s="1" t="s">
        <v>17</v>
      </c>
      <c r="H140" s="3" t="s">
        <v>391</v>
      </c>
      <c r="I140" s="3" t="s">
        <v>431</v>
      </c>
      <c r="J140" s="3">
        <v>2</v>
      </c>
      <c r="K140" s="3">
        <f>10*60+23</f>
        <v>623</v>
      </c>
      <c r="L140">
        <f t="shared" si="8"/>
        <v>621</v>
      </c>
      <c r="M140">
        <f t="shared" si="9"/>
        <v>10.35</v>
      </c>
      <c r="N140" s="1">
        <v>825</v>
      </c>
      <c r="O140" s="1">
        <v>207</v>
      </c>
      <c r="P140" s="2"/>
      <c r="Q140" s="3"/>
      <c r="R140" s="2"/>
    </row>
    <row r="141" spans="1:18" ht="15" x14ac:dyDescent="0.15">
      <c r="A141">
        <f>IF(COUNTIF(Fold1!A:A, B141), 1, IF(COUNTIF(Fold2!A:A, B141), 2, ""))</f>
        <v>1</v>
      </c>
      <c r="B141" s="3">
        <v>12040</v>
      </c>
      <c r="C141" s="3" t="s">
        <v>511</v>
      </c>
      <c r="D141" s="2" t="s">
        <v>512</v>
      </c>
      <c r="E141" s="3" t="s">
        <v>198</v>
      </c>
      <c r="F141" s="2" t="s">
        <v>513</v>
      </c>
      <c r="G141" s="1" t="s">
        <v>17</v>
      </c>
      <c r="H141" s="3" t="s">
        <v>391</v>
      </c>
      <c r="I141" s="3" t="s">
        <v>504</v>
      </c>
      <c r="J141" s="3">
        <f>6*60+19</f>
        <v>379</v>
      </c>
      <c r="K141" s="3">
        <f>17*60+54</f>
        <v>1074</v>
      </c>
      <c r="L141">
        <f t="shared" si="8"/>
        <v>695</v>
      </c>
      <c r="M141">
        <f t="shared" si="9"/>
        <v>11.58</v>
      </c>
      <c r="N141" s="1">
        <v>989</v>
      </c>
      <c r="O141" s="1">
        <v>248</v>
      </c>
      <c r="P141" s="2"/>
      <c r="Q141" s="3"/>
      <c r="R141" s="2"/>
    </row>
    <row r="142" spans="1:18" ht="15" x14ac:dyDescent="0.15">
      <c r="A142">
        <f>IF(COUNTIF(Fold1!A:A, B142), 1, IF(COUNTIF(Fold2!A:A, B142), 2, ""))</f>
        <v>1</v>
      </c>
      <c r="B142" s="3">
        <v>12041</v>
      </c>
      <c r="C142" s="3" t="s">
        <v>514</v>
      </c>
      <c r="D142" s="2" t="s">
        <v>515</v>
      </c>
      <c r="E142" s="3" t="s">
        <v>198</v>
      </c>
      <c r="F142" s="2" t="s">
        <v>513</v>
      </c>
      <c r="G142" s="1" t="s">
        <v>17</v>
      </c>
      <c r="H142" s="3" t="s">
        <v>391</v>
      </c>
      <c r="I142" s="3" t="s">
        <v>516</v>
      </c>
      <c r="J142" s="3">
        <f>8*60+48</f>
        <v>528</v>
      </c>
      <c r="K142" s="3">
        <f>23*60+9</f>
        <v>1389</v>
      </c>
      <c r="L142">
        <f t="shared" si="8"/>
        <v>861</v>
      </c>
      <c r="M142">
        <f t="shared" si="9"/>
        <v>14.35</v>
      </c>
      <c r="N142" s="1">
        <v>1225</v>
      </c>
      <c r="O142" s="1">
        <v>307</v>
      </c>
      <c r="P142" s="2"/>
      <c r="Q142" s="3"/>
      <c r="R142" s="2"/>
    </row>
    <row r="143" spans="1:18" ht="15" x14ac:dyDescent="0.15">
      <c r="A143">
        <f>IF(COUNTIF(Fold1!A:A, B143), 1, IF(COUNTIF(Fold2!A:A, B143), 2, ""))</f>
        <v>1</v>
      </c>
      <c r="B143" s="3">
        <v>12042</v>
      </c>
      <c r="C143" s="3" t="s">
        <v>517</v>
      </c>
      <c r="D143" s="2" t="s">
        <v>518</v>
      </c>
      <c r="E143" s="3" t="s">
        <v>203</v>
      </c>
      <c r="F143" s="2" t="s">
        <v>350</v>
      </c>
      <c r="G143" s="1" t="s">
        <v>17</v>
      </c>
      <c r="H143" s="3" t="s">
        <v>391</v>
      </c>
      <c r="I143" s="3" t="s">
        <v>417</v>
      </c>
      <c r="J143" s="3">
        <v>22</v>
      </c>
      <c r="K143" s="3">
        <f>8*60+21</f>
        <v>501</v>
      </c>
      <c r="L143">
        <f t="shared" si="8"/>
        <v>479</v>
      </c>
      <c r="M143">
        <f t="shared" si="9"/>
        <v>7.98</v>
      </c>
      <c r="N143" s="1">
        <v>697</v>
      </c>
      <c r="O143" s="1">
        <v>175</v>
      </c>
      <c r="P143" s="2"/>
      <c r="Q143" s="3"/>
      <c r="R143" s="2"/>
    </row>
    <row r="144" spans="1:18" ht="15" x14ac:dyDescent="0.15">
      <c r="A144">
        <f>IF(COUNTIF(Fold1!A:A, B144), 1, IF(COUNTIF(Fold2!A:A, B144), 2, ""))</f>
        <v>1</v>
      </c>
      <c r="B144" s="3">
        <v>12043</v>
      </c>
      <c r="C144" s="3" t="s">
        <v>519</v>
      </c>
      <c r="D144" s="2" t="s">
        <v>520</v>
      </c>
      <c r="E144" s="3" t="s">
        <v>203</v>
      </c>
      <c r="F144" s="2" t="s">
        <v>225</v>
      </c>
      <c r="G144" s="1" t="s">
        <v>17</v>
      </c>
      <c r="H144" s="3" t="s">
        <v>391</v>
      </c>
      <c r="I144" s="3" t="s">
        <v>338</v>
      </c>
      <c r="J144" s="3">
        <f>5*60+23</f>
        <v>323</v>
      </c>
      <c r="K144" s="3">
        <f>13*60+2</f>
        <v>782</v>
      </c>
      <c r="L144">
        <f t="shared" si="8"/>
        <v>459</v>
      </c>
      <c r="M144">
        <f t="shared" si="9"/>
        <v>7.65</v>
      </c>
      <c r="N144" s="1">
        <v>557</v>
      </c>
      <c r="O144" s="1">
        <v>140</v>
      </c>
      <c r="P144" s="2"/>
      <c r="Q144" s="3"/>
      <c r="R144" s="2"/>
    </row>
    <row r="145" spans="1:22" ht="15" x14ac:dyDescent="0.15">
      <c r="A145">
        <f>IF(COUNTIF(Fold1!A:A, B145), 1, IF(COUNTIF(Fold2!A:A, B145), 2, ""))</f>
        <v>1</v>
      </c>
      <c r="B145" s="3">
        <v>12044</v>
      </c>
      <c r="C145" s="3" t="s">
        <v>521</v>
      </c>
      <c r="D145" s="2" t="s">
        <v>522</v>
      </c>
      <c r="E145" s="3" t="s">
        <v>203</v>
      </c>
      <c r="F145" s="2" t="s">
        <v>208</v>
      </c>
      <c r="G145" s="1" t="s">
        <v>17</v>
      </c>
      <c r="H145" s="3" t="s">
        <v>391</v>
      </c>
      <c r="I145" s="3" t="s">
        <v>399</v>
      </c>
      <c r="J145" s="3">
        <v>16</v>
      </c>
      <c r="K145" s="3">
        <f>120+J145</f>
        <v>136</v>
      </c>
      <c r="L145">
        <f t="shared" si="8"/>
        <v>120</v>
      </c>
      <c r="M145">
        <f t="shared" si="9"/>
        <v>2</v>
      </c>
      <c r="N145" s="1">
        <v>159</v>
      </c>
      <c r="O145" s="1">
        <v>40</v>
      </c>
      <c r="P145" s="2"/>
      <c r="Q145" s="3"/>
    </row>
    <row r="146" spans="1:22" ht="15" x14ac:dyDescent="0.15">
      <c r="A146">
        <f>IF(COUNTIF(Fold1!A:A, B146), 1, IF(COUNTIF(Fold2!A:A, B146), 2, ""))</f>
        <v>2</v>
      </c>
      <c r="B146" s="3">
        <v>12045</v>
      </c>
      <c r="C146" s="3" t="s">
        <v>523</v>
      </c>
      <c r="D146" s="2" t="s">
        <v>524</v>
      </c>
      <c r="E146" s="3" t="s">
        <v>203</v>
      </c>
      <c r="F146" s="2" t="s">
        <v>211</v>
      </c>
      <c r="G146" s="1" t="s">
        <v>17</v>
      </c>
      <c r="H146" s="3" t="s">
        <v>391</v>
      </c>
      <c r="I146" s="3" t="s">
        <v>297</v>
      </c>
      <c r="J146" s="3">
        <v>22</v>
      </c>
      <c r="K146" s="3">
        <f>7*60+32</f>
        <v>452</v>
      </c>
      <c r="L146">
        <f t="shared" si="8"/>
        <v>430</v>
      </c>
      <c r="M146">
        <f t="shared" si="9"/>
        <v>7.17</v>
      </c>
      <c r="N146" s="1">
        <v>641</v>
      </c>
      <c r="O146" s="1">
        <v>161</v>
      </c>
      <c r="P146" s="2"/>
      <c r="R146" s="3"/>
    </row>
    <row r="147" spans="1:22" ht="15" x14ac:dyDescent="0.15">
      <c r="A147">
        <f>IF(COUNTIF(Fold1!A:A, B147), 1, IF(COUNTIF(Fold2!A:A, B147), 2, ""))</f>
        <v>2</v>
      </c>
      <c r="B147" s="3">
        <v>12046</v>
      </c>
      <c r="C147" s="3" t="s">
        <v>525</v>
      </c>
      <c r="D147" s="2" t="s">
        <v>526</v>
      </c>
      <c r="E147" s="3" t="s">
        <v>527</v>
      </c>
      <c r="F147" s="2" t="s">
        <v>528</v>
      </c>
      <c r="G147" s="1" t="s">
        <v>17</v>
      </c>
      <c r="H147" s="3" t="s">
        <v>391</v>
      </c>
      <c r="I147" s="3" t="s">
        <v>59</v>
      </c>
      <c r="J147" s="3">
        <v>16</v>
      </c>
      <c r="K147" s="3">
        <f>6*60+1</f>
        <v>361</v>
      </c>
      <c r="L147">
        <f t="shared" si="8"/>
        <v>345</v>
      </c>
      <c r="M147">
        <f t="shared" si="9"/>
        <v>5.75</v>
      </c>
      <c r="N147" s="1">
        <v>417</v>
      </c>
      <c r="O147" s="1">
        <v>105</v>
      </c>
      <c r="P147" s="2"/>
      <c r="Q147" s="3"/>
    </row>
    <row r="148" spans="1:22" ht="15" x14ac:dyDescent="0.15">
      <c r="A148">
        <f>IF(COUNTIF(Fold1!A:A, B148), 1, IF(COUNTIF(Fold2!A:A, B148), 2, ""))</f>
        <v>2</v>
      </c>
      <c r="B148" s="3">
        <v>12047</v>
      </c>
      <c r="C148" s="3" t="s">
        <v>529</v>
      </c>
      <c r="D148" s="2" t="s">
        <v>530</v>
      </c>
      <c r="E148" s="3" t="s">
        <v>377</v>
      </c>
      <c r="F148" s="2" t="s">
        <v>378</v>
      </c>
      <c r="G148" s="1" t="s">
        <v>17</v>
      </c>
      <c r="H148" s="3" t="s">
        <v>391</v>
      </c>
      <c r="I148" s="3" t="s">
        <v>385</v>
      </c>
      <c r="J148" s="3">
        <v>1</v>
      </c>
      <c r="K148" s="3">
        <f>4*60+48</f>
        <v>288</v>
      </c>
      <c r="L148">
        <f t="shared" si="8"/>
        <v>287</v>
      </c>
      <c r="M148">
        <f t="shared" si="9"/>
        <v>4.78</v>
      </c>
      <c r="N148" s="1">
        <v>449</v>
      </c>
      <c r="O148" s="1">
        <v>113</v>
      </c>
      <c r="P148" s="2"/>
      <c r="Q148" s="3"/>
      <c r="R148" s="2"/>
    </row>
    <row r="149" spans="1:22" ht="15" x14ac:dyDescent="0.15">
      <c r="A149">
        <f>IF(COUNTIF(Fold1!A:A, B149), 1, IF(COUNTIF(Fold2!A:A, B149), 2, ""))</f>
        <v>2</v>
      </c>
      <c r="B149" s="4">
        <v>12048</v>
      </c>
      <c r="C149" s="4" t="s">
        <v>531</v>
      </c>
      <c r="D149" s="5" t="s">
        <v>532</v>
      </c>
      <c r="E149" s="4" t="s">
        <v>533</v>
      </c>
      <c r="F149" s="5" t="s">
        <v>534</v>
      </c>
      <c r="G149" s="6" t="s">
        <v>17</v>
      </c>
      <c r="H149" s="4" t="s">
        <v>391</v>
      </c>
      <c r="I149" s="4" t="s">
        <v>535</v>
      </c>
      <c r="J149" s="4">
        <f>19*60+14</f>
        <v>1154</v>
      </c>
      <c r="K149" s="4">
        <f>31*60+55</f>
        <v>1915</v>
      </c>
      <c r="L149" s="6">
        <f t="shared" si="8"/>
        <v>761</v>
      </c>
      <c r="M149" s="6">
        <f t="shared" si="9"/>
        <v>12.68</v>
      </c>
      <c r="N149" s="6">
        <v>1209</v>
      </c>
      <c r="O149" s="6">
        <v>303</v>
      </c>
      <c r="P149" s="6"/>
      <c r="Q149" s="4"/>
      <c r="R149" s="5"/>
      <c r="S149" s="6"/>
      <c r="T149" s="6"/>
      <c r="U149" s="6"/>
      <c r="V149" s="6"/>
    </row>
    <row r="150" spans="1:22" ht="15" x14ac:dyDescent="0.15">
      <c r="A150">
        <f>IF(COUNTIF(Fold1!A:A, B150), 1, IF(COUNTIF(Fold2!A:A, B150), 2, ""))</f>
        <v>1</v>
      </c>
      <c r="B150" s="7">
        <v>13001</v>
      </c>
      <c r="C150" s="7" t="s">
        <v>536</v>
      </c>
      <c r="D150" s="8" t="s">
        <v>537</v>
      </c>
      <c r="E150" s="7" t="s">
        <v>404</v>
      </c>
      <c r="F150" s="8" t="s">
        <v>538</v>
      </c>
      <c r="G150" s="9" t="s">
        <v>17</v>
      </c>
      <c r="H150" s="7" t="s">
        <v>539</v>
      </c>
      <c r="I150" s="7" t="s">
        <v>540</v>
      </c>
      <c r="J150" s="7">
        <f>4*60+46</f>
        <v>286</v>
      </c>
      <c r="K150" s="7">
        <f>12*60+50</f>
        <v>770</v>
      </c>
      <c r="L150" s="9">
        <f t="shared" si="8"/>
        <v>484</v>
      </c>
      <c r="M150" s="9">
        <f t="shared" si="9"/>
        <v>8.07</v>
      </c>
      <c r="N150" s="9">
        <v>544</v>
      </c>
      <c r="O150" s="9">
        <v>182</v>
      </c>
      <c r="P150" s="8"/>
      <c r="Q150" s="7"/>
      <c r="R150" s="8"/>
      <c r="S150" s="9"/>
      <c r="T150" s="9"/>
      <c r="U150" s="9"/>
      <c r="V150" s="9"/>
    </row>
    <row r="151" spans="1:22" ht="15" x14ac:dyDescent="0.15">
      <c r="A151">
        <f>IF(COUNTIF(Fold1!A:A, B151), 1, IF(COUNTIF(Fold2!A:A, B151), 2, ""))</f>
        <v>1</v>
      </c>
      <c r="B151" s="3">
        <v>13002</v>
      </c>
      <c r="C151" s="3" t="s">
        <v>541</v>
      </c>
      <c r="D151" s="2" t="s">
        <v>542</v>
      </c>
      <c r="E151" s="3" t="s">
        <v>15</v>
      </c>
      <c r="F151" s="2" t="s">
        <v>543</v>
      </c>
      <c r="G151" s="1" t="s">
        <v>17</v>
      </c>
      <c r="H151" s="3" t="s">
        <v>539</v>
      </c>
      <c r="I151" s="3" t="s">
        <v>188</v>
      </c>
      <c r="J151" s="3">
        <v>66</v>
      </c>
      <c r="K151" s="3">
        <f>7*60+47</f>
        <v>467</v>
      </c>
      <c r="L151">
        <f t="shared" si="8"/>
        <v>401</v>
      </c>
      <c r="M151">
        <f t="shared" si="9"/>
        <v>6.68</v>
      </c>
      <c r="N151" s="1">
        <v>595</v>
      </c>
      <c r="O151" s="1">
        <v>199</v>
      </c>
      <c r="P151" s="2"/>
      <c r="Q151" s="3"/>
      <c r="R151" s="2"/>
    </row>
    <row r="152" spans="1:22" ht="15" x14ac:dyDescent="0.15">
      <c r="A152">
        <f>IF(COUNTIF(Fold1!A:A, B152), 1, IF(COUNTIF(Fold2!A:A, B152), 2, ""))</f>
        <v>2</v>
      </c>
      <c r="B152" s="3">
        <v>13003</v>
      </c>
      <c r="C152" s="3" t="s">
        <v>544</v>
      </c>
      <c r="D152" s="2" t="s">
        <v>545</v>
      </c>
      <c r="E152" s="3" t="s">
        <v>15</v>
      </c>
      <c r="F152" s="2" t="s">
        <v>16</v>
      </c>
      <c r="G152" s="1" t="s">
        <v>17</v>
      </c>
      <c r="H152" s="3" t="s">
        <v>539</v>
      </c>
      <c r="I152" s="3" t="s">
        <v>546</v>
      </c>
      <c r="J152" s="3">
        <v>2</v>
      </c>
      <c r="K152" s="3">
        <f>3*60+27</f>
        <v>207</v>
      </c>
      <c r="L152">
        <f t="shared" si="8"/>
        <v>205</v>
      </c>
      <c r="M152">
        <f t="shared" si="9"/>
        <v>3.42</v>
      </c>
      <c r="N152" s="1">
        <v>349</v>
      </c>
      <c r="O152" s="1">
        <v>117</v>
      </c>
      <c r="P152" s="2"/>
      <c r="Q152" s="3"/>
      <c r="R152" s="2"/>
    </row>
    <row r="153" spans="1:22" ht="15" x14ac:dyDescent="0.15">
      <c r="A153">
        <f>IF(COUNTIF(Fold1!A:A, B153), 1, IF(COUNTIF(Fold2!A:A, B153), 2, ""))</f>
        <v>1</v>
      </c>
      <c r="B153" s="3">
        <v>13004</v>
      </c>
      <c r="C153" s="3" t="s">
        <v>547</v>
      </c>
      <c r="D153" s="2" t="s">
        <v>548</v>
      </c>
      <c r="E153" s="3" t="s">
        <v>26</v>
      </c>
      <c r="F153" s="2" t="s">
        <v>27</v>
      </c>
      <c r="G153" s="1" t="s">
        <v>17</v>
      </c>
      <c r="H153" s="3" t="s">
        <v>539</v>
      </c>
      <c r="I153" s="3" t="s">
        <v>37</v>
      </c>
      <c r="J153" s="3">
        <v>56</v>
      </c>
      <c r="K153" s="3">
        <f>9*60+17</f>
        <v>557</v>
      </c>
      <c r="L153">
        <f t="shared" si="8"/>
        <v>501</v>
      </c>
      <c r="M153">
        <f t="shared" si="9"/>
        <v>8.35</v>
      </c>
      <c r="N153" s="1">
        <v>820</v>
      </c>
      <c r="O153" s="1">
        <v>274</v>
      </c>
      <c r="P153" s="2"/>
      <c r="Q153" s="3"/>
      <c r="R153" s="2"/>
    </row>
    <row r="154" spans="1:22" ht="15" x14ac:dyDescent="0.15">
      <c r="A154">
        <f>IF(COUNTIF(Fold1!A:A, B154), 1, IF(COUNTIF(Fold2!A:A, B154), 2, ""))</f>
        <v>2</v>
      </c>
      <c r="B154" s="3">
        <v>13005</v>
      </c>
      <c r="C154" s="3" t="s">
        <v>549</v>
      </c>
      <c r="D154" s="2" t="s">
        <v>550</v>
      </c>
      <c r="E154" s="3" t="s">
        <v>43</v>
      </c>
      <c r="F154" s="2" t="s">
        <v>225</v>
      </c>
      <c r="G154" s="1" t="s">
        <v>17</v>
      </c>
      <c r="H154" s="3" t="s">
        <v>539</v>
      </c>
      <c r="I154" s="3" t="s">
        <v>396</v>
      </c>
      <c r="J154" s="3">
        <f>11*60+8</f>
        <v>668</v>
      </c>
      <c r="K154" s="3">
        <f>18*60+14</f>
        <v>1094</v>
      </c>
      <c r="L154">
        <f t="shared" si="8"/>
        <v>426</v>
      </c>
      <c r="M154">
        <f t="shared" si="9"/>
        <v>7.1</v>
      </c>
      <c r="N154" s="1">
        <v>712</v>
      </c>
      <c r="O154" s="1">
        <v>238</v>
      </c>
      <c r="P154" s="2"/>
      <c r="Q154" s="3"/>
      <c r="R154" s="2"/>
    </row>
    <row r="155" spans="1:22" ht="15" x14ac:dyDescent="0.15">
      <c r="A155">
        <f>IF(COUNTIF(Fold1!A:A, B155), 1, IF(COUNTIF(Fold2!A:A, B155), 2, ""))</f>
        <v>1</v>
      </c>
      <c r="B155" s="3">
        <v>13006</v>
      </c>
      <c r="C155" s="3" t="s">
        <v>551</v>
      </c>
      <c r="D155" s="2" t="s">
        <v>552</v>
      </c>
      <c r="E155" s="3" t="s">
        <v>53</v>
      </c>
      <c r="F155" s="2" t="s">
        <v>62</v>
      </c>
      <c r="G155" s="1" t="s">
        <v>55</v>
      </c>
      <c r="H155" s="3" t="s">
        <v>539</v>
      </c>
      <c r="I155" s="3" t="s">
        <v>553</v>
      </c>
      <c r="J155" s="3">
        <f>60+18</f>
        <v>78</v>
      </c>
      <c r="K155" s="3">
        <f>3*60+14</f>
        <v>194</v>
      </c>
      <c r="L155">
        <f t="shared" si="8"/>
        <v>116</v>
      </c>
      <c r="M155">
        <f t="shared" si="9"/>
        <v>1.93</v>
      </c>
      <c r="N155" s="1">
        <v>190</v>
      </c>
      <c r="O155" s="1">
        <v>64</v>
      </c>
      <c r="P155" s="2"/>
      <c r="R155" s="3"/>
    </row>
    <row r="156" spans="1:22" ht="15" x14ac:dyDescent="0.15">
      <c r="A156">
        <f>IF(COUNTIF(Fold1!A:A, B156), 1, IF(COUNTIF(Fold2!A:A, B156), 2, ""))</f>
        <v>2</v>
      </c>
      <c r="B156" s="3">
        <v>13007</v>
      </c>
      <c r="C156" s="3" t="s">
        <v>554</v>
      </c>
      <c r="D156" s="2" t="s">
        <v>555</v>
      </c>
      <c r="E156" s="3" t="s">
        <v>71</v>
      </c>
      <c r="F156" s="2" t="s">
        <v>72</v>
      </c>
      <c r="G156" s="1" t="s">
        <v>55</v>
      </c>
      <c r="H156" s="3" t="s">
        <v>539</v>
      </c>
      <c r="I156" s="3" t="s">
        <v>556</v>
      </c>
      <c r="J156" s="3">
        <v>3</v>
      </c>
      <c r="K156" s="3">
        <f>5*60+5</f>
        <v>305</v>
      </c>
      <c r="L156">
        <f t="shared" si="8"/>
        <v>302</v>
      </c>
      <c r="M156">
        <f t="shared" si="9"/>
        <v>5.03</v>
      </c>
      <c r="N156" s="1">
        <v>502</v>
      </c>
      <c r="O156" s="1">
        <v>168</v>
      </c>
      <c r="P156" s="2"/>
      <c r="Q156" s="3"/>
      <c r="R156" s="2"/>
    </row>
    <row r="157" spans="1:22" ht="15" x14ac:dyDescent="0.15">
      <c r="A157">
        <f>IF(COUNTIF(Fold1!A:A, B157), 1, IF(COUNTIF(Fold2!A:A, B157), 2, ""))</f>
        <v>1</v>
      </c>
      <c r="B157" s="3">
        <v>13008</v>
      </c>
      <c r="C157" s="3" t="s">
        <v>557</v>
      </c>
      <c r="D157" s="2" t="s">
        <v>558</v>
      </c>
      <c r="E157" s="3" t="s">
        <v>87</v>
      </c>
      <c r="F157" s="2" t="s">
        <v>559</v>
      </c>
      <c r="G157" s="1" t="s">
        <v>17</v>
      </c>
      <c r="H157" s="3" t="s">
        <v>539</v>
      </c>
      <c r="I157" s="3" t="s">
        <v>37</v>
      </c>
      <c r="J157" s="3">
        <v>1</v>
      </c>
      <c r="K157" s="3">
        <f>3*60+2</f>
        <v>182</v>
      </c>
      <c r="L157">
        <f t="shared" si="8"/>
        <v>181</v>
      </c>
      <c r="M157">
        <f t="shared" si="9"/>
        <v>3.02</v>
      </c>
      <c r="N157" s="1">
        <v>376</v>
      </c>
      <c r="O157" s="1">
        <v>126</v>
      </c>
      <c r="P157" s="2"/>
      <c r="Q157" s="3"/>
      <c r="R157" s="2"/>
    </row>
    <row r="158" spans="1:22" ht="15" x14ac:dyDescent="0.15">
      <c r="A158">
        <f>IF(COUNTIF(Fold1!A:A, B158), 1, IF(COUNTIF(Fold2!A:A, B158), 2, ""))</f>
        <v>1</v>
      </c>
      <c r="B158" s="3">
        <v>13009</v>
      </c>
      <c r="C158" s="3" t="s">
        <v>560</v>
      </c>
      <c r="D158" s="2" t="s">
        <v>561</v>
      </c>
      <c r="E158" s="3" t="s">
        <v>113</v>
      </c>
      <c r="F158" s="2" t="s">
        <v>114</v>
      </c>
      <c r="G158" s="1" t="s">
        <v>115</v>
      </c>
      <c r="H158" s="3" t="s">
        <v>539</v>
      </c>
      <c r="I158" s="3" t="s">
        <v>562</v>
      </c>
      <c r="J158" s="3">
        <f>1*60+16</f>
        <v>76</v>
      </c>
      <c r="K158" s="3">
        <f>6*60+2</f>
        <v>362</v>
      </c>
      <c r="L158">
        <f t="shared" si="8"/>
        <v>286</v>
      </c>
      <c r="M158">
        <f t="shared" si="9"/>
        <v>4.7699999999999996</v>
      </c>
      <c r="N158" s="1">
        <v>468</v>
      </c>
      <c r="O158" s="1">
        <v>156</v>
      </c>
      <c r="P158" s="2"/>
      <c r="Q158" s="3"/>
      <c r="R158" s="2"/>
    </row>
    <row r="159" spans="1:22" ht="15" x14ac:dyDescent="0.15">
      <c r="A159">
        <f>IF(COUNTIF(Fold1!A:A, B159), 1, IF(COUNTIF(Fold2!A:A, B159), 2, ""))</f>
        <v>2</v>
      </c>
      <c r="B159" s="3">
        <v>13010</v>
      </c>
      <c r="C159" s="3" t="s">
        <v>563</v>
      </c>
      <c r="D159" s="2" t="s">
        <v>564</v>
      </c>
      <c r="E159" s="3" t="s">
        <v>140</v>
      </c>
      <c r="F159" s="2" t="s">
        <v>141</v>
      </c>
      <c r="G159" s="1" t="s">
        <v>33</v>
      </c>
      <c r="H159" s="3" t="s">
        <v>539</v>
      </c>
      <c r="I159" s="3" t="s">
        <v>565</v>
      </c>
      <c r="J159" s="3">
        <v>7</v>
      </c>
      <c r="K159" s="3">
        <f>3*60+49</f>
        <v>229</v>
      </c>
      <c r="L159">
        <f t="shared" si="8"/>
        <v>222</v>
      </c>
      <c r="M159">
        <f t="shared" si="9"/>
        <v>3.7</v>
      </c>
      <c r="N159" s="1">
        <v>439</v>
      </c>
      <c r="O159" s="1">
        <v>147</v>
      </c>
      <c r="P159" s="2"/>
      <c r="Q159" s="3"/>
      <c r="R159" s="2"/>
    </row>
    <row r="160" spans="1:22" ht="15" x14ac:dyDescent="0.15">
      <c r="A160">
        <f>IF(COUNTIF(Fold1!A:A, B160), 1, IF(COUNTIF(Fold2!A:A, B160), 2, ""))</f>
        <v>1</v>
      </c>
      <c r="B160" s="3">
        <v>13011</v>
      </c>
      <c r="C160" s="3" t="s">
        <v>566</v>
      </c>
      <c r="D160" s="2" t="s">
        <v>567</v>
      </c>
      <c r="E160" s="3" t="s">
        <v>140</v>
      </c>
      <c r="F160" s="2" t="s">
        <v>145</v>
      </c>
      <c r="G160" s="1" t="s">
        <v>33</v>
      </c>
      <c r="H160" s="3" t="s">
        <v>539</v>
      </c>
      <c r="I160" s="3" t="s">
        <v>546</v>
      </c>
      <c r="J160" s="3">
        <f>4*60+4</f>
        <v>244</v>
      </c>
      <c r="K160" s="3">
        <f>12*60+57</f>
        <v>777</v>
      </c>
      <c r="L160">
        <f t="shared" si="8"/>
        <v>533</v>
      </c>
      <c r="M160">
        <f t="shared" si="9"/>
        <v>8.8800000000000008</v>
      </c>
      <c r="N160" s="1">
        <v>889</v>
      </c>
      <c r="O160" s="1">
        <v>297</v>
      </c>
      <c r="Q160" s="3"/>
      <c r="R160" s="2"/>
    </row>
    <row r="161" spans="1:18" ht="15" x14ac:dyDescent="0.15">
      <c r="A161">
        <f>IF(COUNTIF(Fold1!A:A, B161), 1, IF(COUNTIF(Fold2!A:A, B161), 2, ""))</f>
        <v>2</v>
      </c>
      <c r="B161" s="3">
        <v>13012</v>
      </c>
      <c r="C161" s="3" t="s">
        <v>568</v>
      </c>
      <c r="D161" s="2" t="s">
        <v>569</v>
      </c>
      <c r="E161" s="3" t="s">
        <v>279</v>
      </c>
      <c r="F161" s="2" t="s">
        <v>280</v>
      </c>
      <c r="G161" s="1" t="s">
        <v>17</v>
      </c>
      <c r="H161" s="3" t="s">
        <v>539</v>
      </c>
      <c r="I161" s="3" t="s">
        <v>37</v>
      </c>
      <c r="J161" s="3">
        <v>3</v>
      </c>
      <c r="K161" s="3">
        <f>5*60+45</f>
        <v>345</v>
      </c>
      <c r="L161">
        <f t="shared" si="8"/>
        <v>342</v>
      </c>
      <c r="M161">
        <f t="shared" si="9"/>
        <v>5.7</v>
      </c>
      <c r="N161" s="1">
        <v>643</v>
      </c>
      <c r="O161" s="1">
        <v>215</v>
      </c>
      <c r="P161" s="2"/>
      <c r="Q161" s="3"/>
      <c r="R161" s="2"/>
    </row>
    <row r="162" spans="1:18" ht="15" x14ac:dyDescent="0.15">
      <c r="A162">
        <f>IF(COUNTIF(Fold1!A:A, B162), 1, IF(COUNTIF(Fold2!A:A, B162), 2, ""))</f>
        <v>1</v>
      </c>
      <c r="B162" s="3">
        <v>13013</v>
      </c>
      <c r="C162" s="3" t="s">
        <v>570</v>
      </c>
      <c r="D162" s="2" t="s">
        <v>571</v>
      </c>
      <c r="E162" s="3" t="s">
        <v>471</v>
      </c>
      <c r="F162" s="2" t="s">
        <v>472</v>
      </c>
      <c r="G162" s="1" t="s">
        <v>17</v>
      </c>
      <c r="H162" s="3" t="s">
        <v>539</v>
      </c>
      <c r="I162" s="3" t="s">
        <v>285</v>
      </c>
      <c r="J162" s="3">
        <v>5</v>
      </c>
      <c r="K162" s="3">
        <f>8*60+20</f>
        <v>500</v>
      </c>
      <c r="L162">
        <f t="shared" ref="L162:L177" si="10">K162-J162</f>
        <v>495</v>
      </c>
      <c r="M162">
        <f t="shared" ref="M162:M177" si="11">ROUND(L162/60,2)</f>
        <v>8.25</v>
      </c>
      <c r="N162" s="1">
        <v>739</v>
      </c>
      <c r="O162" s="1">
        <v>247</v>
      </c>
      <c r="P162" s="2"/>
      <c r="Q162" s="3"/>
      <c r="R162" s="2"/>
    </row>
    <row r="163" spans="1:18" ht="15" x14ac:dyDescent="0.15">
      <c r="A163">
        <f>IF(COUNTIF(Fold1!A:A, B163), 1, IF(COUNTIF(Fold2!A:A, B163), 2, ""))</f>
        <v>2</v>
      </c>
      <c r="B163" s="3">
        <v>13014</v>
      </c>
      <c r="C163" s="3" t="s">
        <v>572</v>
      </c>
      <c r="D163" s="2" t="s">
        <v>573</v>
      </c>
      <c r="E163" s="3" t="s">
        <v>176</v>
      </c>
      <c r="F163" s="2" t="s">
        <v>574</v>
      </c>
      <c r="G163" s="1" t="s">
        <v>17</v>
      </c>
      <c r="H163" s="3" t="s">
        <v>539</v>
      </c>
      <c r="I163" s="3" t="s">
        <v>483</v>
      </c>
      <c r="J163" s="3">
        <v>5</v>
      </c>
      <c r="K163" s="3">
        <f>5*60+36</f>
        <v>336</v>
      </c>
      <c r="L163">
        <f t="shared" si="10"/>
        <v>331</v>
      </c>
      <c r="M163">
        <f t="shared" si="11"/>
        <v>5.52</v>
      </c>
      <c r="N163" s="1">
        <v>598</v>
      </c>
      <c r="O163" s="1">
        <v>200</v>
      </c>
      <c r="P163" s="2"/>
      <c r="R163" s="3"/>
    </row>
    <row r="164" spans="1:18" ht="15" x14ac:dyDescent="0.15">
      <c r="A164">
        <f>IF(COUNTIF(Fold1!A:A, B164), 1, IF(COUNTIF(Fold2!A:A, B164), 2, ""))</f>
        <v>2</v>
      </c>
      <c r="B164" s="3">
        <v>13015</v>
      </c>
      <c r="C164" s="3" t="s">
        <v>575</v>
      </c>
      <c r="D164" s="2" t="s">
        <v>576</v>
      </c>
      <c r="E164" s="3" t="s">
        <v>295</v>
      </c>
      <c r="F164" s="2" t="s">
        <v>543</v>
      </c>
      <c r="G164" s="1" t="s">
        <v>17</v>
      </c>
      <c r="H164" s="3" t="s">
        <v>539</v>
      </c>
      <c r="I164" s="3" t="s">
        <v>399</v>
      </c>
      <c r="J164" s="3">
        <v>2</v>
      </c>
      <c r="K164" s="3">
        <f>3*60+46</f>
        <v>226</v>
      </c>
      <c r="L164">
        <f t="shared" si="10"/>
        <v>224</v>
      </c>
      <c r="M164">
        <f t="shared" si="11"/>
        <v>3.73</v>
      </c>
      <c r="N164" s="1">
        <v>328</v>
      </c>
      <c r="O164" s="1">
        <v>110</v>
      </c>
      <c r="P164" s="2"/>
      <c r="Q164" s="3"/>
      <c r="R164" s="2"/>
    </row>
    <row r="165" spans="1:18" ht="15" x14ac:dyDescent="0.15">
      <c r="A165">
        <f>IF(COUNTIF(Fold1!A:A, B165), 1, IF(COUNTIF(Fold2!A:A, B165), 2, ""))</f>
        <v>1</v>
      </c>
      <c r="B165" s="3">
        <v>13016</v>
      </c>
      <c r="C165" s="3" t="s">
        <v>577</v>
      </c>
      <c r="D165" s="2" t="s">
        <v>578</v>
      </c>
      <c r="E165" s="3" t="s">
        <v>489</v>
      </c>
      <c r="F165" s="2" t="s">
        <v>579</v>
      </c>
      <c r="G165" s="1" t="s">
        <v>17</v>
      </c>
      <c r="H165" s="3" t="s">
        <v>539</v>
      </c>
      <c r="I165" s="3" t="s">
        <v>188</v>
      </c>
      <c r="J165" s="3">
        <f>8*60+16</f>
        <v>496</v>
      </c>
      <c r="K165" s="3">
        <f>13*60+28</f>
        <v>808</v>
      </c>
      <c r="L165">
        <f t="shared" si="10"/>
        <v>312</v>
      </c>
      <c r="M165">
        <f t="shared" si="11"/>
        <v>5.2</v>
      </c>
      <c r="N165" s="1">
        <v>490</v>
      </c>
      <c r="O165" s="1">
        <v>164</v>
      </c>
      <c r="P165" s="2"/>
      <c r="Q165" s="3"/>
      <c r="R165" s="2"/>
    </row>
    <row r="166" spans="1:18" ht="15" x14ac:dyDescent="0.15">
      <c r="A166">
        <f>IF(COUNTIF(Fold1!A:A, B166), 1, IF(COUNTIF(Fold2!A:A, B166), 2, ""))</f>
        <v>2</v>
      </c>
      <c r="B166" s="3">
        <v>13017</v>
      </c>
      <c r="C166" s="3" t="s">
        <v>580</v>
      </c>
      <c r="D166" s="2" t="s">
        <v>581</v>
      </c>
      <c r="E166" s="3" t="s">
        <v>300</v>
      </c>
      <c r="F166" s="2" t="s">
        <v>301</v>
      </c>
      <c r="G166" s="1" t="s">
        <v>17</v>
      </c>
      <c r="H166" s="3" t="s">
        <v>539</v>
      </c>
      <c r="I166" s="3" t="s">
        <v>582</v>
      </c>
      <c r="J166" s="3">
        <v>10</v>
      </c>
      <c r="K166" s="3">
        <f>2*60+54</f>
        <v>174</v>
      </c>
      <c r="L166">
        <f t="shared" si="10"/>
        <v>164</v>
      </c>
      <c r="M166">
        <f t="shared" si="11"/>
        <v>2.73</v>
      </c>
      <c r="N166" s="1">
        <v>247</v>
      </c>
      <c r="O166" s="1">
        <v>83</v>
      </c>
      <c r="P166" s="2"/>
      <c r="Q166" s="3"/>
      <c r="R166" s="2"/>
    </row>
    <row r="167" spans="1:18" ht="15" x14ac:dyDescent="0.15">
      <c r="A167">
        <f>IF(COUNTIF(Fold1!A:A, B167), 1, IF(COUNTIF(Fold2!A:A, B167), 2, ""))</f>
        <v>2</v>
      </c>
      <c r="B167" s="3">
        <v>13018</v>
      </c>
      <c r="C167" s="3" t="s">
        <v>583</v>
      </c>
      <c r="D167" s="2" t="s">
        <v>584</v>
      </c>
      <c r="E167" s="3" t="s">
        <v>300</v>
      </c>
      <c r="F167" s="2" t="s">
        <v>301</v>
      </c>
      <c r="G167" s="1" t="s">
        <v>17</v>
      </c>
      <c r="H167" s="3" t="s">
        <v>539</v>
      </c>
      <c r="I167" s="3" t="s">
        <v>338</v>
      </c>
      <c r="J167" s="3">
        <v>9</v>
      </c>
      <c r="K167" s="3">
        <f>2*60+17</f>
        <v>137</v>
      </c>
      <c r="L167">
        <f t="shared" si="10"/>
        <v>128</v>
      </c>
      <c r="M167">
        <f t="shared" si="11"/>
        <v>2.13</v>
      </c>
      <c r="N167" s="1">
        <v>361</v>
      </c>
      <c r="O167" s="1">
        <v>121</v>
      </c>
      <c r="P167" s="2"/>
      <c r="Q167" s="3"/>
      <c r="R167" s="2"/>
    </row>
    <row r="168" spans="1:18" ht="15" x14ac:dyDescent="0.15">
      <c r="A168">
        <f>IF(COUNTIF(Fold1!A:A, B168), 1, IF(COUNTIF(Fold2!A:A, B168), 2, ""))</f>
        <v>1</v>
      </c>
      <c r="B168" s="3">
        <v>13019</v>
      </c>
      <c r="C168" s="3" t="s">
        <v>585</v>
      </c>
      <c r="D168" s="2" t="s">
        <v>586</v>
      </c>
      <c r="E168" s="3" t="s">
        <v>300</v>
      </c>
      <c r="F168" s="2" t="s">
        <v>301</v>
      </c>
      <c r="G168" s="1" t="s">
        <v>17</v>
      </c>
      <c r="H168" s="3" t="s">
        <v>539</v>
      </c>
      <c r="I168" s="3" t="s">
        <v>587</v>
      </c>
      <c r="J168" s="3">
        <v>26</v>
      </c>
      <c r="K168" s="3">
        <f>4*60+30</f>
        <v>270</v>
      </c>
      <c r="L168">
        <f t="shared" si="10"/>
        <v>244</v>
      </c>
      <c r="M168">
        <f t="shared" si="11"/>
        <v>4.07</v>
      </c>
      <c r="N168" s="1">
        <v>324</v>
      </c>
      <c r="O168" s="1">
        <v>108</v>
      </c>
      <c r="P168" s="2"/>
      <c r="Q168" s="3"/>
      <c r="R168" s="2"/>
    </row>
    <row r="169" spans="1:18" ht="15" x14ac:dyDescent="0.15">
      <c r="A169">
        <f>IF(COUNTIF(Fold1!A:A, B169), 1, IF(COUNTIF(Fold2!A:A, B169), 2, ""))</f>
        <v>1</v>
      </c>
      <c r="B169" s="3">
        <v>13020</v>
      </c>
      <c r="C169" s="3" t="s">
        <v>588</v>
      </c>
      <c r="D169" s="2" t="s">
        <v>589</v>
      </c>
      <c r="E169" s="3" t="s">
        <v>300</v>
      </c>
      <c r="F169" s="2" t="s">
        <v>301</v>
      </c>
      <c r="G169" s="1" t="s">
        <v>17</v>
      </c>
      <c r="H169" s="3" t="s">
        <v>539</v>
      </c>
      <c r="I169" s="3" t="s">
        <v>590</v>
      </c>
      <c r="J169" s="3">
        <v>21</v>
      </c>
      <c r="K169" s="3">
        <f>3*60+40</f>
        <v>220</v>
      </c>
      <c r="L169">
        <f t="shared" si="10"/>
        <v>199</v>
      </c>
      <c r="M169">
        <f t="shared" si="11"/>
        <v>3.32</v>
      </c>
      <c r="N169" s="1">
        <v>298</v>
      </c>
      <c r="O169" s="1">
        <v>100</v>
      </c>
      <c r="P169" s="2"/>
      <c r="Q169" s="3"/>
      <c r="R169" s="2"/>
    </row>
    <row r="170" spans="1:18" ht="15" x14ac:dyDescent="0.15">
      <c r="A170">
        <f>IF(COUNTIF(Fold1!A:A, B170), 1, IF(COUNTIF(Fold2!A:A, B170), 2, ""))</f>
        <v>1</v>
      </c>
      <c r="B170" s="3">
        <v>13021</v>
      </c>
      <c r="C170" s="3" t="s">
        <v>591</v>
      </c>
      <c r="D170" s="2" t="s">
        <v>592</v>
      </c>
      <c r="E170" s="3" t="s">
        <v>300</v>
      </c>
      <c r="F170" s="2" t="s">
        <v>301</v>
      </c>
      <c r="G170" s="1" t="s">
        <v>17</v>
      </c>
      <c r="H170" s="3" t="s">
        <v>539</v>
      </c>
      <c r="I170" s="3" t="s">
        <v>593</v>
      </c>
      <c r="J170" s="3">
        <v>11</v>
      </c>
      <c r="K170" s="3">
        <f>2*60+55</f>
        <v>175</v>
      </c>
      <c r="L170">
        <f t="shared" si="10"/>
        <v>164</v>
      </c>
      <c r="M170">
        <f t="shared" si="11"/>
        <v>2.73</v>
      </c>
      <c r="N170" s="1">
        <v>232</v>
      </c>
      <c r="O170" s="1">
        <v>78</v>
      </c>
      <c r="P170" s="2"/>
      <c r="Q170" s="3"/>
      <c r="R170" s="2"/>
    </row>
    <row r="171" spans="1:18" ht="15" x14ac:dyDescent="0.15">
      <c r="A171">
        <f>IF(COUNTIF(Fold1!A:A, B171), 1, IF(COUNTIF(Fold2!A:A, B171), 2, ""))</f>
        <v>2</v>
      </c>
      <c r="B171" s="3">
        <v>13022</v>
      </c>
      <c r="C171" s="3" t="s">
        <v>594</v>
      </c>
      <c r="D171" s="2" t="s">
        <v>595</v>
      </c>
      <c r="E171" s="3" t="s">
        <v>300</v>
      </c>
      <c r="F171" s="2" t="s">
        <v>301</v>
      </c>
      <c r="G171" s="1" t="s">
        <v>17</v>
      </c>
      <c r="H171" s="3" t="s">
        <v>539</v>
      </c>
      <c r="I171" s="3" t="s">
        <v>596</v>
      </c>
      <c r="J171" s="3">
        <v>17</v>
      </c>
      <c r="K171" s="3">
        <f>5*60+8</f>
        <v>308</v>
      </c>
      <c r="L171">
        <f t="shared" si="10"/>
        <v>291</v>
      </c>
      <c r="M171">
        <f t="shared" si="11"/>
        <v>4.8499999999999996</v>
      </c>
      <c r="N171" s="1">
        <v>432</v>
      </c>
      <c r="O171" s="1">
        <v>144</v>
      </c>
      <c r="P171" s="2"/>
      <c r="Q171" s="3"/>
      <c r="R171" s="2"/>
    </row>
    <row r="172" spans="1:18" ht="15" x14ac:dyDescent="0.15">
      <c r="A172">
        <f>IF(COUNTIF(Fold1!A:A, B172), 1, IF(COUNTIF(Fold2!A:A, B172), 2, ""))</f>
        <v>1</v>
      </c>
      <c r="B172" s="3">
        <v>13023</v>
      </c>
      <c r="C172" s="3" t="s">
        <v>597</v>
      </c>
      <c r="D172" s="2" t="s">
        <v>598</v>
      </c>
      <c r="E172" s="3" t="s">
        <v>300</v>
      </c>
      <c r="F172" s="2" t="s">
        <v>301</v>
      </c>
      <c r="G172" s="1" t="s">
        <v>17</v>
      </c>
      <c r="H172" s="3" t="s">
        <v>539</v>
      </c>
      <c r="I172" s="3" t="s">
        <v>599</v>
      </c>
      <c r="J172" s="3">
        <v>17</v>
      </c>
      <c r="K172" s="3">
        <f>4*60+41</f>
        <v>281</v>
      </c>
      <c r="L172">
        <f t="shared" si="10"/>
        <v>264</v>
      </c>
      <c r="M172">
        <f t="shared" si="11"/>
        <v>4.4000000000000004</v>
      </c>
      <c r="N172" s="1">
        <v>400</v>
      </c>
      <c r="O172" s="1">
        <v>134</v>
      </c>
      <c r="P172" s="2"/>
      <c r="Q172" s="3"/>
      <c r="R172" s="2"/>
    </row>
    <row r="173" spans="1:18" ht="15" x14ac:dyDescent="0.15">
      <c r="A173">
        <f>IF(COUNTIF(Fold1!A:A, B173), 1, IF(COUNTIF(Fold2!A:A, B173), 2, ""))</f>
        <v>1</v>
      </c>
      <c r="B173" s="3">
        <v>13024</v>
      </c>
      <c r="C173" s="3" t="s">
        <v>600</v>
      </c>
      <c r="D173" s="2" t="s">
        <v>601</v>
      </c>
      <c r="E173" s="3" t="s">
        <v>307</v>
      </c>
      <c r="F173" s="2" t="s">
        <v>602</v>
      </c>
      <c r="G173" s="1" t="s">
        <v>17</v>
      </c>
      <c r="H173" s="3" t="s">
        <v>539</v>
      </c>
      <c r="I173" s="3" t="s">
        <v>603</v>
      </c>
      <c r="J173" s="3">
        <v>61</v>
      </c>
      <c r="K173" s="3">
        <f>5*60+16</f>
        <v>316</v>
      </c>
      <c r="L173">
        <f t="shared" si="10"/>
        <v>255</v>
      </c>
      <c r="M173">
        <f t="shared" si="11"/>
        <v>4.25</v>
      </c>
      <c r="N173" s="1">
        <v>397</v>
      </c>
      <c r="O173" s="1">
        <v>133</v>
      </c>
      <c r="P173" s="2"/>
      <c r="Q173" s="3"/>
      <c r="R173" s="2"/>
    </row>
    <row r="174" spans="1:18" ht="15" x14ac:dyDescent="0.15">
      <c r="A174">
        <f>IF(COUNTIF(Fold1!A:A, B174), 1, IF(COUNTIF(Fold2!A:A, B174), 2, ""))</f>
        <v>2</v>
      </c>
      <c r="B174" s="3">
        <v>13025</v>
      </c>
      <c r="C174" s="3" t="s">
        <v>604</v>
      </c>
      <c r="D174" s="2" t="s">
        <v>605</v>
      </c>
      <c r="E174" s="3" t="s">
        <v>191</v>
      </c>
      <c r="F174" s="2" t="s">
        <v>192</v>
      </c>
      <c r="G174" s="1" t="s">
        <v>156</v>
      </c>
      <c r="H174" s="3" t="s">
        <v>539</v>
      </c>
      <c r="I174" s="3" t="s">
        <v>165</v>
      </c>
      <c r="J174" s="3">
        <f>13*60+35</f>
        <v>815</v>
      </c>
      <c r="K174" s="3">
        <f>20*60+30</f>
        <v>1230</v>
      </c>
      <c r="L174">
        <f t="shared" si="10"/>
        <v>415</v>
      </c>
      <c r="M174">
        <f t="shared" si="11"/>
        <v>6.92</v>
      </c>
      <c r="N174" s="1">
        <v>703</v>
      </c>
      <c r="O174" s="1">
        <v>235</v>
      </c>
      <c r="P174" s="2"/>
      <c r="Q174" s="3"/>
      <c r="R174" s="2"/>
    </row>
    <row r="175" spans="1:18" ht="15" x14ac:dyDescent="0.15">
      <c r="A175">
        <f>IF(COUNTIF(Fold1!A:A, B175), 1, IF(COUNTIF(Fold2!A:A, B175), 2, ""))</f>
        <v>2</v>
      </c>
      <c r="B175" s="3">
        <v>13026</v>
      </c>
      <c r="C175" s="3" t="s">
        <v>606</v>
      </c>
      <c r="D175" s="2" t="s">
        <v>607</v>
      </c>
      <c r="E175" s="3" t="s">
        <v>345</v>
      </c>
      <c r="F175" s="2" t="s">
        <v>346</v>
      </c>
      <c r="G175" s="1" t="s">
        <v>17</v>
      </c>
      <c r="H175" s="3" t="s">
        <v>539</v>
      </c>
      <c r="I175" s="3" t="s">
        <v>608</v>
      </c>
      <c r="J175" s="3">
        <f>1*60+9</f>
        <v>69</v>
      </c>
      <c r="K175" s="3">
        <f>3*60+18</f>
        <v>198</v>
      </c>
      <c r="L175">
        <f t="shared" si="10"/>
        <v>129</v>
      </c>
      <c r="M175">
        <f t="shared" si="11"/>
        <v>2.15</v>
      </c>
      <c r="N175" s="1">
        <v>223</v>
      </c>
      <c r="O175" s="1">
        <v>75</v>
      </c>
      <c r="P175" s="2"/>
      <c r="Q175" s="3"/>
      <c r="R175" s="2"/>
    </row>
    <row r="176" spans="1:18" ht="15" x14ac:dyDescent="0.15">
      <c r="A176">
        <f>IF(COUNTIF(Fold1!A:A, B176), 1, IF(COUNTIF(Fold2!A:A, B176), 2, ""))</f>
        <v>2</v>
      </c>
      <c r="B176" s="3">
        <v>13027</v>
      </c>
      <c r="C176" s="3" t="s">
        <v>609</v>
      </c>
      <c r="D176" s="2" t="s">
        <v>610</v>
      </c>
      <c r="E176" s="3" t="s">
        <v>364</v>
      </c>
      <c r="F176" s="2" t="s">
        <v>27</v>
      </c>
      <c r="G176" s="1" t="s">
        <v>17</v>
      </c>
      <c r="H176" s="3" t="s">
        <v>539</v>
      </c>
      <c r="I176" s="3" t="s">
        <v>611</v>
      </c>
      <c r="J176" s="3">
        <v>3</v>
      </c>
      <c r="K176" s="3">
        <f>4*60+28</f>
        <v>268</v>
      </c>
      <c r="L176">
        <f t="shared" si="10"/>
        <v>265</v>
      </c>
      <c r="M176">
        <f t="shared" si="11"/>
        <v>4.42</v>
      </c>
      <c r="N176" s="1">
        <v>487</v>
      </c>
      <c r="O176" s="1">
        <v>163</v>
      </c>
      <c r="P176" s="2"/>
      <c r="Q176" s="3"/>
      <c r="R176" s="2"/>
    </row>
    <row r="177" spans="1:18" ht="15" x14ac:dyDescent="0.15">
      <c r="A177">
        <f>IF(COUNTIF(Fold1!A:A, B177), 1, IF(COUNTIF(Fold2!A:A, B177), 2, ""))</f>
        <v>2</v>
      </c>
      <c r="B177" s="3">
        <v>13028</v>
      </c>
      <c r="C177" s="3" t="s">
        <v>612</v>
      </c>
      <c r="D177" s="2" t="s">
        <v>613</v>
      </c>
      <c r="E177" s="3" t="s">
        <v>377</v>
      </c>
      <c r="F177" s="2" t="s">
        <v>378</v>
      </c>
      <c r="G177" s="1" t="s">
        <v>17</v>
      </c>
      <c r="H177" s="3" t="s">
        <v>539</v>
      </c>
      <c r="I177" s="3" t="s">
        <v>608</v>
      </c>
      <c r="J177" s="3">
        <v>2</v>
      </c>
      <c r="K177" s="3">
        <f>3*60+20</f>
        <v>200</v>
      </c>
      <c r="L177">
        <f t="shared" si="10"/>
        <v>198</v>
      </c>
      <c r="M177">
        <f t="shared" si="11"/>
        <v>3.3</v>
      </c>
      <c r="N177" s="1">
        <v>325</v>
      </c>
      <c r="O177" s="1">
        <v>109</v>
      </c>
      <c r="P177" s="2"/>
      <c r="Q177" s="3"/>
      <c r="R177" s="2"/>
    </row>
  </sheetData>
  <autoFilter ref="A1:W177" xr:uid="{00000000-0001-0000-0000-000000000000}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F2BD-659B-3142-B57E-C32263999F0E}">
  <dimension ref="A1:B89"/>
  <sheetViews>
    <sheetView workbookViewId="0">
      <selection activeCell="F12" sqref="E12:F12"/>
    </sheetView>
  </sheetViews>
  <sheetFormatPr baseColWidth="10" defaultRowHeight="13" x14ac:dyDescent="0.15"/>
  <cols>
    <col min="2" max="2" width="98.5" bestFit="1" customWidth="1"/>
  </cols>
  <sheetData>
    <row r="1" spans="1:2" x14ac:dyDescent="0.15">
      <c r="A1" s="11" t="s">
        <v>792</v>
      </c>
      <c r="B1" s="11" t="s">
        <v>705</v>
      </c>
    </row>
    <row r="2" spans="1:2" ht="17" x14ac:dyDescent="0.2">
      <c r="A2" t="str">
        <f>LEFT(B2, 5)</f>
        <v>10037</v>
      </c>
      <c r="B2" s="12" t="s">
        <v>706</v>
      </c>
    </row>
    <row r="3" spans="1:2" ht="17" x14ac:dyDescent="0.2">
      <c r="A3" t="str">
        <f t="shared" ref="A3:A66" si="0">LEFT(B3, 5)</f>
        <v>10046</v>
      </c>
      <c r="B3" s="12" t="s">
        <v>707</v>
      </c>
    </row>
    <row r="4" spans="1:2" ht="17" x14ac:dyDescent="0.2">
      <c r="A4" t="str">
        <f t="shared" si="0"/>
        <v>10026</v>
      </c>
      <c r="B4" s="12" t="s">
        <v>708</v>
      </c>
    </row>
    <row r="5" spans="1:2" ht="17" x14ac:dyDescent="0.2">
      <c r="A5" t="str">
        <f t="shared" si="0"/>
        <v>10041</v>
      </c>
      <c r="B5" s="12" t="s">
        <v>709</v>
      </c>
    </row>
    <row r="6" spans="1:2" ht="17" x14ac:dyDescent="0.2">
      <c r="A6" t="str">
        <f t="shared" si="0"/>
        <v>10005</v>
      </c>
      <c r="B6" s="12" t="s">
        <v>710</v>
      </c>
    </row>
    <row r="7" spans="1:2" ht="17" x14ac:dyDescent="0.2">
      <c r="A7" t="str">
        <f t="shared" si="0"/>
        <v>10002</v>
      </c>
      <c r="B7" s="12" t="s">
        <v>711</v>
      </c>
    </row>
    <row r="8" spans="1:2" ht="17" x14ac:dyDescent="0.2">
      <c r="A8" t="str">
        <f t="shared" si="0"/>
        <v>10045</v>
      </c>
      <c r="B8" s="12" t="s">
        <v>712</v>
      </c>
    </row>
    <row r="9" spans="1:2" ht="17" x14ac:dyDescent="0.2">
      <c r="A9" t="str">
        <f t="shared" si="0"/>
        <v>10020</v>
      </c>
      <c r="B9" s="12" t="s">
        <v>713</v>
      </c>
    </row>
    <row r="10" spans="1:2" ht="17" x14ac:dyDescent="0.2">
      <c r="A10" t="str">
        <f t="shared" si="0"/>
        <v>10029</v>
      </c>
      <c r="B10" s="12" t="s">
        <v>714</v>
      </c>
    </row>
    <row r="11" spans="1:2" ht="17" x14ac:dyDescent="0.2">
      <c r="A11" t="str">
        <f t="shared" si="0"/>
        <v>10042</v>
      </c>
      <c r="B11" s="12" t="s">
        <v>715</v>
      </c>
    </row>
    <row r="12" spans="1:2" ht="17" x14ac:dyDescent="0.2">
      <c r="A12" t="str">
        <f t="shared" si="0"/>
        <v>10015</v>
      </c>
      <c r="B12" s="12" t="s">
        <v>716</v>
      </c>
    </row>
    <row r="13" spans="1:2" ht="17" x14ac:dyDescent="0.2">
      <c r="A13" t="str">
        <f t="shared" si="0"/>
        <v>10047</v>
      </c>
      <c r="B13" s="12" t="s">
        <v>717</v>
      </c>
    </row>
    <row r="14" spans="1:2" ht="17" x14ac:dyDescent="0.2">
      <c r="A14" t="str">
        <f t="shared" si="0"/>
        <v>10011</v>
      </c>
      <c r="B14" s="12" t="s">
        <v>718</v>
      </c>
    </row>
    <row r="15" spans="1:2" ht="17" x14ac:dyDescent="0.2">
      <c r="A15" t="str">
        <f t="shared" si="0"/>
        <v>10044</v>
      </c>
      <c r="B15" s="12" t="s">
        <v>719</v>
      </c>
    </row>
    <row r="16" spans="1:2" ht="17" x14ac:dyDescent="0.2">
      <c r="A16" t="str">
        <f t="shared" si="0"/>
        <v>10031</v>
      </c>
      <c r="B16" s="12" t="s">
        <v>720</v>
      </c>
    </row>
    <row r="17" spans="1:2" ht="17" x14ac:dyDescent="0.2">
      <c r="A17" t="str">
        <f t="shared" si="0"/>
        <v>10021</v>
      </c>
      <c r="B17" s="12" t="s">
        <v>721</v>
      </c>
    </row>
    <row r="18" spans="1:2" ht="17" x14ac:dyDescent="0.2">
      <c r="A18" t="str">
        <f t="shared" si="0"/>
        <v>10009</v>
      </c>
      <c r="B18" s="12" t="s">
        <v>722</v>
      </c>
    </row>
    <row r="19" spans="1:2" ht="17" x14ac:dyDescent="0.2">
      <c r="A19" t="str">
        <f t="shared" si="0"/>
        <v>10018</v>
      </c>
      <c r="B19" s="12" t="s">
        <v>723</v>
      </c>
    </row>
    <row r="20" spans="1:2" ht="17" x14ac:dyDescent="0.2">
      <c r="A20" t="str">
        <f t="shared" si="0"/>
        <v>10035</v>
      </c>
      <c r="B20" s="12" t="s">
        <v>724</v>
      </c>
    </row>
    <row r="21" spans="1:2" ht="17" x14ac:dyDescent="0.2">
      <c r="A21" t="str">
        <f t="shared" si="0"/>
        <v>10038</v>
      </c>
      <c r="B21" s="12" t="s">
        <v>725</v>
      </c>
    </row>
    <row r="22" spans="1:2" ht="17" x14ac:dyDescent="0.2">
      <c r="A22" t="str">
        <f t="shared" si="0"/>
        <v>10027</v>
      </c>
      <c r="B22" s="12" t="s">
        <v>726</v>
      </c>
    </row>
    <row r="23" spans="1:2" ht="17" x14ac:dyDescent="0.2">
      <c r="A23" t="str">
        <f t="shared" si="0"/>
        <v>10016</v>
      </c>
      <c r="B23" s="12" t="s">
        <v>727</v>
      </c>
    </row>
    <row r="24" spans="1:2" ht="17" x14ac:dyDescent="0.2">
      <c r="A24" t="str">
        <f t="shared" si="0"/>
        <v>10034</v>
      </c>
      <c r="B24" s="12" t="s">
        <v>728</v>
      </c>
    </row>
    <row r="25" spans="1:2" ht="17" x14ac:dyDescent="0.2">
      <c r="A25" t="str">
        <f t="shared" si="0"/>
        <v>10014</v>
      </c>
      <c r="B25" s="12" t="s">
        <v>729</v>
      </c>
    </row>
    <row r="26" spans="1:2" ht="17" x14ac:dyDescent="0.2">
      <c r="A26" t="str">
        <f t="shared" si="0"/>
        <v>10001</v>
      </c>
      <c r="B26" s="12" t="s">
        <v>730</v>
      </c>
    </row>
    <row r="27" spans="1:2" ht="17" x14ac:dyDescent="0.2">
      <c r="A27" t="str">
        <f t="shared" si="0"/>
        <v>11026</v>
      </c>
      <c r="B27" s="12" t="s">
        <v>702</v>
      </c>
    </row>
    <row r="28" spans="1:2" ht="17" x14ac:dyDescent="0.2">
      <c r="A28" t="str">
        <f t="shared" si="0"/>
        <v>11034</v>
      </c>
      <c r="B28" s="12" t="s">
        <v>703</v>
      </c>
    </row>
    <row r="29" spans="1:2" ht="17" x14ac:dyDescent="0.2">
      <c r="A29" t="str">
        <f t="shared" si="0"/>
        <v>11017</v>
      </c>
      <c r="B29" s="12" t="s">
        <v>704</v>
      </c>
    </row>
    <row r="30" spans="1:2" ht="17" x14ac:dyDescent="0.2">
      <c r="A30" t="str">
        <f t="shared" si="0"/>
        <v>11002</v>
      </c>
      <c r="B30" s="12" t="s">
        <v>731</v>
      </c>
    </row>
    <row r="31" spans="1:2" ht="17" x14ac:dyDescent="0.2">
      <c r="A31" t="str">
        <f t="shared" si="0"/>
        <v>11041</v>
      </c>
      <c r="B31" s="12" t="s">
        <v>732</v>
      </c>
    </row>
    <row r="32" spans="1:2" ht="17" x14ac:dyDescent="0.2">
      <c r="A32" t="str">
        <f t="shared" si="0"/>
        <v>11012</v>
      </c>
      <c r="B32" s="12" t="s">
        <v>733</v>
      </c>
    </row>
    <row r="33" spans="1:2" ht="17" x14ac:dyDescent="0.2">
      <c r="A33" t="str">
        <f t="shared" si="0"/>
        <v>11021</v>
      </c>
      <c r="B33" s="12" t="s">
        <v>734</v>
      </c>
    </row>
    <row r="34" spans="1:2" ht="17" x14ac:dyDescent="0.2">
      <c r="A34" t="str">
        <f t="shared" si="0"/>
        <v>11045</v>
      </c>
      <c r="B34" s="12" t="s">
        <v>735</v>
      </c>
    </row>
    <row r="35" spans="1:2" ht="17" x14ac:dyDescent="0.2">
      <c r="A35" t="str">
        <f t="shared" si="0"/>
        <v>11001</v>
      </c>
      <c r="B35" s="12" t="s">
        <v>736</v>
      </c>
    </row>
    <row r="36" spans="1:2" ht="17" x14ac:dyDescent="0.2">
      <c r="A36" t="str">
        <f t="shared" si="0"/>
        <v>11018</v>
      </c>
      <c r="B36" s="12" t="s">
        <v>737</v>
      </c>
    </row>
    <row r="37" spans="1:2" ht="17" x14ac:dyDescent="0.2">
      <c r="A37" t="str">
        <f t="shared" si="0"/>
        <v>11011</v>
      </c>
      <c r="B37" s="12" t="s">
        <v>738</v>
      </c>
    </row>
    <row r="38" spans="1:2" ht="17" x14ac:dyDescent="0.2">
      <c r="A38" t="str">
        <f t="shared" si="0"/>
        <v>11013</v>
      </c>
      <c r="B38" s="12" t="s">
        <v>739</v>
      </c>
    </row>
    <row r="39" spans="1:2" ht="17" x14ac:dyDescent="0.2">
      <c r="A39" t="str">
        <f t="shared" si="0"/>
        <v>11048</v>
      </c>
      <c r="B39" s="12" t="s">
        <v>740</v>
      </c>
    </row>
    <row r="40" spans="1:2" ht="17" x14ac:dyDescent="0.2">
      <c r="A40" t="str">
        <f t="shared" si="0"/>
        <v>11044</v>
      </c>
      <c r="B40" s="12" t="s">
        <v>741</v>
      </c>
    </row>
    <row r="41" spans="1:2" ht="17" x14ac:dyDescent="0.2">
      <c r="A41" t="str">
        <f t="shared" si="0"/>
        <v>11046</v>
      </c>
      <c r="B41" s="12" t="s">
        <v>742</v>
      </c>
    </row>
    <row r="42" spans="1:2" ht="17" x14ac:dyDescent="0.2">
      <c r="A42" t="str">
        <f t="shared" si="0"/>
        <v>11029</v>
      </c>
      <c r="B42" s="12" t="s">
        <v>743</v>
      </c>
    </row>
    <row r="43" spans="1:2" ht="17" x14ac:dyDescent="0.2">
      <c r="A43" t="str">
        <f t="shared" si="0"/>
        <v>11036</v>
      </c>
      <c r="B43" s="12" t="s">
        <v>744</v>
      </c>
    </row>
    <row r="44" spans="1:2" ht="17" x14ac:dyDescent="0.2">
      <c r="A44" t="str">
        <f t="shared" si="0"/>
        <v>11006</v>
      </c>
      <c r="B44" s="12" t="s">
        <v>745</v>
      </c>
    </row>
    <row r="45" spans="1:2" ht="17" x14ac:dyDescent="0.2">
      <c r="A45" t="str">
        <f t="shared" si="0"/>
        <v>11028</v>
      </c>
      <c r="B45" s="12" t="s">
        <v>746</v>
      </c>
    </row>
    <row r="46" spans="1:2" ht="17" x14ac:dyDescent="0.2">
      <c r="A46" t="str">
        <f t="shared" si="0"/>
        <v>11007</v>
      </c>
      <c r="B46" s="12" t="s">
        <v>747</v>
      </c>
    </row>
    <row r="47" spans="1:2" ht="17" x14ac:dyDescent="0.2">
      <c r="A47" t="str">
        <f t="shared" si="0"/>
        <v>11020</v>
      </c>
      <c r="B47" s="12" t="s">
        <v>748</v>
      </c>
    </row>
    <row r="48" spans="1:2" ht="17" x14ac:dyDescent="0.2">
      <c r="A48" t="str">
        <f t="shared" si="0"/>
        <v>11040</v>
      </c>
      <c r="B48" s="12" t="s">
        <v>749</v>
      </c>
    </row>
    <row r="49" spans="1:2" ht="17" x14ac:dyDescent="0.2">
      <c r="A49" t="str">
        <f t="shared" si="0"/>
        <v>11023</v>
      </c>
      <c r="B49" s="12" t="s">
        <v>750</v>
      </c>
    </row>
    <row r="50" spans="1:2" ht="17" x14ac:dyDescent="0.2">
      <c r="A50" t="str">
        <f t="shared" si="0"/>
        <v>11019</v>
      </c>
      <c r="B50" s="12" t="s">
        <v>751</v>
      </c>
    </row>
    <row r="51" spans="1:2" ht="17" x14ac:dyDescent="0.2">
      <c r="A51" t="str">
        <f t="shared" si="0"/>
        <v>11009</v>
      </c>
      <c r="B51" s="12" t="s">
        <v>752</v>
      </c>
    </row>
    <row r="52" spans="1:2" ht="17" x14ac:dyDescent="0.2">
      <c r="A52" t="str">
        <f t="shared" si="0"/>
        <v>12026</v>
      </c>
      <c r="B52" s="12" t="s">
        <v>753</v>
      </c>
    </row>
    <row r="53" spans="1:2" ht="17" x14ac:dyDescent="0.2">
      <c r="A53" t="str">
        <f t="shared" si="0"/>
        <v>12044</v>
      </c>
      <c r="B53" s="12" t="s">
        <v>754</v>
      </c>
    </row>
    <row r="54" spans="1:2" ht="17" x14ac:dyDescent="0.2">
      <c r="A54" t="str">
        <f t="shared" si="0"/>
        <v>12018</v>
      </c>
      <c r="B54" s="12" t="s">
        <v>755</v>
      </c>
    </row>
    <row r="55" spans="1:2" ht="17" x14ac:dyDescent="0.2">
      <c r="A55" t="str">
        <f t="shared" si="0"/>
        <v>12025</v>
      </c>
      <c r="B55" s="12" t="s">
        <v>756</v>
      </c>
    </row>
    <row r="56" spans="1:2" ht="17" x14ac:dyDescent="0.2">
      <c r="A56" t="str">
        <f t="shared" si="0"/>
        <v>12030</v>
      </c>
      <c r="B56" s="12" t="s">
        <v>757</v>
      </c>
    </row>
    <row r="57" spans="1:2" ht="17" x14ac:dyDescent="0.2">
      <c r="A57" t="str">
        <f t="shared" si="0"/>
        <v>12015</v>
      </c>
      <c r="B57" s="12" t="s">
        <v>758</v>
      </c>
    </row>
    <row r="58" spans="1:2" ht="17" x14ac:dyDescent="0.2">
      <c r="A58" t="str">
        <f t="shared" si="0"/>
        <v>12020</v>
      </c>
      <c r="B58" s="12" t="s">
        <v>759</v>
      </c>
    </row>
    <row r="59" spans="1:2" ht="17" x14ac:dyDescent="0.2">
      <c r="A59" t="str">
        <f t="shared" si="0"/>
        <v>12021</v>
      </c>
      <c r="B59" s="12" t="s">
        <v>760</v>
      </c>
    </row>
    <row r="60" spans="1:2" ht="17" x14ac:dyDescent="0.2">
      <c r="A60" t="str">
        <f t="shared" si="0"/>
        <v>12016</v>
      </c>
      <c r="B60" s="12" t="s">
        <v>761</v>
      </c>
    </row>
    <row r="61" spans="1:2" ht="17" x14ac:dyDescent="0.2">
      <c r="A61" t="str">
        <f t="shared" si="0"/>
        <v>12038</v>
      </c>
      <c r="B61" s="12" t="s">
        <v>762</v>
      </c>
    </row>
    <row r="62" spans="1:2" ht="17" x14ac:dyDescent="0.2">
      <c r="A62" t="str">
        <f t="shared" si="0"/>
        <v>12001</v>
      </c>
      <c r="B62" s="12" t="s">
        <v>763</v>
      </c>
    </row>
    <row r="63" spans="1:2" ht="17" x14ac:dyDescent="0.2">
      <c r="A63" t="str">
        <f t="shared" si="0"/>
        <v>12040</v>
      </c>
      <c r="B63" s="12" t="s">
        <v>764</v>
      </c>
    </row>
    <row r="64" spans="1:2" ht="17" x14ac:dyDescent="0.2">
      <c r="A64" t="str">
        <f t="shared" si="0"/>
        <v>12042</v>
      </c>
      <c r="B64" s="12" t="s">
        <v>765</v>
      </c>
    </row>
    <row r="65" spans="1:2" ht="17" x14ac:dyDescent="0.2">
      <c r="A65" t="str">
        <f t="shared" si="0"/>
        <v>12006</v>
      </c>
      <c r="B65" s="12" t="s">
        <v>766</v>
      </c>
    </row>
    <row r="66" spans="1:2" ht="17" x14ac:dyDescent="0.2">
      <c r="A66" t="str">
        <f t="shared" si="0"/>
        <v>12043</v>
      </c>
      <c r="B66" s="12" t="s">
        <v>767</v>
      </c>
    </row>
    <row r="67" spans="1:2" ht="17" x14ac:dyDescent="0.2">
      <c r="A67" t="str">
        <f t="shared" ref="A67:A89" si="1">LEFT(B67, 5)</f>
        <v>12014</v>
      </c>
      <c r="B67" s="12" t="s">
        <v>768</v>
      </c>
    </row>
    <row r="68" spans="1:2" ht="17" x14ac:dyDescent="0.2">
      <c r="A68" t="str">
        <f t="shared" si="1"/>
        <v>12011</v>
      </c>
      <c r="B68" s="12" t="s">
        <v>769</v>
      </c>
    </row>
    <row r="69" spans="1:2" ht="17" x14ac:dyDescent="0.2">
      <c r="A69" t="str">
        <f t="shared" si="1"/>
        <v>12013</v>
      </c>
      <c r="B69" s="12" t="s">
        <v>770</v>
      </c>
    </row>
    <row r="70" spans="1:2" ht="17" x14ac:dyDescent="0.2">
      <c r="A70" t="str">
        <f t="shared" si="1"/>
        <v>12024</v>
      </c>
      <c r="B70" s="12" t="s">
        <v>771</v>
      </c>
    </row>
    <row r="71" spans="1:2" ht="17" x14ac:dyDescent="0.2">
      <c r="A71" t="str">
        <f t="shared" si="1"/>
        <v>12027</v>
      </c>
      <c r="B71" s="12" t="s">
        <v>772</v>
      </c>
    </row>
    <row r="72" spans="1:2" ht="17" x14ac:dyDescent="0.2">
      <c r="A72" t="str">
        <f t="shared" si="1"/>
        <v>12041</v>
      </c>
      <c r="B72" s="12" t="s">
        <v>773</v>
      </c>
    </row>
    <row r="73" spans="1:2" ht="17" x14ac:dyDescent="0.2">
      <c r="A73" t="str">
        <f t="shared" si="1"/>
        <v>12007</v>
      </c>
      <c r="B73" s="12" t="s">
        <v>774</v>
      </c>
    </row>
    <row r="74" spans="1:2" ht="17" x14ac:dyDescent="0.2">
      <c r="A74" t="str">
        <f t="shared" si="1"/>
        <v>12012</v>
      </c>
      <c r="B74" s="12" t="s">
        <v>775</v>
      </c>
    </row>
    <row r="75" spans="1:2" ht="17" x14ac:dyDescent="0.2">
      <c r="A75" t="str">
        <f t="shared" si="1"/>
        <v>12029</v>
      </c>
      <c r="B75" s="12" t="s">
        <v>776</v>
      </c>
    </row>
    <row r="76" spans="1:2" ht="17" x14ac:dyDescent="0.2">
      <c r="A76" t="str">
        <f t="shared" si="1"/>
        <v>13024</v>
      </c>
      <c r="B76" s="12" t="s">
        <v>777</v>
      </c>
    </row>
    <row r="77" spans="1:2" ht="17" x14ac:dyDescent="0.2">
      <c r="A77" t="str">
        <f t="shared" si="1"/>
        <v>13016</v>
      </c>
      <c r="B77" s="12" t="s">
        <v>778</v>
      </c>
    </row>
    <row r="78" spans="1:2" ht="17" x14ac:dyDescent="0.2">
      <c r="A78" t="str">
        <f t="shared" si="1"/>
        <v>13013</v>
      </c>
      <c r="B78" s="12" t="s">
        <v>779</v>
      </c>
    </row>
    <row r="79" spans="1:2" ht="17" x14ac:dyDescent="0.2">
      <c r="A79" t="str">
        <f t="shared" si="1"/>
        <v>13011</v>
      </c>
      <c r="B79" s="12" t="s">
        <v>780</v>
      </c>
    </row>
    <row r="80" spans="1:2" ht="17" x14ac:dyDescent="0.2">
      <c r="A80" t="str">
        <f t="shared" si="1"/>
        <v>13023</v>
      </c>
      <c r="B80" s="12" t="s">
        <v>781</v>
      </c>
    </row>
    <row r="81" spans="1:2" ht="17" x14ac:dyDescent="0.2">
      <c r="A81" t="str">
        <f t="shared" si="1"/>
        <v>13008</v>
      </c>
      <c r="B81" s="12" t="s">
        <v>782</v>
      </c>
    </row>
    <row r="82" spans="1:2" ht="17" x14ac:dyDescent="0.2">
      <c r="A82" t="str">
        <f t="shared" si="1"/>
        <v>13009</v>
      </c>
      <c r="B82" s="12" t="s">
        <v>783</v>
      </c>
    </row>
    <row r="83" spans="1:2" ht="17" x14ac:dyDescent="0.2">
      <c r="A83" t="str">
        <f t="shared" si="1"/>
        <v>13002</v>
      </c>
      <c r="B83" s="12" t="s">
        <v>784</v>
      </c>
    </row>
    <row r="84" spans="1:2" ht="17" x14ac:dyDescent="0.2">
      <c r="A84" t="str">
        <f t="shared" si="1"/>
        <v>13001</v>
      </c>
      <c r="B84" s="12" t="s">
        <v>785</v>
      </c>
    </row>
    <row r="85" spans="1:2" ht="17" x14ac:dyDescent="0.2">
      <c r="A85" t="str">
        <f t="shared" si="1"/>
        <v>13020</v>
      </c>
      <c r="B85" s="12" t="s">
        <v>786</v>
      </c>
    </row>
    <row r="86" spans="1:2" ht="17" x14ac:dyDescent="0.2">
      <c r="A86" t="str">
        <f t="shared" si="1"/>
        <v>13021</v>
      </c>
      <c r="B86" s="12" t="s">
        <v>787</v>
      </c>
    </row>
    <row r="87" spans="1:2" ht="17" x14ac:dyDescent="0.2">
      <c r="A87" t="str">
        <f t="shared" si="1"/>
        <v>13004</v>
      </c>
      <c r="B87" s="12" t="s">
        <v>788</v>
      </c>
    </row>
    <row r="88" spans="1:2" ht="17" x14ac:dyDescent="0.2">
      <c r="A88" t="str">
        <f t="shared" si="1"/>
        <v>13019</v>
      </c>
      <c r="B88" s="12" t="s">
        <v>789</v>
      </c>
    </row>
    <row r="89" spans="1:2" ht="17" x14ac:dyDescent="0.2">
      <c r="A89" t="str">
        <f t="shared" si="1"/>
        <v>13006</v>
      </c>
      <c r="B89" s="12" t="s">
        <v>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C2A5-A937-F147-92EE-074F3D5A9EEC}">
  <dimension ref="A1:B89"/>
  <sheetViews>
    <sheetView workbookViewId="0">
      <selection activeCell="A2" sqref="A2"/>
    </sheetView>
  </sheetViews>
  <sheetFormatPr baseColWidth="10" defaultRowHeight="13" x14ac:dyDescent="0.15"/>
  <cols>
    <col min="2" max="2" width="91.6640625" bestFit="1" customWidth="1"/>
  </cols>
  <sheetData>
    <row r="1" spans="1:2" x14ac:dyDescent="0.15">
      <c r="A1" s="11" t="s">
        <v>792</v>
      </c>
      <c r="B1" s="11" t="s">
        <v>705</v>
      </c>
    </row>
    <row r="2" spans="1:2" ht="17" x14ac:dyDescent="0.2">
      <c r="A2" t="str">
        <f>LEFT(B2, 5)</f>
        <v>10039</v>
      </c>
      <c r="B2" s="12" t="s">
        <v>614</v>
      </c>
    </row>
    <row r="3" spans="1:2" ht="17" x14ac:dyDescent="0.2">
      <c r="A3" t="str">
        <f t="shared" ref="A3:A66" si="0">LEFT(B3, 5)</f>
        <v>10048</v>
      </c>
      <c r="B3" s="12" t="s">
        <v>615</v>
      </c>
    </row>
    <row r="4" spans="1:2" ht="17" x14ac:dyDescent="0.2">
      <c r="A4" t="str">
        <f t="shared" si="0"/>
        <v>10006</v>
      </c>
      <c r="B4" s="12" t="s">
        <v>616</v>
      </c>
    </row>
    <row r="5" spans="1:2" ht="17" x14ac:dyDescent="0.2">
      <c r="A5" t="str">
        <f t="shared" si="0"/>
        <v>10007</v>
      </c>
      <c r="B5" s="12" t="s">
        <v>617</v>
      </c>
    </row>
    <row r="6" spans="1:2" ht="17" x14ac:dyDescent="0.2">
      <c r="A6" t="str">
        <f t="shared" si="0"/>
        <v>10017</v>
      </c>
      <c r="B6" s="12" t="s">
        <v>618</v>
      </c>
    </row>
    <row r="7" spans="1:2" ht="17" x14ac:dyDescent="0.2">
      <c r="A7" t="str">
        <f t="shared" si="0"/>
        <v>10010</v>
      </c>
      <c r="B7" s="12" t="s">
        <v>619</v>
      </c>
    </row>
    <row r="8" spans="1:2" ht="17" x14ac:dyDescent="0.2">
      <c r="A8" t="str">
        <f t="shared" si="0"/>
        <v>10040</v>
      </c>
      <c r="B8" s="12" t="s">
        <v>620</v>
      </c>
    </row>
    <row r="9" spans="1:2" ht="17" x14ac:dyDescent="0.2">
      <c r="A9" t="str">
        <f t="shared" si="0"/>
        <v>10030</v>
      </c>
      <c r="B9" s="12" t="s">
        <v>621</v>
      </c>
    </row>
    <row r="10" spans="1:2" ht="17" x14ac:dyDescent="0.2">
      <c r="A10" t="str">
        <f t="shared" si="0"/>
        <v>10043</v>
      </c>
      <c r="B10" s="12" t="s">
        <v>622</v>
      </c>
    </row>
    <row r="11" spans="1:2" ht="17" x14ac:dyDescent="0.2">
      <c r="A11" t="str">
        <f t="shared" si="0"/>
        <v>10023</v>
      </c>
      <c r="B11" s="12" t="s">
        <v>623</v>
      </c>
    </row>
    <row r="12" spans="1:2" ht="17" x14ac:dyDescent="0.2">
      <c r="A12" t="str">
        <f t="shared" si="0"/>
        <v>10012</v>
      </c>
      <c r="B12" s="12" t="s">
        <v>624</v>
      </c>
    </row>
    <row r="13" spans="1:2" ht="17" x14ac:dyDescent="0.2">
      <c r="A13" t="str">
        <f t="shared" si="0"/>
        <v>10008</v>
      </c>
      <c r="B13" s="12" t="s">
        <v>625</v>
      </c>
    </row>
    <row r="14" spans="1:2" ht="17" x14ac:dyDescent="0.2">
      <c r="A14" t="str">
        <f t="shared" si="0"/>
        <v>10013</v>
      </c>
      <c r="B14" s="12" t="s">
        <v>626</v>
      </c>
    </row>
    <row r="15" spans="1:2" ht="17" x14ac:dyDescent="0.2">
      <c r="A15" t="str">
        <f t="shared" si="0"/>
        <v>10003</v>
      </c>
      <c r="B15" s="12" t="s">
        <v>627</v>
      </c>
    </row>
    <row r="16" spans="1:2" ht="17" x14ac:dyDescent="0.2">
      <c r="A16" t="str">
        <f t="shared" si="0"/>
        <v>10028</v>
      </c>
      <c r="B16" s="12" t="s">
        <v>628</v>
      </c>
    </row>
    <row r="17" spans="1:2" ht="17" x14ac:dyDescent="0.2">
      <c r="A17" t="str">
        <f t="shared" si="0"/>
        <v>10024</v>
      </c>
      <c r="B17" s="12" t="s">
        <v>629</v>
      </c>
    </row>
    <row r="18" spans="1:2" ht="17" x14ac:dyDescent="0.2">
      <c r="A18" t="str">
        <f t="shared" si="0"/>
        <v>10050</v>
      </c>
      <c r="B18" s="12" t="s">
        <v>630</v>
      </c>
    </row>
    <row r="19" spans="1:2" ht="17" x14ac:dyDescent="0.2">
      <c r="A19" t="str">
        <f t="shared" si="0"/>
        <v>10025</v>
      </c>
      <c r="B19" s="12" t="s">
        <v>631</v>
      </c>
    </row>
    <row r="20" spans="1:2" ht="17" x14ac:dyDescent="0.2">
      <c r="A20" t="str">
        <f t="shared" si="0"/>
        <v>10019</v>
      </c>
      <c r="B20" s="12" t="s">
        <v>632</v>
      </c>
    </row>
    <row r="21" spans="1:2" ht="17" x14ac:dyDescent="0.2">
      <c r="A21" t="str">
        <f t="shared" si="0"/>
        <v>10033</v>
      </c>
      <c r="B21" s="12" t="s">
        <v>633</v>
      </c>
    </row>
    <row r="22" spans="1:2" ht="17" x14ac:dyDescent="0.2">
      <c r="A22" t="str">
        <f t="shared" si="0"/>
        <v>10032</v>
      </c>
      <c r="B22" s="12" t="s">
        <v>634</v>
      </c>
    </row>
    <row r="23" spans="1:2" ht="17" x14ac:dyDescent="0.2">
      <c r="A23" t="str">
        <f t="shared" si="0"/>
        <v>10049</v>
      </c>
      <c r="B23" s="12" t="s">
        <v>635</v>
      </c>
    </row>
    <row r="24" spans="1:2" ht="17" x14ac:dyDescent="0.2">
      <c r="A24" t="str">
        <f t="shared" si="0"/>
        <v>10004</v>
      </c>
      <c r="B24" s="12" t="s">
        <v>636</v>
      </c>
    </row>
    <row r="25" spans="1:2" ht="17" x14ac:dyDescent="0.2">
      <c r="A25" t="str">
        <f t="shared" si="0"/>
        <v>10022</v>
      </c>
      <c r="B25" s="12" t="s">
        <v>637</v>
      </c>
    </row>
    <row r="26" spans="1:2" ht="17" x14ac:dyDescent="0.2">
      <c r="A26" t="str">
        <f t="shared" si="0"/>
        <v>10036</v>
      </c>
      <c r="B26" s="12" t="s">
        <v>638</v>
      </c>
    </row>
    <row r="27" spans="1:2" ht="17" x14ac:dyDescent="0.2">
      <c r="A27" t="str">
        <f t="shared" si="0"/>
        <v>11030</v>
      </c>
      <c r="B27" s="12" t="s">
        <v>639</v>
      </c>
    </row>
    <row r="28" spans="1:2" ht="17" x14ac:dyDescent="0.2">
      <c r="A28" t="str">
        <f t="shared" si="0"/>
        <v>11049</v>
      </c>
      <c r="B28" s="12" t="s">
        <v>640</v>
      </c>
    </row>
    <row r="29" spans="1:2" ht="17" x14ac:dyDescent="0.2">
      <c r="A29" t="str">
        <f t="shared" si="0"/>
        <v>11004</v>
      </c>
      <c r="B29" s="12" t="s">
        <v>641</v>
      </c>
    </row>
    <row r="30" spans="1:2" ht="17" x14ac:dyDescent="0.2">
      <c r="A30" t="str">
        <f t="shared" si="0"/>
        <v>11005</v>
      </c>
      <c r="B30" s="12" t="s">
        <v>642</v>
      </c>
    </row>
    <row r="31" spans="1:2" ht="17" x14ac:dyDescent="0.2">
      <c r="A31" t="str">
        <f t="shared" si="0"/>
        <v>11014</v>
      </c>
      <c r="B31" s="12" t="s">
        <v>643</v>
      </c>
    </row>
    <row r="32" spans="1:2" ht="17" x14ac:dyDescent="0.2">
      <c r="A32" t="str">
        <f t="shared" si="0"/>
        <v>11033</v>
      </c>
      <c r="B32" s="12" t="s">
        <v>644</v>
      </c>
    </row>
    <row r="33" spans="1:2" ht="17" x14ac:dyDescent="0.2">
      <c r="A33" t="str">
        <f t="shared" si="0"/>
        <v>11025</v>
      </c>
      <c r="B33" s="12" t="s">
        <v>645</v>
      </c>
    </row>
    <row r="34" spans="1:2" ht="17" x14ac:dyDescent="0.2">
      <c r="A34" t="str">
        <f t="shared" si="0"/>
        <v>11039</v>
      </c>
      <c r="B34" s="12" t="s">
        <v>646</v>
      </c>
    </row>
    <row r="35" spans="1:2" ht="17" x14ac:dyDescent="0.2">
      <c r="A35" t="str">
        <f t="shared" si="0"/>
        <v>11031</v>
      </c>
      <c r="B35" s="12" t="s">
        <v>647</v>
      </c>
    </row>
    <row r="36" spans="1:2" ht="17" x14ac:dyDescent="0.2">
      <c r="A36" t="str">
        <f t="shared" si="0"/>
        <v>11027</v>
      </c>
      <c r="B36" s="12" t="s">
        <v>648</v>
      </c>
    </row>
    <row r="37" spans="1:2" ht="17" x14ac:dyDescent="0.2">
      <c r="A37" t="str">
        <f t="shared" si="0"/>
        <v>11024</v>
      </c>
      <c r="B37" s="12" t="s">
        <v>649</v>
      </c>
    </row>
    <row r="38" spans="1:2" ht="17" x14ac:dyDescent="0.2">
      <c r="A38" t="str">
        <f t="shared" si="0"/>
        <v>11043</v>
      </c>
      <c r="B38" s="12" t="s">
        <v>650</v>
      </c>
    </row>
    <row r="39" spans="1:2" ht="17" x14ac:dyDescent="0.2">
      <c r="A39" t="str">
        <f t="shared" si="0"/>
        <v>11015</v>
      </c>
      <c r="B39" s="12" t="s">
        <v>651</v>
      </c>
    </row>
    <row r="40" spans="1:2" ht="17" x14ac:dyDescent="0.2">
      <c r="A40" t="str">
        <f t="shared" si="0"/>
        <v>11003</v>
      </c>
      <c r="B40" s="12" t="s">
        <v>652</v>
      </c>
    </row>
    <row r="41" spans="1:2" ht="17" x14ac:dyDescent="0.2">
      <c r="A41" t="str">
        <f t="shared" si="0"/>
        <v>11038</v>
      </c>
      <c r="B41" s="12" t="s">
        <v>653</v>
      </c>
    </row>
    <row r="42" spans="1:2" ht="17" x14ac:dyDescent="0.2">
      <c r="A42" t="str">
        <f t="shared" si="0"/>
        <v>11010</v>
      </c>
      <c r="B42" s="12" t="s">
        <v>654</v>
      </c>
    </row>
    <row r="43" spans="1:2" ht="17" x14ac:dyDescent="0.2">
      <c r="A43" t="str">
        <f t="shared" si="0"/>
        <v>11035</v>
      </c>
      <c r="B43" s="12" t="s">
        <v>655</v>
      </c>
    </row>
    <row r="44" spans="1:2" ht="17" x14ac:dyDescent="0.2">
      <c r="A44" t="str">
        <f t="shared" si="0"/>
        <v>11032</v>
      </c>
      <c r="B44" s="12" t="s">
        <v>656</v>
      </c>
    </row>
    <row r="45" spans="1:2" ht="17" x14ac:dyDescent="0.2">
      <c r="A45" t="str">
        <f t="shared" si="0"/>
        <v>11022</v>
      </c>
      <c r="B45" s="12" t="s">
        <v>657</v>
      </c>
    </row>
    <row r="46" spans="1:2" ht="17" x14ac:dyDescent="0.2">
      <c r="A46" t="str">
        <f t="shared" si="0"/>
        <v>11037</v>
      </c>
      <c r="B46" s="12" t="s">
        <v>658</v>
      </c>
    </row>
    <row r="47" spans="1:2" ht="17" x14ac:dyDescent="0.2">
      <c r="A47" t="str">
        <f t="shared" si="0"/>
        <v>11047</v>
      </c>
      <c r="B47" s="12" t="s">
        <v>659</v>
      </c>
    </row>
    <row r="48" spans="1:2" ht="17" x14ac:dyDescent="0.2">
      <c r="A48" t="str">
        <f t="shared" si="0"/>
        <v>11008</v>
      </c>
      <c r="B48" s="12" t="s">
        <v>660</v>
      </c>
    </row>
    <row r="49" spans="1:2" ht="17" x14ac:dyDescent="0.2">
      <c r="A49" t="str">
        <f t="shared" si="0"/>
        <v>11050</v>
      </c>
      <c r="B49" s="12" t="s">
        <v>661</v>
      </c>
    </row>
    <row r="50" spans="1:2" ht="17" x14ac:dyDescent="0.2">
      <c r="A50" t="str">
        <f t="shared" si="0"/>
        <v>11016</v>
      </c>
      <c r="B50" s="12" t="s">
        <v>662</v>
      </c>
    </row>
    <row r="51" spans="1:2" ht="17" x14ac:dyDescent="0.2">
      <c r="A51" t="str">
        <f t="shared" si="0"/>
        <v>11042</v>
      </c>
      <c r="B51" s="12" t="s">
        <v>663</v>
      </c>
    </row>
    <row r="52" spans="1:2" ht="17" x14ac:dyDescent="0.2">
      <c r="A52" t="str">
        <f t="shared" si="0"/>
        <v>12002</v>
      </c>
      <c r="B52" s="12" t="s">
        <v>664</v>
      </c>
    </row>
    <row r="53" spans="1:2" ht="17" x14ac:dyDescent="0.2">
      <c r="A53" t="str">
        <f t="shared" si="0"/>
        <v>12033</v>
      </c>
      <c r="B53" s="12" t="s">
        <v>665</v>
      </c>
    </row>
    <row r="54" spans="1:2" ht="17" x14ac:dyDescent="0.2">
      <c r="A54" t="str">
        <f t="shared" si="0"/>
        <v>12047</v>
      </c>
      <c r="B54" s="12" t="s">
        <v>666</v>
      </c>
    </row>
    <row r="55" spans="1:2" ht="17" x14ac:dyDescent="0.2">
      <c r="A55" t="str">
        <f t="shared" si="0"/>
        <v>12010</v>
      </c>
      <c r="B55" s="12" t="s">
        <v>667</v>
      </c>
    </row>
    <row r="56" spans="1:2" ht="17" x14ac:dyDescent="0.2">
      <c r="A56" t="str">
        <f t="shared" si="0"/>
        <v>12017</v>
      </c>
      <c r="B56" s="12" t="s">
        <v>668</v>
      </c>
    </row>
    <row r="57" spans="1:2" ht="17" x14ac:dyDescent="0.2">
      <c r="A57" t="str">
        <f t="shared" si="0"/>
        <v>12046</v>
      </c>
      <c r="B57" s="12" t="s">
        <v>669</v>
      </c>
    </row>
    <row r="58" spans="1:2" ht="17" x14ac:dyDescent="0.2">
      <c r="A58" t="str">
        <f t="shared" si="0"/>
        <v>12048</v>
      </c>
      <c r="B58" s="12" t="s">
        <v>670</v>
      </c>
    </row>
    <row r="59" spans="1:2" ht="17" x14ac:dyDescent="0.2">
      <c r="A59" t="str">
        <f t="shared" si="0"/>
        <v>12035</v>
      </c>
      <c r="B59" s="12" t="s">
        <v>671</v>
      </c>
    </row>
    <row r="60" spans="1:2" ht="17" x14ac:dyDescent="0.2">
      <c r="A60" t="str">
        <f t="shared" si="0"/>
        <v>12034</v>
      </c>
      <c r="B60" s="12" t="s">
        <v>672</v>
      </c>
    </row>
    <row r="61" spans="1:2" ht="17" x14ac:dyDescent="0.2">
      <c r="A61" t="str">
        <f t="shared" si="0"/>
        <v>12004</v>
      </c>
      <c r="B61" s="12" t="s">
        <v>673</v>
      </c>
    </row>
    <row r="62" spans="1:2" ht="17" x14ac:dyDescent="0.2">
      <c r="A62" t="str">
        <f t="shared" si="0"/>
        <v>12003</v>
      </c>
      <c r="B62" s="12" t="s">
        <v>674</v>
      </c>
    </row>
    <row r="63" spans="1:2" ht="17" x14ac:dyDescent="0.2">
      <c r="A63" t="str">
        <f t="shared" si="0"/>
        <v>12036</v>
      </c>
      <c r="B63" s="12" t="s">
        <v>675</v>
      </c>
    </row>
    <row r="64" spans="1:2" ht="17" x14ac:dyDescent="0.2">
      <c r="A64" t="str">
        <f t="shared" si="0"/>
        <v>12037</v>
      </c>
      <c r="B64" s="12" t="s">
        <v>676</v>
      </c>
    </row>
    <row r="65" spans="1:2" ht="17" x14ac:dyDescent="0.2">
      <c r="A65" t="str">
        <f t="shared" si="0"/>
        <v>12032</v>
      </c>
      <c r="B65" s="12" t="s">
        <v>677</v>
      </c>
    </row>
    <row r="66" spans="1:2" ht="17" x14ac:dyDescent="0.2">
      <c r="A66" t="str">
        <f t="shared" si="0"/>
        <v>12005</v>
      </c>
      <c r="B66" s="12" t="s">
        <v>678</v>
      </c>
    </row>
    <row r="67" spans="1:2" ht="17" x14ac:dyDescent="0.2">
      <c r="A67" t="str">
        <f t="shared" ref="A67:A89" si="1">LEFT(B67, 5)</f>
        <v>12023</v>
      </c>
      <c r="B67" s="12" t="s">
        <v>679</v>
      </c>
    </row>
    <row r="68" spans="1:2" ht="17" x14ac:dyDescent="0.2">
      <c r="A68" t="str">
        <f t="shared" si="1"/>
        <v>12022</v>
      </c>
      <c r="B68" s="12" t="s">
        <v>680</v>
      </c>
    </row>
    <row r="69" spans="1:2" ht="17" x14ac:dyDescent="0.2">
      <c r="A69" t="str">
        <f t="shared" si="1"/>
        <v>12028</v>
      </c>
      <c r="B69" s="12" t="s">
        <v>681</v>
      </c>
    </row>
    <row r="70" spans="1:2" ht="17" x14ac:dyDescent="0.2">
      <c r="A70" t="str">
        <f t="shared" si="1"/>
        <v>12008</v>
      </c>
      <c r="B70" s="12" t="s">
        <v>682</v>
      </c>
    </row>
    <row r="71" spans="1:2" ht="17" x14ac:dyDescent="0.2">
      <c r="A71" t="str">
        <f t="shared" si="1"/>
        <v>12039</v>
      </c>
      <c r="B71" s="12" t="s">
        <v>683</v>
      </c>
    </row>
    <row r="72" spans="1:2" ht="17" x14ac:dyDescent="0.2">
      <c r="A72" t="str">
        <f t="shared" si="1"/>
        <v>12031</v>
      </c>
      <c r="B72" s="12" t="s">
        <v>684</v>
      </c>
    </row>
    <row r="73" spans="1:2" ht="17" x14ac:dyDescent="0.2">
      <c r="A73" t="str">
        <f t="shared" si="1"/>
        <v>12019</v>
      </c>
      <c r="B73" s="12" t="s">
        <v>685</v>
      </c>
    </row>
    <row r="74" spans="1:2" ht="17" x14ac:dyDescent="0.2">
      <c r="A74" t="str">
        <f t="shared" si="1"/>
        <v>12045</v>
      </c>
      <c r="B74" s="12" t="s">
        <v>686</v>
      </c>
    </row>
    <row r="75" spans="1:2" ht="17" x14ac:dyDescent="0.2">
      <c r="A75" t="str">
        <f t="shared" si="1"/>
        <v>12009</v>
      </c>
      <c r="B75" s="12" t="s">
        <v>687</v>
      </c>
    </row>
    <row r="76" spans="1:2" ht="17" x14ac:dyDescent="0.2">
      <c r="A76" t="str">
        <f t="shared" si="1"/>
        <v>13022</v>
      </c>
      <c r="B76" s="12" t="s">
        <v>688</v>
      </c>
    </row>
    <row r="77" spans="1:2" ht="17" x14ac:dyDescent="0.2">
      <c r="A77" t="str">
        <f t="shared" si="1"/>
        <v>13010</v>
      </c>
      <c r="B77" s="12" t="s">
        <v>689</v>
      </c>
    </row>
    <row r="78" spans="1:2" ht="17" x14ac:dyDescent="0.2">
      <c r="A78" t="str">
        <f t="shared" si="1"/>
        <v>13015</v>
      </c>
      <c r="B78" s="12" t="s">
        <v>690</v>
      </c>
    </row>
    <row r="79" spans="1:2" ht="17" x14ac:dyDescent="0.2">
      <c r="A79" t="str">
        <f t="shared" si="1"/>
        <v>13005</v>
      </c>
      <c r="B79" s="12" t="s">
        <v>691</v>
      </c>
    </row>
    <row r="80" spans="1:2" ht="17" x14ac:dyDescent="0.2">
      <c r="A80" t="str">
        <f t="shared" si="1"/>
        <v>13027</v>
      </c>
      <c r="B80" s="12" t="s">
        <v>692</v>
      </c>
    </row>
    <row r="81" spans="1:2" ht="17" x14ac:dyDescent="0.2">
      <c r="A81" t="str">
        <f t="shared" si="1"/>
        <v>13007</v>
      </c>
      <c r="B81" s="12" t="s">
        <v>693</v>
      </c>
    </row>
    <row r="82" spans="1:2" ht="17" x14ac:dyDescent="0.2">
      <c r="A82" t="str">
        <f t="shared" si="1"/>
        <v>13012</v>
      </c>
      <c r="B82" s="12" t="s">
        <v>694</v>
      </c>
    </row>
    <row r="83" spans="1:2" ht="17" x14ac:dyDescent="0.2">
      <c r="A83" t="str">
        <f t="shared" si="1"/>
        <v>13017</v>
      </c>
      <c r="B83" s="12" t="s">
        <v>695</v>
      </c>
    </row>
    <row r="84" spans="1:2" ht="17" x14ac:dyDescent="0.2">
      <c r="A84" t="str">
        <f t="shared" si="1"/>
        <v>13018</v>
      </c>
      <c r="B84" s="12" t="s">
        <v>696</v>
      </c>
    </row>
    <row r="85" spans="1:2" ht="17" x14ac:dyDescent="0.2">
      <c r="A85" t="str">
        <f t="shared" si="1"/>
        <v>13025</v>
      </c>
      <c r="B85" s="12" t="s">
        <v>697</v>
      </c>
    </row>
    <row r="86" spans="1:2" ht="17" x14ac:dyDescent="0.2">
      <c r="A86" t="str">
        <f t="shared" si="1"/>
        <v>13014</v>
      </c>
      <c r="B86" s="12" t="s">
        <v>698</v>
      </c>
    </row>
    <row r="87" spans="1:2" ht="17" x14ac:dyDescent="0.2">
      <c r="A87" t="str">
        <f t="shared" si="1"/>
        <v>13003</v>
      </c>
      <c r="B87" s="12" t="s">
        <v>699</v>
      </c>
    </row>
    <row r="88" spans="1:2" ht="17" x14ac:dyDescent="0.2">
      <c r="A88" t="str">
        <f t="shared" si="1"/>
        <v>13028</v>
      </c>
      <c r="B88" s="12" t="s">
        <v>700</v>
      </c>
    </row>
    <row r="89" spans="1:2" ht="17" x14ac:dyDescent="0.2">
      <c r="A89" t="str">
        <f t="shared" si="1"/>
        <v>13026</v>
      </c>
      <c r="B89" s="12" t="s">
        <v>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Carnatic</vt:lpstr>
      <vt:lpstr>Fold1</vt:lpstr>
      <vt:lpstr>Fold2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Satyajeet Prabhu</cp:lastModifiedBy>
  <cp:revision>1</cp:revision>
  <dcterms:modified xsi:type="dcterms:W3CDTF">2025-05-11T22:45:41Z</dcterms:modified>
  <dc:language>en-GB</dc:language>
</cp:coreProperties>
</file>