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 activeTab="1"/>
  </bookViews>
  <sheets>
    <sheet name="Pipe CLuster COF" sheetId="9" r:id="rId1"/>
    <sheet name="Toxic" sheetId="6" r:id="rId2"/>
    <sheet name="flammable" sheetId="8" r:id="rId3"/>
  </sheets>
  <calcPr calcId="124519"/>
</workbook>
</file>

<file path=xl/calcChain.xml><?xml version="1.0" encoding="utf-8"?>
<calcChain xmlns="http://schemas.openxmlformats.org/spreadsheetml/2006/main">
  <c r="E10" i="8"/>
  <c r="B10" s="1"/>
  <c r="B49"/>
  <c r="B77"/>
  <c r="E76"/>
  <c r="B76"/>
  <c r="E69"/>
  <c r="D69"/>
  <c r="C69"/>
  <c r="B69"/>
  <c r="E64"/>
  <c r="D64"/>
  <c r="C64"/>
  <c r="B64"/>
  <c r="E63"/>
  <c r="D63"/>
  <c r="C63"/>
  <c r="B63"/>
  <c r="E60"/>
  <c r="D60"/>
  <c r="C60"/>
  <c r="B60"/>
  <c r="E59"/>
  <c r="D59"/>
  <c r="C59"/>
  <c r="B59"/>
  <c r="D54"/>
  <c r="E53"/>
  <c r="E54" s="1"/>
  <c r="D53"/>
  <c r="C53"/>
  <c r="C54" s="1"/>
  <c r="B53"/>
  <c r="E51"/>
  <c r="E50" s="1"/>
  <c r="D51"/>
  <c r="C51"/>
  <c r="D50"/>
  <c r="C50"/>
  <c r="B50"/>
  <c r="E46"/>
  <c r="D46"/>
  <c r="C46"/>
  <c r="B46"/>
  <c r="B43"/>
  <c r="E40"/>
  <c r="E44" s="1"/>
  <c r="E38"/>
  <c r="D38"/>
  <c r="C38"/>
  <c r="B38"/>
  <c r="E48" i="6"/>
  <c r="D48"/>
  <c r="C48"/>
  <c r="B48"/>
  <c r="E44"/>
  <c r="E45" s="1"/>
  <c r="D44"/>
  <c r="D45" s="1"/>
  <c r="C44"/>
  <c r="C45" s="1"/>
  <c r="B44"/>
  <c r="E42"/>
  <c r="E41" s="1"/>
  <c r="D42"/>
  <c r="C42"/>
  <c r="D41"/>
  <c r="C41"/>
  <c r="B41"/>
  <c r="E37"/>
  <c r="D37"/>
  <c r="C37"/>
  <c r="B37"/>
  <c r="E31"/>
  <c r="B35" s="1"/>
  <c r="E29"/>
  <c r="D29"/>
  <c r="C29"/>
  <c r="B29"/>
  <c r="E10"/>
  <c r="B40" s="1"/>
  <c r="B42" s="1"/>
  <c r="B44" i="8" l="1"/>
  <c r="B41"/>
  <c r="E66"/>
  <c r="E74" s="1"/>
  <c r="E58"/>
  <c r="E61" s="1"/>
  <c r="E71" s="1"/>
  <c r="C58"/>
  <c r="C62" s="1"/>
  <c r="C72" s="1"/>
  <c r="D43"/>
  <c r="D44"/>
  <c r="C43"/>
  <c r="C44"/>
  <c r="B54"/>
  <c r="B58" s="1"/>
  <c r="B66" s="1"/>
  <c r="B74" s="1"/>
  <c r="E43"/>
  <c r="D58"/>
  <c r="D66" s="1"/>
  <c r="D74" s="1"/>
  <c r="B51"/>
  <c r="B32" i="6"/>
  <c r="E35"/>
  <c r="B45"/>
  <c r="B49"/>
  <c r="C35"/>
  <c r="E34"/>
  <c r="C34"/>
  <c r="D34"/>
  <c r="D35"/>
  <c r="B10"/>
  <c r="B34"/>
  <c r="D65" i="8" l="1"/>
  <c r="D73" s="1"/>
  <c r="D79" s="1"/>
  <c r="E65"/>
  <c r="E73" s="1"/>
  <c r="E79" s="1"/>
  <c r="D61"/>
  <c r="D71" s="1"/>
  <c r="E62"/>
  <c r="E72" s="1"/>
  <c r="E78" s="1"/>
  <c r="C61"/>
  <c r="C71" s="1"/>
  <c r="C78" s="1"/>
  <c r="D62"/>
  <c r="D72" s="1"/>
  <c r="D78" s="1"/>
  <c r="C66"/>
  <c r="C74" s="1"/>
  <c r="C65"/>
  <c r="C73" s="1"/>
  <c r="C79" s="1"/>
  <c r="B61"/>
  <c r="B71" s="1"/>
  <c r="B65"/>
  <c r="B73" s="1"/>
  <c r="B79" s="1"/>
  <c r="B62"/>
  <c r="B72" s="1"/>
  <c r="B81" l="1"/>
  <c r="B78"/>
  <c r="B80" s="1"/>
</calcChain>
</file>

<file path=xl/sharedStrings.xml><?xml version="1.0" encoding="utf-8"?>
<sst xmlns="http://schemas.openxmlformats.org/spreadsheetml/2006/main" count="416" uniqueCount="195">
  <si>
    <t>Toxic Conequence Area Calculation</t>
  </si>
  <si>
    <t>USER DATA</t>
  </si>
  <si>
    <t xml:space="preserve">Fluid </t>
  </si>
  <si>
    <t>Note#1</t>
  </si>
  <si>
    <t>Applicable Fluid as per Table 4.1</t>
  </si>
  <si>
    <t>Operating
Temperature Ts K</t>
  </si>
  <si>
    <t>Note#2</t>
  </si>
  <si>
    <r>
      <rPr>
        <b/>
        <sz val="11"/>
        <color theme="1"/>
        <rFont val="Calibri"/>
        <charset val="134"/>
        <scheme val="minor"/>
      </rPr>
      <t xml:space="preserve">Normal Boiling Point  </t>
    </r>
    <r>
      <rPr>
        <b/>
        <vertAlign val="superscript"/>
        <sz val="11"/>
        <color theme="1"/>
        <rFont val="Calibri"/>
        <charset val="134"/>
        <scheme val="minor"/>
      </rPr>
      <t>0</t>
    </r>
    <r>
      <rPr>
        <b/>
        <sz val="11"/>
        <color theme="1"/>
        <rFont val="Calibri"/>
        <charset val="134"/>
        <scheme val="minor"/>
      </rPr>
      <t>C</t>
    </r>
  </si>
  <si>
    <t>In case if fluid is not avaialable in Table4.1
Note#2</t>
  </si>
  <si>
    <t>Operating
Pressure Ps KPa</t>
  </si>
  <si>
    <t>Note#3</t>
  </si>
  <si>
    <t>Molecular Weight</t>
  </si>
  <si>
    <t>Component Type</t>
  </si>
  <si>
    <t>Fluid Phase
 stored</t>
  </si>
  <si>
    <t>Inner diameter of 
Component, d mm</t>
  </si>
  <si>
    <t>Note#5</t>
  </si>
  <si>
    <t>Assumed default rating C for both detection and isolation systems.</t>
  </si>
  <si>
    <t>Fluid Phase at 
released condition</t>
  </si>
  <si>
    <t>Length of Component, l mm</t>
  </si>
  <si>
    <t>Note#6</t>
  </si>
  <si>
    <t xml:space="preserve">Representative fluid selected based on user data and respective values automatically added from Table 4.2 M </t>
  </si>
  <si>
    <t>Mass of Inventory
 Fluid Minv</t>
  </si>
  <si>
    <t xml:space="preserve"> Mcomp (default)
kg </t>
  </si>
  <si>
    <t>Mass of Fluid in
component Mcomp</t>
  </si>
  <si>
    <t>Note#7</t>
  </si>
  <si>
    <t>Fluid Model based on Ffuid Phase stored and at released condition user data and Table4.3</t>
  </si>
  <si>
    <t>Detection System Rating</t>
  </si>
  <si>
    <t xml:space="preserve"> C (default)</t>
  </si>
  <si>
    <t>Table 4.5
Note#5</t>
  </si>
  <si>
    <t>Isolation  System Rating</t>
  </si>
  <si>
    <t>Note#8</t>
  </si>
  <si>
    <t>Obtain values as mentioned- c,d values from Table 4.11 if #B14 is HF acid, H2S 
e,f values from Table 4.12M if #B14 is Ammonia, Chlorine or else
e,f values from Table 4.13M 
ld tox value required which is to be calculated in further steps</t>
  </si>
  <si>
    <t>Patm</t>
  </si>
  <si>
    <t>KPa (default)</t>
  </si>
  <si>
    <t>Defined data from Tables &amp; Methodology</t>
  </si>
  <si>
    <t>Note#9</t>
  </si>
  <si>
    <t>mm, d1, d2, d3 fixed values, d4= minimum of diameter of pipe or 406 mm
 remaining select as 0</t>
  </si>
  <si>
    <t>Representative Fluid</t>
  </si>
  <si>
    <t>Table 4.2 M
Note#6</t>
  </si>
  <si>
    <t>c/e</t>
  </si>
  <si>
    <t>Note#10</t>
  </si>
  <si>
    <t>Refer Part-2, Table 3.1 based on component type and dimension</t>
  </si>
  <si>
    <t>Fluid  Model</t>
  </si>
  <si>
    <t>Table 4.3
Note#7</t>
  </si>
  <si>
    <t>d/f</t>
  </si>
  <si>
    <t>Note#11</t>
  </si>
  <si>
    <t>Refer Table 4.6 and #E9, #E10</t>
  </si>
  <si>
    <t>MW</t>
  </si>
  <si>
    <t>Note#6
Table 4.2M</t>
  </si>
  <si>
    <t>d1</t>
  </si>
  <si>
    <t>Note#12</t>
  </si>
  <si>
    <t>If Fluid model is liquid use the formula to obtain release otherwise for release rate of vapour calculation</t>
  </si>
  <si>
    <t>Density D kg/m3</t>
  </si>
  <si>
    <t>d2</t>
  </si>
  <si>
    <t>Note#13</t>
  </si>
  <si>
    <t>Based on operating temperature and 4.2 M</t>
  </si>
  <si>
    <t>NBP 0C</t>
  </si>
  <si>
    <t>d3</t>
  </si>
  <si>
    <t>Note#14</t>
  </si>
  <si>
    <t xml:space="preserve"> If fluid model is vapour
 Based on Ps Ptrans values select which  release rate to be used </t>
  </si>
  <si>
    <t>Ideal gas equation</t>
  </si>
  <si>
    <t>d4</t>
  </si>
  <si>
    <t>Note#15</t>
  </si>
  <si>
    <t xml:space="preserve">release rate from one of the above 3 cases based on fluid model selected </t>
  </si>
  <si>
    <t>A</t>
  </si>
  <si>
    <t>gff1</t>
  </si>
  <si>
    <t>Note#16</t>
  </si>
  <si>
    <t>Calculate time tn required to release 4536 kg to decide about release type</t>
  </si>
  <si>
    <t>B</t>
  </si>
  <si>
    <t>gff2</t>
  </si>
  <si>
    <t>Note#17</t>
  </si>
  <si>
    <t>Continuous If d&lt;=6.4 or d&gt;6.4, tn&gt;180 Otherwise Instantaneous</t>
  </si>
  <si>
    <t>C</t>
  </si>
  <si>
    <t>gff3</t>
  </si>
  <si>
    <t>Note#18</t>
  </si>
  <si>
    <t>Calculate mass add if d4&gt;200 mm, mass add= 180*release rate; 
Here mass add=0 as we assumed mass inv+ mass comp</t>
  </si>
  <si>
    <t>D</t>
  </si>
  <si>
    <t>gff4</t>
  </si>
  <si>
    <t>Note#19</t>
  </si>
  <si>
    <t>min of mass inv  or mass comp + mass add; here mass avl= mass comp</t>
  </si>
  <si>
    <t>E</t>
  </si>
  <si>
    <t>gff total</t>
  </si>
  <si>
    <t>Note#20</t>
  </si>
  <si>
    <t>Obtain from Table 4.7M &amp; Detection and isolation systems assumed as C;   ld max for d4 is not given</t>
  </si>
  <si>
    <t>AIT K</t>
  </si>
  <si>
    <t>fact di</t>
  </si>
  <si>
    <t>0(default)</t>
  </si>
  <si>
    <t>Note#21</t>
  </si>
  <si>
    <t>min of mass avl/rate  or 60 * ld max</t>
  </si>
  <si>
    <t>Release/mass and Consequence area calculation</t>
  </si>
  <si>
    <t>Note#22</t>
  </si>
  <si>
    <t>min of rate*ldn or mass avl</t>
  </si>
  <si>
    <t>If Fluid Model #B15 is liquid</t>
  </si>
  <si>
    <t>Note#23</t>
  </si>
  <si>
    <t>select based on release type</t>
  </si>
  <si>
    <t>rates for different diameters</t>
  </si>
  <si>
    <t>rate1</t>
  </si>
  <si>
    <t>rate2</t>
  </si>
  <si>
    <t>rate3</t>
  </si>
  <si>
    <t>rate4</t>
  </si>
  <si>
    <t>Note#24</t>
  </si>
  <si>
    <t xml:space="preserve">to select e &amp; f values from 4.12M, ld tox= min of 3600 or mass/rate or 60 ldmax </t>
  </si>
  <si>
    <t>Note#25</t>
  </si>
  <si>
    <t>for NH3, Cl, other chem</t>
  </si>
  <si>
    <t>If Fluid Model #B15 is Vapour</t>
  </si>
  <si>
    <t>Assumptions</t>
  </si>
  <si>
    <t xml:space="preserve"> m frac tox=1</t>
  </si>
  <si>
    <t>Cp</t>
  </si>
  <si>
    <t>K</t>
  </si>
  <si>
    <t>Ptrans</t>
  </si>
  <si>
    <t xml:space="preserve"> Ps&gt;Ptrans</t>
  </si>
  <si>
    <t xml:space="preserve"> Ps&lt;Ptrans</t>
  </si>
  <si>
    <t>Release rate</t>
  </si>
  <si>
    <t>tn</t>
  </si>
  <si>
    <t>Release Type</t>
  </si>
  <si>
    <t>mass add</t>
  </si>
  <si>
    <t>mass avl</t>
  </si>
  <si>
    <t>60* ld max</t>
  </si>
  <si>
    <t>mass avl/rate</t>
  </si>
  <si>
    <t>ldn</t>
  </si>
  <si>
    <t>rate*ldn</t>
  </si>
  <si>
    <t>mass</t>
  </si>
  <si>
    <t>rate or mass</t>
  </si>
  <si>
    <t>ldtox</t>
  </si>
  <si>
    <t>CA</t>
  </si>
  <si>
    <t>CA tox pi</t>
  </si>
  <si>
    <t>Flammable Consequence Area Calculation</t>
  </si>
  <si>
    <t>Assumed default rating C for both detection and isolation systems.
Assume Mitigation factor=0</t>
  </si>
  <si>
    <t>Component Damage and Personal Injury based on Table 4.8M and 4.9M respectively</t>
  </si>
  <si>
    <t>fact mit</t>
  </si>
  <si>
    <t xml:space="preserve"> (default) Note#5
Table 4.10</t>
  </si>
  <si>
    <t>CAINL a</t>
  </si>
  <si>
    <t>Component Damage 
Note#8</t>
  </si>
  <si>
    <t>Personal Injury
Note#8</t>
  </si>
  <si>
    <t>CAINL b</t>
  </si>
  <si>
    <t>CAIL a</t>
  </si>
  <si>
    <t>eneff values to be used if flow is instantaneousFor Instantaneous</t>
  </si>
  <si>
    <t>CAIL b</t>
  </si>
  <si>
    <t>Min of fact ic calc or 1</t>
  </si>
  <si>
    <t>IAINL a</t>
  </si>
  <si>
    <t>IAINLa</t>
  </si>
  <si>
    <t>Note#26</t>
  </si>
  <si>
    <t>If TS+C6≤AIT then fact AIT=0; If TS-C6≥AIT then fact AIT=1; oTHERWISE Calculate fact AIT calc</t>
  </si>
  <si>
    <t>IAINL b</t>
  </si>
  <si>
    <t>IAIL a</t>
  </si>
  <si>
    <t>IAIL b</t>
  </si>
  <si>
    <t>Release/mass calculation</t>
  </si>
  <si>
    <t>Consequence area calculation</t>
  </si>
  <si>
    <t>eneff</t>
  </si>
  <si>
    <t>CAINL cmd</t>
  </si>
  <si>
    <t>calculation</t>
  </si>
  <si>
    <t>CAIL cmd</t>
  </si>
  <si>
    <t>IAINL cmd</t>
  </si>
  <si>
    <t>IAIL cmd</t>
  </si>
  <si>
    <t>CAINL inj</t>
  </si>
  <si>
    <t>CAIL inj</t>
  </si>
  <si>
    <t>IAINL inj</t>
  </si>
  <si>
    <t>IAIL inj</t>
  </si>
  <si>
    <t>Blending based on release type</t>
  </si>
  <si>
    <t>fact ic calc</t>
  </si>
  <si>
    <t>fact ic</t>
  </si>
  <si>
    <t>AINL cmd</t>
  </si>
  <si>
    <t>AIL cmd</t>
  </si>
  <si>
    <t>AINL inj</t>
  </si>
  <si>
    <t>AIL inj</t>
  </si>
  <si>
    <t>Blending based on AIT</t>
  </si>
  <si>
    <t>TS-C6</t>
  </si>
  <si>
    <t>fact AIT calc</t>
  </si>
  <si>
    <t>TS+C6</t>
  </si>
  <si>
    <t xml:space="preserve">fact AIT </t>
  </si>
  <si>
    <t>CA cmd</t>
  </si>
  <si>
    <t>CA inj</t>
  </si>
  <si>
    <t>Final CA cmd</t>
  </si>
  <si>
    <t>Final CA inj</t>
  </si>
  <si>
    <t>Pipe Line Number</t>
  </si>
  <si>
    <t>Pipe Cluster Number</t>
  </si>
  <si>
    <t>For each line in pipe master a record is created in this table including the design data (highlighted with green back griund)</t>
  </si>
  <si>
    <t>Once the Pipe_cluster COF data updated the related data (highlighted with yellow back ground) is updated for each line that is matching with cluster number.</t>
  </si>
  <si>
    <t>Cluster Number</t>
  </si>
  <si>
    <t>Piping Clsuter Master</t>
  </si>
  <si>
    <t>For each unique cluster number in Pipe_MASTER table, a row is created in this table.</t>
  </si>
  <si>
    <t xml:space="preserve"> (User selects from Table4.1
Note#2)</t>
  </si>
  <si>
    <t>User selects the representative fluid from Table 4.1 (drop down). In case no representative fluid</t>
  </si>
  <si>
    <t>Updated from PIPE_MASTER table (Note#1)</t>
  </si>
  <si>
    <t xml:space="preserve">User selects Fluid Phase stored and at released condition needed to added  for each cluster.
Fluid phase stored condition- if phase is liquid or vapour+ liquid enter liquid, otherwise vapour
</t>
  </si>
  <si>
    <t>Inner Diameter and length of the piping to be obtained from either pipe master (default or user can change.</t>
  </si>
  <si>
    <t>Pipe master
Note#2</t>
  </si>
  <si>
    <t>Updated from PIPE_CLUSTER table (Note#1)</t>
  </si>
  <si>
    <t>User/Pipe master
Note#3</t>
  </si>
  <si>
    <t>AL-01-CS-Y</t>
  </si>
  <si>
    <t>Ammonia</t>
  </si>
  <si>
    <t>Liquid</t>
  </si>
  <si>
    <t>Vapour</t>
  </si>
  <si>
    <t>601.AL1001</t>
  </si>
  <si>
    <t>Fluid Model based on Fuid Phase stored and at released condition user data and Table4.3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</si>
</sst>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15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vertAlign val="superscript"/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51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activeCell="B3" sqref="B3"/>
    </sheetView>
  </sheetViews>
  <sheetFormatPr defaultColWidth="8.85546875" defaultRowHeight="15"/>
  <cols>
    <col min="1" max="1" width="17.7109375" customWidth="1"/>
    <col min="2" max="3" width="17" customWidth="1"/>
    <col min="4" max="6" width="17.7109375" customWidth="1"/>
    <col min="7" max="7" width="12.42578125" customWidth="1"/>
    <col min="8" max="8" width="64.7109375" style="124" customWidth="1"/>
  </cols>
  <sheetData>
    <row r="1" spans="1:31" ht="20.25" thickBot="1">
      <c r="A1" s="94" t="s">
        <v>179</v>
      </c>
      <c r="B1" s="94"/>
      <c r="C1" s="94"/>
      <c r="D1" s="94"/>
      <c r="E1" s="94"/>
      <c r="F1" s="94"/>
      <c r="G1" s="1"/>
      <c r="H1" s="122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1:31">
      <c r="A2" s="95" t="s">
        <v>1</v>
      </c>
      <c r="B2" s="96"/>
      <c r="C2" s="96"/>
      <c r="D2" s="96"/>
      <c r="E2" s="96"/>
      <c r="F2" s="97"/>
      <c r="G2" s="1"/>
      <c r="H2" s="122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1:31" ht="45">
      <c r="A3" s="62" t="s">
        <v>178</v>
      </c>
      <c r="B3" s="143" t="s">
        <v>189</v>
      </c>
      <c r="C3" s="10" t="s">
        <v>183</v>
      </c>
      <c r="D3" s="62" t="s">
        <v>13</v>
      </c>
      <c r="E3" s="143" t="s">
        <v>191</v>
      </c>
      <c r="F3" s="10" t="s">
        <v>10</v>
      </c>
      <c r="G3" s="10" t="s">
        <v>3</v>
      </c>
      <c r="H3" s="132" t="s">
        <v>180</v>
      </c>
      <c r="I3" s="60"/>
      <c r="J3" s="60"/>
      <c r="K3" s="60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1" ht="45">
      <c r="A4" s="62" t="s">
        <v>4</v>
      </c>
      <c r="B4" s="143" t="s">
        <v>190</v>
      </c>
      <c r="C4" s="10" t="s">
        <v>181</v>
      </c>
      <c r="D4" s="62" t="s">
        <v>17</v>
      </c>
      <c r="E4" s="143" t="s">
        <v>192</v>
      </c>
      <c r="F4" s="10" t="s">
        <v>10</v>
      </c>
      <c r="G4" s="10" t="s">
        <v>6</v>
      </c>
      <c r="H4" s="132" t="s">
        <v>182</v>
      </c>
      <c r="I4" s="60"/>
      <c r="J4" s="60"/>
      <c r="K4" s="60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1" ht="75">
      <c r="A5" s="62" t="s">
        <v>7</v>
      </c>
      <c r="B5" s="119">
        <v>-33</v>
      </c>
      <c r="C5" s="127" t="s">
        <v>8</v>
      </c>
      <c r="D5" s="62" t="s">
        <v>26</v>
      </c>
      <c r="E5" s="119" t="s">
        <v>27</v>
      </c>
      <c r="F5" s="10" t="s">
        <v>28</v>
      </c>
      <c r="G5" s="10" t="s">
        <v>10</v>
      </c>
      <c r="H5" s="132" t="s">
        <v>184</v>
      </c>
      <c r="I5" s="60"/>
      <c r="J5" s="60"/>
      <c r="K5" s="60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 spans="1:31" ht="30">
      <c r="A6" s="62" t="s">
        <v>11</v>
      </c>
      <c r="B6" s="119">
        <v>100</v>
      </c>
      <c r="C6" s="127"/>
      <c r="D6" s="62" t="s">
        <v>29</v>
      </c>
      <c r="E6" s="119" t="s">
        <v>27</v>
      </c>
      <c r="F6" s="10" t="s">
        <v>28</v>
      </c>
      <c r="G6" s="10" t="s">
        <v>15</v>
      </c>
      <c r="H6" s="132" t="s">
        <v>16</v>
      </c>
      <c r="I6" s="60"/>
      <c r="J6" s="60"/>
      <c r="K6" s="60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1">
      <c r="D7" s="125"/>
      <c r="E7" s="126"/>
      <c r="F7" s="126"/>
      <c r="G7" s="77"/>
      <c r="H7" s="122"/>
      <c r="I7" s="60"/>
      <c r="J7" s="60"/>
      <c r="K7" s="60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 spans="1:31">
      <c r="D8" s="125"/>
      <c r="E8" s="126"/>
      <c r="F8" s="126"/>
      <c r="G8" s="77"/>
      <c r="H8" s="122"/>
      <c r="I8" s="60"/>
      <c r="J8" s="60"/>
      <c r="K8" s="60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 spans="1:31" ht="30" customHeight="1">
      <c r="G9" s="77"/>
      <c r="H9" s="122"/>
      <c r="I9" s="60"/>
      <c r="J9" s="60"/>
      <c r="K9" s="60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>
      <c r="A10" s="77"/>
      <c r="B10" s="77"/>
      <c r="C10" s="77"/>
      <c r="D10" s="77"/>
      <c r="E10" s="77"/>
      <c r="F10" s="77"/>
      <c r="G10" s="77"/>
      <c r="H10" s="122"/>
      <c r="I10" s="60"/>
      <c r="J10" s="60"/>
      <c r="K10" s="60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 spans="1:31">
      <c r="A11" s="77"/>
      <c r="B11" s="77"/>
      <c r="C11" s="77"/>
      <c r="D11" s="77"/>
      <c r="E11" s="77"/>
      <c r="F11" s="77"/>
      <c r="G11" s="77"/>
      <c r="H11" s="122"/>
      <c r="I11" s="60"/>
      <c r="J11" s="60"/>
      <c r="K11" s="60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 spans="1:31">
      <c r="A12" s="77"/>
      <c r="B12" s="77"/>
      <c r="C12" s="77"/>
      <c r="D12" s="77"/>
      <c r="E12" s="77"/>
      <c r="F12" s="77"/>
      <c r="G12" s="77"/>
      <c r="H12" s="122"/>
      <c r="I12" s="60"/>
      <c r="J12" s="60"/>
      <c r="K12" s="60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1">
      <c r="A13" s="77"/>
      <c r="B13" s="77"/>
      <c r="C13" s="77"/>
      <c r="D13" s="77"/>
      <c r="E13" s="77"/>
      <c r="F13" s="77"/>
      <c r="G13" s="77"/>
      <c r="H13" s="122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>
      <c r="A14" s="77"/>
      <c r="B14" s="77"/>
      <c r="C14" s="77"/>
      <c r="D14" s="77"/>
      <c r="E14" s="77"/>
      <c r="F14" s="77"/>
      <c r="G14" s="77"/>
      <c r="H14" s="122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 spans="1:31">
      <c r="A15" s="77"/>
      <c r="B15" s="77"/>
      <c r="C15" s="77"/>
      <c r="D15" s="77"/>
      <c r="E15" s="77"/>
      <c r="F15" s="77"/>
      <c r="G15" s="77"/>
      <c r="H15" s="122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 spans="1:31">
      <c r="A16" s="77"/>
      <c r="B16" s="77"/>
      <c r="C16" s="77"/>
      <c r="D16" s="77"/>
      <c r="E16" s="77"/>
      <c r="F16" s="77"/>
      <c r="G16" s="77"/>
      <c r="H16" s="122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1">
      <c r="A17" s="77"/>
      <c r="B17" s="77"/>
      <c r="C17" s="77"/>
      <c r="D17" s="77"/>
      <c r="E17" s="77"/>
      <c r="F17" s="77"/>
      <c r="G17" s="77"/>
      <c r="H17" s="122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 spans="1:31">
      <c r="A18" s="77"/>
      <c r="B18" s="77"/>
      <c r="C18" s="77"/>
      <c r="D18" s="77"/>
      <c r="E18" s="77"/>
      <c r="F18" s="77"/>
      <c r="G18" s="77"/>
      <c r="H18" s="122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1">
      <c r="A19" s="77"/>
      <c r="B19" s="77"/>
      <c r="C19" s="77"/>
      <c r="D19" s="77"/>
      <c r="E19" s="77"/>
      <c r="F19" s="77"/>
      <c r="G19" s="77"/>
      <c r="H19" s="122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 spans="1:31">
      <c r="A20" s="77"/>
      <c r="B20" s="77"/>
      <c r="C20" s="77"/>
      <c r="D20" s="77"/>
      <c r="E20" s="77"/>
      <c r="F20" s="77"/>
      <c r="G20" s="77"/>
      <c r="H20" s="122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 spans="1:31">
      <c r="A21" s="77"/>
      <c r="B21" s="77"/>
      <c r="C21" s="77"/>
      <c r="D21" s="77"/>
      <c r="E21" s="77"/>
      <c r="F21" s="77"/>
      <c r="G21" s="77"/>
      <c r="H21" s="122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 spans="1:31">
      <c r="A22" s="77"/>
      <c r="B22" s="77"/>
      <c r="C22" s="77"/>
      <c r="D22" s="77"/>
      <c r="E22" s="77"/>
      <c r="F22" s="77"/>
      <c r="G22" s="77"/>
      <c r="H22" s="122"/>
      <c r="I22" s="60"/>
      <c r="J22" s="60"/>
      <c r="K22" s="60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 spans="1:31">
      <c r="A23" s="77"/>
      <c r="B23" s="77"/>
      <c r="C23" s="77"/>
      <c r="D23" s="77"/>
      <c r="E23" s="77"/>
      <c r="F23" s="77"/>
      <c r="G23" s="77"/>
      <c r="H23" s="122"/>
      <c r="I23" s="60"/>
      <c r="J23" s="60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>
      <c r="A24" s="77"/>
      <c r="B24" s="77"/>
      <c r="C24" s="77"/>
      <c r="D24" s="77"/>
      <c r="E24" s="77"/>
      <c r="F24" s="77"/>
      <c r="G24" s="77"/>
      <c r="H24" s="122"/>
      <c r="I24" s="60"/>
      <c r="J24" s="60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 spans="1:31">
      <c r="A25" s="77"/>
      <c r="B25" s="77"/>
      <c r="C25" s="77"/>
      <c r="D25" s="77"/>
      <c r="E25" s="77"/>
      <c r="F25" s="77"/>
      <c r="G25" s="77"/>
      <c r="H25" s="122"/>
      <c r="I25" s="60"/>
      <c r="J25" s="60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>
      <c r="A26" s="77"/>
      <c r="B26" s="77"/>
      <c r="C26" s="77"/>
      <c r="D26" s="77"/>
      <c r="E26" s="77"/>
      <c r="F26" s="77"/>
      <c r="G26" s="77"/>
      <c r="H26" s="122"/>
      <c r="I26" s="60"/>
      <c r="J26" s="60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 spans="1:31">
      <c r="A27" s="77"/>
      <c r="B27" s="77"/>
      <c r="C27" s="77"/>
      <c r="D27" s="77"/>
      <c r="E27" s="77"/>
      <c r="F27" s="77"/>
      <c r="G27" s="77"/>
      <c r="H27" s="122"/>
      <c r="I27" s="60"/>
      <c r="J27" s="60"/>
      <c r="K27" s="60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1:31">
      <c r="A28" s="77"/>
      <c r="B28" s="77"/>
      <c r="C28" s="77"/>
      <c r="D28" s="77"/>
      <c r="E28" s="77"/>
      <c r="F28" s="77"/>
      <c r="G28" s="77"/>
      <c r="H28" s="122"/>
      <c r="I28" s="60"/>
      <c r="J28" s="60"/>
      <c r="K28" s="60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1:31">
      <c r="A29" s="77"/>
      <c r="B29" s="77"/>
      <c r="C29" s="77"/>
      <c r="D29" s="77"/>
      <c r="E29" s="77"/>
      <c r="F29" s="77"/>
      <c r="G29" s="77"/>
      <c r="H29" s="122"/>
      <c r="I29" s="60"/>
      <c r="J29" s="60"/>
      <c r="K29" s="60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1:31">
      <c r="A30" s="77"/>
      <c r="B30" s="77"/>
      <c r="C30" s="77"/>
      <c r="D30" s="77"/>
      <c r="E30" s="77"/>
      <c r="F30" s="77"/>
      <c r="G30" s="77"/>
      <c r="H30" s="122"/>
      <c r="I30" s="60"/>
      <c r="J30" s="60"/>
      <c r="K30" s="60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1:31">
      <c r="A31" s="77"/>
      <c r="B31" s="77"/>
      <c r="C31" s="77"/>
      <c r="D31" s="77"/>
      <c r="E31" s="77"/>
      <c r="F31" s="77"/>
      <c r="G31" s="77"/>
      <c r="H31" s="122"/>
      <c r="I31" s="60"/>
      <c r="J31" s="60"/>
      <c r="K31" s="60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1:31">
      <c r="A32" s="77"/>
      <c r="B32" s="77"/>
      <c r="C32" s="77"/>
      <c r="D32" s="77"/>
      <c r="E32" s="77"/>
      <c r="F32" s="77"/>
      <c r="G32" s="77"/>
      <c r="H32" s="122"/>
      <c r="I32" s="60"/>
      <c r="J32" s="60"/>
      <c r="K32" s="60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:31">
      <c r="A33" s="77"/>
      <c r="B33" s="77"/>
      <c r="C33" s="77"/>
      <c r="D33" s="77"/>
      <c r="E33" s="77"/>
      <c r="F33" s="77"/>
      <c r="G33" s="77"/>
      <c r="H33" s="122"/>
      <c r="I33" s="60"/>
      <c r="J33" s="60"/>
      <c r="K33" s="60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:31">
      <c r="A34" s="77"/>
      <c r="B34" s="77"/>
      <c r="C34" s="77"/>
      <c r="D34" s="77"/>
      <c r="E34" s="77"/>
      <c r="F34" s="77"/>
      <c r="G34" s="77"/>
      <c r="H34" s="122"/>
      <c r="I34" s="60"/>
      <c r="J34" s="60"/>
      <c r="K34" s="60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:31">
      <c r="A35" s="77"/>
      <c r="B35" s="77"/>
      <c r="C35" s="77"/>
      <c r="D35" s="77"/>
      <c r="E35" s="77"/>
      <c r="F35" s="77"/>
      <c r="G35" s="77"/>
      <c r="H35" s="122"/>
      <c r="I35" s="60"/>
      <c r="J35" s="60"/>
      <c r="K35" s="60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>
      <c r="A36" s="77"/>
      <c r="B36" s="77"/>
      <c r="C36" s="77"/>
      <c r="D36" s="77"/>
      <c r="E36" s="77"/>
      <c r="F36" s="77"/>
      <c r="G36" s="77"/>
      <c r="H36" s="122"/>
      <c r="I36" s="60"/>
      <c r="J36" s="60"/>
      <c r="K36" s="60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:31">
      <c r="A37" s="77"/>
      <c r="B37" s="77"/>
      <c r="C37" s="77"/>
      <c r="D37" s="77"/>
      <c r="E37" s="77"/>
      <c r="F37" s="77"/>
      <c r="G37" s="77"/>
      <c r="H37" s="122"/>
      <c r="I37" s="60"/>
      <c r="J37" s="60"/>
      <c r="K37" s="60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 spans="1:31">
      <c r="A38" s="77"/>
      <c r="B38" s="77"/>
      <c r="C38" s="77"/>
      <c r="D38" s="77"/>
      <c r="E38" s="77"/>
      <c r="F38" s="77"/>
      <c r="G38" s="60"/>
      <c r="H38" s="123"/>
      <c r="I38" s="60"/>
      <c r="J38" s="60"/>
      <c r="K38" s="60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 spans="1:31">
      <c r="A39" s="60"/>
      <c r="B39" s="60"/>
      <c r="C39" s="60"/>
      <c r="D39" s="60"/>
      <c r="E39" s="60"/>
      <c r="F39" s="60"/>
      <c r="G39" s="60"/>
      <c r="H39" s="123"/>
      <c r="I39" s="60"/>
      <c r="J39" s="60"/>
      <c r="K39" s="60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:31">
      <c r="A40" s="60"/>
      <c r="B40" s="60"/>
      <c r="C40" s="60"/>
      <c r="D40" s="60"/>
      <c r="E40" s="60"/>
      <c r="F40" s="60"/>
      <c r="G40" s="60"/>
      <c r="H40" s="123"/>
      <c r="I40" s="60"/>
      <c r="J40" s="60"/>
      <c r="K40" s="60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:31">
      <c r="A41" s="60"/>
      <c r="B41" s="60"/>
      <c r="C41" s="60"/>
      <c r="D41" s="60"/>
      <c r="E41" s="60"/>
      <c r="F41" s="60"/>
      <c r="G41" s="60"/>
      <c r="H41" s="123"/>
      <c r="I41" s="60"/>
      <c r="J41" s="60"/>
      <c r="K41" s="60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1:31">
      <c r="A42" s="60"/>
      <c r="B42" s="60"/>
      <c r="C42" s="60"/>
      <c r="D42" s="60"/>
      <c r="E42" s="60"/>
      <c r="F42" s="60"/>
      <c r="G42" s="60"/>
      <c r="H42" s="123"/>
      <c r="I42" s="60"/>
      <c r="J42" s="60"/>
      <c r="K42" s="60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 spans="1:31">
      <c r="A43" s="60"/>
      <c r="B43" s="60"/>
      <c r="C43" s="60"/>
      <c r="D43" s="60"/>
      <c r="E43" s="60"/>
      <c r="F43" s="60"/>
      <c r="G43" s="60"/>
      <c r="H43" s="123"/>
      <c r="I43" s="60"/>
      <c r="J43" s="60"/>
      <c r="K43" s="60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 spans="1:31">
      <c r="A44" s="60"/>
      <c r="B44" s="60"/>
      <c r="C44" s="60"/>
      <c r="D44" s="60"/>
      <c r="E44" s="60"/>
      <c r="F44" s="60"/>
      <c r="G44" s="60"/>
      <c r="H44" s="123"/>
      <c r="I44" s="60"/>
      <c r="J44" s="60"/>
      <c r="K44" s="60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 spans="1:31">
      <c r="A45" s="60"/>
      <c r="B45" s="60"/>
      <c r="C45" s="60"/>
      <c r="D45" s="60"/>
      <c r="E45" s="60"/>
      <c r="F45" s="60"/>
      <c r="G45" s="60"/>
      <c r="H45" s="123"/>
      <c r="I45" s="60"/>
      <c r="J45" s="60"/>
      <c r="K45" s="60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 spans="1:31">
      <c r="A46" s="60"/>
      <c r="B46" s="60"/>
      <c r="C46" s="60"/>
      <c r="D46" s="60"/>
      <c r="E46" s="60"/>
      <c r="F46" s="60"/>
      <c r="G46" s="60"/>
      <c r="H46" s="123"/>
      <c r="I46" s="60"/>
      <c r="J46" s="60"/>
      <c r="K46" s="60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 spans="1:31">
      <c r="A47" s="60"/>
      <c r="B47" s="60"/>
      <c r="C47" s="60"/>
      <c r="D47" s="60"/>
      <c r="E47" s="60"/>
      <c r="F47" s="60"/>
      <c r="G47" s="60"/>
      <c r="H47" s="123"/>
      <c r="I47" s="60"/>
      <c r="J47" s="60"/>
      <c r="K47" s="60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 spans="1:31">
      <c r="A48" s="60"/>
      <c r="B48" s="60"/>
      <c r="C48" s="60"/>
      <c r="D48" s="60"/>
      <c r="E48" s="60"/>
      <c r="F48" s="60"/>
      <c r="G48" s="60"/>
      <c r="H48" s="123"/>
      <c r="I48" s="60"/>
      <c r="J48" s="60"/>
      <c r="K48" s="60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1:31">
      <c r="A49" s="60"/>
      <c r="B49" s="60"/>
      <c r="C49" s="60"/>
      <c r="D49" s="60"/>
      <c r="E49" s="60"/>
      <c r="F49" s="60"/>
      <c r="G49" s="60"/>
      <c r="H49" s="123"/>
      <c r="I49" s="60"/>
      <c r="J49" s="60"/>
      <c r="K49" s="60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1:31">
      <c r="A50" s="60"/>
      <c r="B50" s="60"/>
      <c r="C50" s="60"/>
      <c r="D50" s="60"/>
      <c r="E50" s="60"/>
      <c r="F50" s="60"/>
      <c r="G50" s="60"/>
      <c r="H50" s="123"/>
      <c r="I50" s="60"/>
      <c r="J50" s="60"/>
      <c r="K50" s="60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1:31">
      <c r="A51" s="60"/>
      <c r="B51" s="60"/>
      <c r="C51" s="60"/>
      <c r="D51" s="60"/>
      <c r="E51" s="60"/>
      <c r="F51" s="60"/>
      <c r="G51" s="60"/>
      <c r="H51" s="123"/>
      <c r="I51" s="60"/>
      <c r="J51" s="60"/>
      <c r="K51" s="60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 spans="1:31">
      <c r="A52" s="60"/>
      <c r="B52" s="60"/>
      <c r="C52" s="60"/>
      <c r="D52" s="60"/>
      <c r="E52" s="60"/>
      <c r="F52" s="60"/>
      <c r="G52" s="60"/>
      <c r="H52" s="123"/>
      <c r="I52" s="60"/>
      <c r="J52" s="60"/>
      <c r="K52" s="60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>
      <c r="A53" s="60"/>
      <c r="B53" s="60"/>
      <c r="C53" s="60"/>
      <c r="D53" s="60"/>
      <c r="E53" s="60"/>
      <c r="F53" s="60"/>
      <c r="G53" s="60"/>
      <c r="H53" s="123"/>
      <c r="I53" s="60"/>
      <c r="J53" s="60"/>
      <c r="K53" s="60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>
      <c r="A54" s="60"/>
      <c r="B54" s="60"/>
      <c r="C54" s="60"/>
      <c r="D54" s="60"/>
      <c r="E54" s="60"/>
      <c r="F54" s="60"/>
      <c r="G54" s="60"/>
      <c r="H54" s="123"/>
      <c r="I54" s="60"/>
      <c r="J54" s="60"/>
      <c r="K54" s="60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 spans="1:31">
      <c r="A55" s="60"/>
      <c r="B55" s="60"/>
      <c r="C55" s="60"/>
      <c r="D55" s="60"/>
      <c r="E55" s="60"/>
      <c r="F55" s="60"/>
      <c r="G55" s="60"/>
      <c r="H55" s="123"/>
      <c r="I55" s="60"/>
      <c r="J55" s="60"/>
      <c r="K55" s="60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>
      <c r="A56" s="60"/>
      <c r="B56" s="60"/>
      <c r="C56" s="60"/>
      <c r="D56" s="60"/>
      <c r="E56" s="60"/>
      <c r="F56" s="60"/>
      <c r="G56" s="60"/>
      <c r="H56" s="123"/>
      <c r="I56" s="60"/>
      <c r="J56" s="60"/>
      <c r="K56" s="60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>
      <c r="A57" s="60"/>
      <c r="B57" s="60"/>
      <c r="C57" s="60"/>
      <c r="D57" s="60"/>
      <c r="E57" s="60"/>
      <c r="F57" s="60"/>
      <c r="G57" s="60"/>
      <c r="H57" s="123"/>
      <c r="I57" s="60"/>
      <c r="J57" s="60"/>
      <c r="K57" s="60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>
      <c r="A58" s="60"/>
      <c r="B58" s="60"/>
      <c r="C58" s="60"/>
      <c r="D58" s="60"/>
      <c r="E58" s="60"/>
      <c r="F58" s="60"/>
      <c r="G58" s="60"/>
      <c r="H58" s="123"/>
      <c r="I58" s="60"/>
      <c r="J58" s="60"/>
      <c r="K58" s="60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>
      <c r="A59" s="60"/>
      <c r="B59" s="60"/>
      <c r="C59" s="60"/>
      <c r="D59" s="60"/>
      <c r="E59" s="60"/>
      <c r="F59" s="60"/>
      <c r="G59" s="60"/>
      <c r="H59" s="123"/>
      <c r="I59" s="60"/>
      <c r="J59" s="60"/>
      <c r="K59" s="60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1:31">
      <c r="A60" s="60"/>
      <c r="B60" s="60"/>
      <c r="C60" s="60"/>
      <c r="D60" s="60"/>
      <c r="E60" s="60"/>
      <c r="F60" s="60"/>
      <c r="G60" s="60"/>
      <c r="H60" s="123"/>
      <c r="I60" s="60"/>
      <c r="J60" s="60"/>
      <c r="K60" s="60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1:31">
      <c r="A61" s="60"/>
      <c r="B61" s="60"/>
      <c r="C61" s="60"/>
      <c r="D61" s="60"/>
      <c r="E61" s="60"/>
      <c r="F61" s="60"/>
      <c r="G61" s="60"/>
      <c r="H61" s="123"/>
      <c r="I61" s="60"/>
      <c r="J61" s="60"/>
      <c r="K61" s="60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1:31">
      <c r="A62" s="60"/>
      <c r="B62" s="60"/>
      <c r="C62" s="60"/>
      <c r="D62" s="60"/>
      <c r="E62" s="60"/>
      <c r="F62" s="60"/>
      <c r="G62" s="60"/>
      <c r="H62" s="123"/>
      <c r="I62" s="60"/>
      <c r="J62" s="60"/>
      <c r="K62" s="60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1:31">
      <c r="A63" s="60"/>
      <c r="B63" s="60"/>
      <c r="C63" s="60"/>
      <c r="D63" s="60"/>
      <c r="E63" s="60"/>
      <c r="F63" s="60"/>
      <c r="I63" s="60"/>
      <c r="J63" s="60"/>
      <c r="K63" s="60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</sheetData>
  <mergeCells count="3">
    <mergeCell ref="A1:F1"/>
    <mergeCell ref="A2:F2"/>
    <mergeCell ref="C5:C6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06"/>
  <sheetViews>
    <sheetView tabSelected="1" workbookViewId="0">
      <selection activeCell="H35" sqref="H35"/>
    </sheetView>
  </sheetViews>
  <sheetFormatPr defaultColWidth="8.85546875" defaultRowHeight="15"/>
  <cols>
    <col min="1" max="1" width="17.7109375" customWidth="1"/>
    <col min="2" max="3" width="17" customWidth="1"/>
    <col min="4" max="6" width="17.7109375" customWidth="1"/>
    <col min="7" max="7" width="12.42578125" customWidth="1"/>
    <col min="8" max="8" width="89.5703125" style="124" customWidth="1"/>
  </cols>
  <sheetData>
    <row r="1" spans="1:31" ht="19.5">
      <c r="A1" s="94" t="s">
        <v>0</v>
      </c>
      <c r="B1" s="94"/>
      <c r="C1" s="94"/>
      <c r="D1" s="94"/>
      <c r="E1" s="94"/>
      <c r="F1" s="94"/>
      <c r="G1" s="1"/>
      <c r="H1" s="122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1:31" ht="15.75" thickBot="1">
      <c r="A2" s="95" t="s">
        <v>1</v>
      </c>
      <c r="B2" s="96"/>
      <c r="C2" s="96"/>
      <c r="D2" s="96"/>
      <c r="E2" s="96"/>
      <c r="F2" s="97"/>
      <c r="G2" s="1"/>
      <c r="H2" s="122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1:31" ht="30.75" thickBot="1">
      <c r="A3" s="78" t="s">
        <v>174</v>
      </c>
      <c r="B3" s="144" t="s">
        <v>193</v>
      </c>
      <c r="C3" s="76" t="s">
        <v>186</v>
      </c>
      <c r="D3" s="6" t="s">
        <v>2</v>
      </c>
      <c r="E3" s="120"/>
      <c r="F3" s="5" t="s">
        <v>186</v>
      </c>
      <c r="G3" s="136" t="s">
        <v>3</v>
      </c>
      <c r="H3" s="132" t="s">
        <v>177</v>
      </c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1" ht="30.75" thickBot="1">
      <c r="A4" s="114" t="s">
        <v>175</v>
      </c>
      <c r="B4" s="145" t="s">
        <v>189</v>
      </c>
      <c r="C4" s="76" t="s">
        <v>186</v>
      </c>
      <c r="D4" s="116"/>
      <c r="E4" s="117"/>
      <c r="F4" s="80"/>
      <c r="G4" s="136" t="s">
        <v>6</v>
      </c>
      <c r="H4" s="132" t="s">
        <v>176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1" ht="45.75" thickBot="1">
      <c r="A5" s="8" t="s">
        <v>4</v>
      </c>
      <c r="B5" s="118"/>
      <c r="C5" s="75" t="s">
        <v>187</v>
      </c>
      <c r="D5" s="8" t="s">
        <v>5</v>
      </c>
      <c r="E5" s="121"/>
      <c r="F5" s="5" t="s">
        <v>186</v>
      </c>
      <c r="G5" s="10" t="s">
        <v>10</v>
      </c>
      <c r="H5" s="132" t="s">
        <v>185</v>
      </c>
      <c r="I5" s="60"/>
      <c r="J5" s="60"/>
      <c r="K5" s="60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 spans="1:31" ht="33" thickBot="1">
      <c r="A6" s="8" t="s">
        <v>7</v>
      </c>
      <c r="B6" s="119"/>
      <c r="C6" s="88" t="s">
        <v>187</v>
      </c>
      <c r="D6" s="8" t="s">
        <v>9</v>
      </c>
      <c r="E6" s="121"/>
      <c r="F6" s="5" t="s">
        <v>186</v>
      </c>
      <c r="G6" s="10" t="s">
        <v>19</v>
      </c>
      <c r="H6" s="132" t="s">
        <v>20</v>
      </c>
      <c r="I6" s="60"/>
      <c r="J6" s="60"/>
      <c r="K6" s="60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1" ht="30.75" thickBot="1">
      <c r="A7" s="8" t="s">
        <v>11</v>
      </c>
      <c r="B7" s="119"/>
      <c r="C7" s="89"/>
      <c r="D7" s="8" t="s">
        <v>12</v>
      </c>
      <c r="E7" s="121"/>
      <c r="F7" s="5" t="s">
        <v>186</v>
      </c>
      <c r="G7" s="10" t="s">
        <v>24</v>
      </c>
      <c r="H7" s="146" t="s">
        <v>194</v>
      </c>
      <c r="I7" s="60"/>
      <c r="J7" s="60"/>
      <c r="K7" s="60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 spans="1:31" ht="45.75" thickBot="1">
      <c r="A8" s="8" t="s">
        <v>13</v>
      </c>
      <c r="B8" s="118"/>
      <c r="C8" s="75" t="s">
        <v>187</v>
      </c>
      <c r="D8" s="8" t="s">
        <v>14</v>
      </c>
      <c r="E8" s="12"/>
      <c r="F8" s="5" t="s">
        <v>188</v>
      </c>
      <c r="G8" s="127" t="s">
        <v>30</v>
      </c>
      <c r="H8" s="137" t="s">
        <v>31</v>
      </c>
      <c r="I8" s="60"/>
      <c r="J8" s="60"/>
      <c r="K8" s="60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 spans="1:31" ht="45">
      <c r="A9" s="8" t="s">
        <v>17</v>
      </c>
      <c r="B9" s="118"/>
      <c r="C9" s="75" t="s">
        <v>187</v>
      </c>
      <c r="D9" s="8" t="s">
        <v>18</v>
      </c>
      <c r="E9" s="12"/>
      <c r="F9" s="5" t="s">
        <v>188</v>
      </c>
      <c r="G9" s="127"/>
      <c r="H9" s="137"/>
      <c r="I9" s="60"/>
      <c r="J9" s="60"/>
      <c r="K9" s="60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ht="45">
      <c r="A10" s="8" t="s">
        <v>21</v>
      </c>
      <c r="B10" s="10">
        <f>E10</f>
        <v>0</v>
      </c>
      <c r="C10" s="11" t="s">
        <v>22</v>
      </c>
      <c r="D10" s="8" t="s">
        <v>23</v>
      </c>
      <c r="E10" s="13">
        <f>E9*E8*E8*22*B17/7</f>
        <v>0</v>
      </c>
      <c r="F10" s="9"/>
      <c r="G10" s="10" t="s">
        <v>35</v>
      </c>
      <c r="H10" s="132" t="s">
        <v>36</v>
      </c>
      <c r="I10" s="60"/>
      <c r="J10" s="60"/>
      <c r="K10" s="60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 spans="1:31" ht="45">
      <c r="A11" s="8" t="s">
        <v>26</v>
      </c>
      <c r="B11" s="10" t="s">
        <v>27</v>
      </c>
      <c r="C11" s="75" t="s">
        <v>187</v>
      </c>
      <c r="D11" s="8" t="s">
        <v>29</v>
      </c>
      <c r="E11" s="10" t="s">
        <v>27</v>
      </c>
      <c r="F11" s="9" t="s">
        <v>187</v>
      </c>
      <c r="G11" s="10" t="s">
        <v>40</v>
      </c>
      <c r="H11" s="132" t="s">
        <v>41</v>
      </c>
      <c r="I11" s="60"/>
      <c r="J11" s="60"/>
      <c r="K11" s="60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 spans="1:31" ht="15.75" thickBot="1">
      <c r="A12" s="14" t="s">
        <v>32</v>
      </c>
      <c r="B12" s="15">
        <v>101.325</v>
      </c>
      <c r="C12" s="28" t="s">
        <v>33</v>
      </c>
      <c r="D12" s="98"/>
      <c r="E12" s="99"/>
      <c r="F12" s="99"/>
      <c r="G12" s="10" t="s">
        <v>45</v>
      </c>
      <c r="H12" s="132" t="s">
        <v>46</v>
      </c>
      <c r="I12" s="60"/>
      <c r="J12" s="60"/>
      <c r="K12" s="60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1" ht="30.75" thickBot="1">
      <c r="A13" s="100" t="s">
        <v>34</v>
      </c>
      <c r="B13" s="101"/>
      <c r="C13" s="101"/>
      <c r="D13" s="101"/>
      <c r="E13" s="101"/>
      <c r="F13" s="101"/>
      <c r="G13" s="10" t="s">
        <v>50</v>
      </c>
      <c r="H13" s="132" t="s">
        <v>51</v>
      </c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30.75" thickBot="1">
      <c r="A14" s="3" t="s">
        <v>37</v>
      </c>
      <c r="B14" s="18"/>
      <c r="C14" s="7" t="s">
        <v>38</v>
      </c>
      <c r="D14" s="67" t="s">
        <v>39</v>
      </c>
      <c r="E14" s="18"/>
      <c r="F14" s="133" t="s">
        <v>30</v>
      </c>
      <c r="G14" s="10" t="s">
        <v>54</v>
      </c>
      <c r="H14" s="132" t="s">
        <v>55</v>
      </c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 spans="1:31" ht="30">
      <c r="A15" s="8" t="s">
        <v>42</v>
      </c>
      <c r="B15" s="10"/>
      <c r="C15" s="7" t="s">
        <v>43</v>
      </c>
      <c r="D15" s="8" t="s">
        <v>44</v>
      </c>
      <c r="E15" s="10"/>
      <c r="F15" s="134"/>
      <c r="G15" s="10" t="s">
        <v>58</v>
      </c>
      <c r="H15" s="132" t="s">
        <v>59</v>
      </c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 spans="1:31">
      <c r="A16" s="8" t="s">
        <v>47</v>
      </c>
      <c r="B16" s="10"/>
      <c r="C16" s="90" t="s">
        <v>48</v>
      </c>
      <c r="D16" s="8" t="s">
        <v>49</v>
      </c>
      <c r="E16" s="10">
        <v>6.4</v>
      </c>
      <c r="F16" s="135" t="s">
        <v>35</v>
      </c>
      <c r="G16" s="10" t="s">
        <v>62</v>
      </c>
      <c r="H16" s="132" t="s">
        <v>63</v>
      </c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1">
      <c r="A17" s="8" t="s">
        <v>52</v>
      </c>
      <c r="B17" s="10"/>
      <c r="C17" s="90"/>
      <c r="D17" s="8" t="s">
        <v>53</v>
      </c>
      <c r="E17" s="10">
        <v>25</v>
      </c>
      <c r="F17" s="134"/>
      <c r="G17" s="10" t="s">
        <v>66</v>
      </c>
      <c r="H17" s="132" t="s">
        <v>67</v>
      </c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 spans="1:31">
      <c r="A18" s="8" t="s">
        <v>56</v>
      </c>
      <c r="B18" s="10"/>
      <c r="C18" s="90"/>
      <c r="D18" s="8" t="s">
        <v>57</v>
      </c>
      <c r="E18" s="10">
        <v>100</v>
      </c>
      <c r="F18" s="134"/>
      <c r="G18" s="10" t="s">
        <v>70</v>
      </c>
      <c r="H18" s="132" t="s">
        <v>71</v>
      </c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1" ht="30">
      <c r="A19" s="8" t="s">
        <v>60</v>
      </c>
      <c r="B19" s="10"/>
      <c r="C19" s="90"/>
      <c r="D19" s="8" t="s">
        <v>61</v>
      </c>
      <c r="E19" s="10">
        <v>150</v>
      </c>
      <c r="F19" s="134"/>
      <c r="G19" s="10" t="s">
        <v>74</v>
      </c>
      <c r="H19" s="132" t="s">
        <v>75</v>
      </c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 spans="1:31">
      <c r="A20" s="8" t="s">
        <v>64</v>
      </c>
      <c r="B20" s="10"/>
      <c r="C20" s="90"/>
      <c r="D20" s="8" t="s">
        <v>65</v>
      </c>
      <c r="E20" s="10"/>
      <c r="F20" s="134" t="s">
        <v>40</v>
      </c>
      <c r="G20" s="10" t="s">
        <v>78</v>
      </c>
      <c r="H20" s="132" t="s">
        <v>79</v>
      </c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 spans="1:31" ht="30">
      <c r="A21" s="8" t="s">
        <v>68</v>
      </c>
      <c r="B21" s="10"/>
      <c r="C21" s="90"/>
      <c r="D21" s="8" t="s">
        <v>69</v>
      </c>
      <c r="E21" s="10"/>
      <c r="F21" s="134"/>
      <c r="G21" s="10" t="s">
        <v>82</v>
      </c>
      <c r="H21" s="132" t="s">
        <v>83</v>
      </c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 spans="1:31">
      <c r="A22" s="8" t="s">
        <v>72</v>
      </c>
      <c r="B22" s="10"/>
      <c r="C22" s="90"/>
      <c r="D22" s="8" t="s">
        <v>73</v>
      </c>
      <c r="E22" s="10"/>
      <c r="F22" s="134"/>
      <c r="G22" s="10" t="s">
        <v>87</v>
      </c>
      <c r="H22" s="132" t="s">
        <v>88</v>
      </c>
      <c r="I22" s="60"/>
      <c r="J22" s="60"/>
      <c r="K22" s="60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 spans="1:31">
      <c r="A23" s="8" t="s">
        <v>76</v>
      </c>
      <c r="B23" s="10"/>
      <c r="C23" s="90"/>
      <c r="D23" s="8" t="s">
        <v>77</v>
      </c>
      <c r="E23" s="10"/>
      <c r="F23" s="134"/>
      <c r="G23" s="10" t="s">
        <v>90</v>
      </c>
      <c r="H23" s="132" t="s">
        <v>91</v>
      </c>
      <c r="I23" s="60"/>
      <c r="J23" s="60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>
      <c r="A24" s="8" t="s">
        <v>80</v>
      </c>
      <c r="B24" s="10"/>
      <c r="C24" s="90"/>
      <c r="D24" s="8" t="s">
        <v>81</v>
      </c>
      <c r="E24" s="10"/>
      <c r="F24" s="134"/>
      <c r="G24" s="10" t="s">
        <v>93</v>
      </c>
      <c r="H24" s="132" t="s">
        <v>94</v>
      </c>
      <c r="I24" s="60"/>
      <c r="J24" s="60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 spans="1:31" ht="15.75" thickBot="1">
      <c r="A25" s="14" t="s">
        <v>84</v>
      </c>
      <c r="B25" s="15"/>
      <c r="C25" s="91"/>
      <c r="D25" s="14" t="s">
        <v>85</v>
      </c>
      <c r="E25" s="15" t="s">
        <v>86</v>
      </c>
      <c r="F25" s="16" t="s">
        <v>45</v>
      </c>
      <c r="G25" s="10" t="s">
        <v>100</v>
      </c>
      <c r="H25" s="132" t="s">
        <v>101</v>
      </c>
      <c r="I25" s="60"/>
      <c r="J25" s="60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 ht="15.75" thickBot="1">
      <c r="A26" s="102" t="s">
        <v>89</v>
      </c>
      <c r="B26" s="103"/>
      <c r="C26" s="103"/>
      <c r="D26" s="103"/>
      <c r="E26" s="103"/>
      <c r="F26" s="103"/>
      <c r="G26" s="10" t="s">
        <v>102</v>
      </c>
      <c r="H26" s="132" t="s">
        <v>103</v>
      </c>
      <c r="I26" s="60"/>
      <c r="J26" s="60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 spans="1:31" ht="15.75" thickBot="1">
      <c r="A27" s="147" t="s">
        <v>92</v>
      </c>
      <c r="B27" s="148"/>
      <c r="C27" s="148"/>
      <c r="D27" s="148"/>
      <c r="E27" s="148"/>
      <c r="F27" s="148"/>
      <c r="G27" s="10" t="s">
        <v>105</v>
      </c>
      <c r="H27" s="132" t="s">
        <v>106</v>
      </c>
      <c r="I27" s="60"/>
      <c r="J27" s="60"/>
      <c r="K27" s="60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1:31">
      <c r="A28" s="86" t="s">
        <v>95</v>
      </c>
      <c r="B28" s="30" t="s">
        <v>96</v>
      </c>
      <c r="C28" s="30" t="s">
        <v>97</v>
      </c>
      <c r="D28" s="30" t="s">
        <v>98</v>
      </c>
      <c r="E28" s="30" t="s">
        <v>99</v>
      </c>
      <c r="F28" s="81" t="s">
        <v>50</v>
      </c>
      <c r="G28" s="2"/>
      <c r="H28" s="122"/>
      <c r="I28" s="60"/>
      <c r="J28" s="60"/>
      <c r="K28" s="60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1:31" ht="15.75" thickBot="1">
      <c r="A29" s="87"/>
      <c r="B29" s="15" t="e">
        <f>0.0000214283116554052*SQRT(B17)*E16*E16*SQRT(E6-B12)</f>
        <v>#NUM!</v>
      </c>
      <c r="C29" s="15" t="e">
        <f>0.0000214283116554052*SQRT(B17)*E17*E17*SQRT(E6-B12)</f>
        <v>#NUM!</v>
      </c>
      <c r="D29" s="15" t="e">
        <f>0.0000214283116554052*SQRT(B17)*E18*E18*SQRT(E6-B12)</f>
        <v>#NUM!</v>
      </c>
      <c r="E29" s="15" t="e">
        <f>0.0000214283116554052*SQRT(B17)*E19*E19*SQRT(E6-B12)</f>
        <v>#NUM!</v>
      </c>
      <c r="F29" s="93"/>
      <c r="G29" s="2"/>
      <c r="H29" s="122"/>
      <c r="I29" s="60"/>
      <c r="J29" s="60"/>
      <c r="K29" s="60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1:31" ht="15.75" thickBot="1">
      <c r="A30" s="147" t="s">
        <v>104</v>
      </c>
      <c r="B30" s="148"/>
      <c r="C30" s="148"/>
      <c r="D30" s="148"/>
      <c r="E30" s="148"/>
      <c r="F30" s="149"/>
      <c r="G30" s="2"/>
      <c r="H30" s="122"/>
      <c r="I30" s="60"/>
      <c r="J30" s="60"/>
      <c r="K30" s="60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1:31" ht="15.75" thickBot="1">
      <c r="A31" s="33" t="s">
        <v>107</v>
      </c>
      <c r="B31" s="34"/>
      <c r="C31" s="35" t="s">
        <v>54</v>
      </c>
      <c r="D31" s="36" t="s">
        <v>108</v>
      </c>
      <c r="E31" s="18">
        <f>B31/(B31-8.314)</f>
        <v>0</v>
      </c>
      <c r="F31" s="37"/>
      <c r="G31" s="2"/>
      <c r="H31" s="122"/>
      <c r="I31" s="60"/>
      <c r="J31" s="60"/>
      <c r="K31" s="60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1:31" ht="15.75" thickBot="1">
      <c r="A32" s="38" t="s">
        <v>109</v>
      </c>
      <c r="B32" s="39" t="e">
        <f>B12*POWER((E31+1)/2,(E31/E31-1))</f>
        <v>#DIV/0!</v>
      </c>
      <c r="C32" s="40"/>
      <c r="D32" s="41"/>
      <c r="E32" s="15"/>
      <c r="F32" s="42"/>
      <c r="G32" s="2"/>
      <c r="H32" s="122"/>
      <c r="I32" s="60"/>
      <c r="J32" s="60"/>
      <c r="K32" s="60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:31">
      <c r="A33" s="29"/>
      <c r="B33" s="30" t="s">
        <v>96</v>
      </c>
      <c r="C33" s="30" t="s">
        <v>97</v>
      </c>
      <c r="D33" s="30" t="s">
        <v>98</v>
      </c>
      <c r="E33" s="30" t="s">
        <v>99</v>
      </c>
      <c r="F33" s="81" t="s">
        <v>58</v>
      </c>
      <c r="G33" s="2"/>
      <c r="H33" s="122"/>
      <c r="I33" s="60"/>
      <c r="J33" s="60"/>
      <c r="K33" s="60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:31">
      <c r="A34" s="43" t="s">
        <v>110</v>
      </c>
      <c r="B34" s="10" t="e">
        <f>0.0000576480291418949*E16*E16*E6*SQRT((E31*B15/E5)*POWER(2/(E31+1),(E31+1)/(E31-1)))</f>
        <v>#DIV/0!</v>
      </c>
      <c r="C34" s="10" t="e">
        <f>0.0000576480291418949*E17*E17*E6*SQRT((E31*B15/E5)*POWER(2/(E31+1),(E31+1)/(E31-1)))</f>
        <v>#DIV/0!</v>
      </c>
      <c r="D34" s="10" t="e">
        <f>0.0000576480291418949*E18*E18*E6*SQRT((E31*B15/E5)*POWER(2/(E31+1),(E31+1)/(E31-1)))</f>
        <v>#DIV/0!</v>
      </c>
      <c r="E34" s="10" t="e">
        <f>0.0000576480291418949*E19*E19*E6*SQRT((E31*B15/E5)*POWER(2/(E31+1),(E31+1)/(E31-1)))</f>
        <v>#DIV/0!</v>
      </c>
      <c r="F34" s="82"/>
      <c r="G34" s="2"/>
      <c r="H34" s="122"/>
      <c r="I34" s="60"/>
      <c r="J34" s="60"/>
      <c r="K34" s="60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:31" ht="15.75" thickBot="1">
      <c r="A35" s="45" t="s">
        <v>111</v>
      </c>
      <c r="B35" s="24" t="e">
        <f>0.0000576480291418949*E16*E16*E6*SQRT((B16*2*E31)/(E5*(E31-1)))*SQRT(1-POWER(B12/E6,(E31-1)/E31)*POWER(B12/E6,1/E31))</f>
        <v>#DIV/0!</v>
      </c>
      <c r="C35" s="24" t="e">
        <f>0.0000576480291418949*E17*E17*E6*SQRT((B16*2*E31)/(E5*(E31-1)))*SQRT(1-POWER(B12/E6,(E31-1)/E31)*POWER(B12/E6,1/E31))</f>
        <v>#DIV/0!</v>
      </c>
      <c r="D35" s="24" t="e">
        <f>0.0000576480291418949*E18*E18*E6*SQRT((B16*2*E31)/(E5*(E31-1)))*SQRT(1-POWER(B12/E6,(E31-1)/E31)*POWER(B12/E6,1/E31))</f>
        <v>#DIV/0!</v>
      </c>
      <c r="E35" s="24" t="e">
        <f>0.0000576480291418949*E19*E19*E6*SQRT((B16*2*E31)/(E5*(E31-1)))*SQRT(1-POWER(B12/E6,(E31-1)/E31)*POWER(B12/E6,1/E31))</f>
        <v>#DIV/0!</v>
      </c>
      <c r="F35" s="82"/>
      <c r="G35" s="2"/>
      <c r="H35" s="122"/>
      <c r="I35" s="60"/>
      <c r="J35" s="60"/>
      <c r="K35" s="60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 ht="15.75" thickBot="1">
      <c r="A36" s="46" t="s">
        <v>112</v>
      </c>
      <c r="B36" s="47"/>
      <c r="C36" s="47"/>
      <c r="D36" s="47"/>
      <c r="E36" s="47"/>
      <c r="F36" s="48" t="s">
        <v>62</v>
      </c>
      <c r="G36" s="2"/>
      <c r="H36" s="122"/>
      <c r="I36" s="60"/>
      <c r="J36" s="60"/>
      <c r="K36" s="60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:31" ht="15.75" thickBot="1">
      <c r="A37" s="49" t="s">
        <v>113</v>
      </c>
      <c r="B37" s="36" t="e">
        <f>4536/B36</f>
        <v>#DIV/0!</v>
      </c>
      <c r="C37" s="5" t="e">
        <f>4536/C36</f>
        <v>#DIV/0!</v>
      </c>
      <c r="D37" s="40" t="e">
        <f>4536/D36</f>
        <v>#DIV/0!</v>
      </c>
      <c r="E37" s="36" t="e">
        <f>4536/E36</f>
        <v>#DIV/0!</v>
      </c>
      <c r="F37" s="50" t="s">
        <v>66</v>
      </c>
      <c r="G37" s="2"/>
      <c r="H37" s="122"/>
      <c r="I37" s="60"/>
      <c r="J37" s="60"/>
      <c r="K37" s="60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 spans="1:31">
      <c r="A38" s="51" t="s">
        <v>114</v>
      </c>
      <c r="B38" s="52"/>
      <c r="C38" s="10"/>
      <c r="D38" s="53"/>
      <c r="E38" s="10"/>
      <c r="F38" s="11" t="s">
        <v>70</v>
      </c>
      <c r="G38" s="2"/>
      <c r="H38" s="122"/>
      <c r="I38" s="60"/>
      <c r="J38" s="60"/>
      <c r="K38" s="60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 spans="1:31">
      <c r="A39" s="51" t="s">
        <v>115</v>
      </c>
      <c r="B39" s="52">
        <v>0</v>
      </c>
      <c r="C39" s="10">
        <v>0</v>
      </c>
      <c r="D39" s="10">
        <v>0</v>
      </c>
      <c r="E39" s="10">
        <v>0</v>
      </c>
      <c r="F39" s="11" t="s">
        <v>74</v>
      </c>
      <c r="G39" s="2"/>
      <c r="H39" s="122"/>
      <c r="I39" s="60"/>
      <c r="J39" s="60"/>
      <c r="K39" s="60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:31">
      <c r="A40" s="51" t="s">
        <v>116</v>
      </c>
      <c r="B40" s="52">
        <f>E10</f>
        <v>0</v>
      </c>
      <c r="C40" s="10"/>
      <c r="D40" s="10"/>
      <c r="E40" s="10"/>
      <c r="F40" s="11" t="s">
        <v>78</v>
      </c>
      <c r="G40" s="2"/>
      <c r="H40" s="122"/>
      <c r="I40" s="60"/>
      <c r="J40" s="60"/>
      <c r="K40" s="60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:31">
      <c r="A41" s="51" t="s">
        <v>117</v>
      </c>
      <c r="B41" s="52">
        <f>60*60</f>
        <v>3600</v>
      </c>
      <c r="C41" s="10">
        <f>60*40</f>
        <v>2400</v>
      </c>
      <c r="D41" s="10">
        <f>60*20</f>
        <v>1200</v>
      </c>
      <c r="E41" s="10" t="e">
        <f>E42</f>
        <v>#DIV/0!</v>
      </c>
      <c r="F41" s="11" t="s">
        <v>82</v>
      </c>
      <c r="G41" s="2"/>
      <c r="H41" s="122"/>
      <c r="I41" s="60"/>
      <c r="J41" s="60"/>
      <c r="K41" s="60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1:31">
      <c r="A42" s="51" t="s">
        <v>118</v>
      </c>
      <c r="B42" s="52" t="e">
        <f>B40/B36</f>
        <v>#DIV/0!</v>
      </c>
      <c r="C42" s="10" t="e">
        <f>C40/C36</f>
        <v>#DIV/0!</v>
      </c>
      <c r="D42" s="10" t="e">
        <f>D40/D36</f>
        <v>#DIV/0!</v>
      </c>
      <c r="E42" s="10" t="e">
        <f>E40/E36</f>
        <v>#DIV/0!</v>
      </c>
      <c r="F42" s="11"/>
      <c r="G42" s="2"/>
      <c r="H42" s="122"/>
      <c r="I42" s="60"/>
      <c r="J42" s="60"/>
      <c r="K42" s="60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 spans="1:31">
      <c r="A43" s="51" t="s">
        <v>119</v>
      </c>
      <c r="B43" s="52"/>
      <c r="C43" s="10"/>
      <c r="D43" s="10"/>
      <c r="E43" s="10"/>
      <c r="F43" s="11" t="s">
        <v>87</v>
      </c>
      <c r="G43" s="2"/>
      <c r="H43" s="122"/>
      <c r="I43" s="60"/>
      <c r="J43" s="60"/>
      <c r="K43" s="60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 spans="1:31">
      <c r="A44" s="51" t="s">
        <v>120</v>
      </c>
      <c r="B44" s="52">
        <f>B36*B43</f>
        <v>0</v>
      </c>
      <c r="C44" s="10">
        <f>C36*C43</f>
        <v>0</v>
      </c>
      <c r="D44" s="10">
        <f>D36*D43</f>
        <v>0</v>
      </c>
      <c r="E44" s="10">
        <f>E36*E43</f>
        <v>0</v>
      </c>
      <c r="F44" s="11"/>
      <c r="G44" s="2"/>
      <c r="H44" s="122"/>
      <c r="I44" s="60"/>
      <c r="J44" s="60"/>
      <c r="K44" s="60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 spans="1:31" ht="15.75" thickBot="1">
      <c r="A45" s="54" t="s">
        <v>121</v>
      </c>
      <c r="B45" s="55">
        <f>IF(B44&lt;B40,B44,B40)</f>
        <v>0</v>
      </c>
      <c r="C45" s="24">
        <f>IF(C44&lt;C40,C44,C40)</f>
        <v>0</v>
      </c>
      <c r="D45" s="24">
        <f>IF(D44&lt;D40,D44,D40)</f>
        <v>0</v>
      </c>
      <c r="E45" s="24">
        <f>IF(E44&lt;E40,E44,E40)</f>
        <v>0</v>
      </c>
      <c r="F45" s="25" t="s">
        <v>90</v>
      </c>
      <c r="G45" s="2"/>
      <c r="H45" s="122"/>
      <c r="I45" s="60"/>
      <c r="J45" s="60"/>
      <c r="K45" s="60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 spans="1:31" ht="15.75" thickBot="1">
      <c r="A46" s="46" t="s">
        <v>122</v>
      </c>
      <c r="B46" s="68"/>
      <c r="C46" s="69"/>
      <c r="D46" s="69"/>
      <c r="E46" s="69"/>
      <c r="F46" s="70" t="s">
        <v>93</v>
      </c>
      <c r="G46" s="2"/>
      <c r="H46" s="122"/>
      <c r="I46" s="60"/>
      <c r="J46" s="60"/>
      <c r="K46" s="60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 spans="1:31" ht="15.75" thickBot="1">
      <c r="A47" s="71" t="s">
        <v>123</v>
      </c>
      <c r="B47" s="72"/>
      <c r="C47" s="73"/>
      <c r="D47" s="73"/>
      <c r="E47" s="73"/>
      <c r="F47" s="44" t="s">
        <v>100</v>
      </c>
      <c r="G47" s="2"/>
      <c r="H47" s="122"/>
      <c r="I47" s="60"/>
      <c r="J47" s="60"/>
      <c r="K47" s="60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 spans="1:31">
      <c r="A48" s="74" t="s">
        <v>124</v>
      </c>
      <c r="B48" s="29" t="e">
        <f>E14*POWER(B46,E15)</f>
        <v>#NUM!</v>
      </c>
      <c r="C48" s="18" t="e">
        <f>E14*POWER(C46,E15)</f>
        <v>#NUM!</v>
      </c>
      <c r="D48" s="18" t="e">
        <f>E14*POWER(D46,E15)</f>
        <v>#NUM!</v>
      </c>
      <c r="E48" s="18" t="e">
        <f>E14*POWER(E46,E15)</f>
        <v>#NUM!</v>
      </c>
      <c r="F48" s="7" t="s">
        <v>102</v>
      </c>
      <c r="G48" s="2"/>
      <c r="H48" s="122"/>
      <c r="I48" s="60"/>
      <c r="J48" s="60"/>
      <c r="K48" s="60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1:31" ht="15.75" thickBot="1">
      <c r="A49" s="66" t="s">
        <v>125</v>
      </c>
      <c r="B49" s="32" t="e">
        <f>(B48*E20+C48*E21+D48*E22+E48*E23)/E24</f>
        <v>#NUM!</v>
      </c>
      <c r="C49" s="15"/>
      <c r="D49" s="15"/>
      <c r="E49" s="15"/>
      <c r="F49" s="28" t="s">
        <v>102</v>
      </c>
      <c r="G49" s="2"/>
      <c r="H49" s="122"/>
      <c r="I49" s="60"/>
      <c r="J49" s="60"/>
      <c r="K49" s="60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1:31">
      <c r="A50" s="2"/>
      <c r="B50" s="2"/>
      <c r="C50" s="2"/>
      <c r="D50" s="2"/>
      <c r="E50" s="2"/>
      <c r="F50" s="2"/>
      <c r="G50" s="2"/>
      <c r="H50" s="122"/>
      <c r="I50" s="60"/>
      <c r="J50" s="60"/>
      <c r="K50" s="60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1:31">
      <c r="A51" s="2"/>
      <c r="B51" s="2"/>
      <c r="C51" s="2"/>
      <c r="D51" s="2"/>
      <c r="E51" s="2"/>
      <c r="F51" s="2"/>
      <c r="G51" s="2"/>
      <c r="H51" s="122"/>
      <c r="I51" s="60"/>
      <c r="J51" s="60"/>
      <c r="K51" s="60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 spans="1:31">
      <c r="A52" s="2"/>
      <c r="B52" s="2"/>
      <c r="C52" s="2"/>
      <c r="D52" s="2"/>
      <c r="E52" s="2"/>
      <c r="F52" s="2"/>
      <c r="G52" s="2"/>
      <c r="H52" s="122"/>
      <c r="I52" s="60"/>
      <c r="J52" s="60"/>
      <c r="K52" s="60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>
      <c r="A53" s="2"/>
      <c r="B53" s="2"/>
      <c r="C53" s="2"/>
      <c r="D53" s="2"/>
      <c r="E53" s="2"/>
      <c r="F53" s="2"/>
      <c r="G53" s="2"/>
      <c r="H53" s="122"/>
      <c r="I53" s="60"/>
      <c r="J53" s="60"/>
      <c r="K53" s="60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>
      <c r="A54" s="2"/>
      <c r="B54" s="2"/>
      <c r="C54" s="2"/>
      <c r="D54" s="2"/>
      <c r="E54" s="2"/>
      <c r="F54" s="2"/>
      <c r="G54" s="2"/>
      <c r="H54" s="122"/>
      <c r="I54" s="60"/>
      <c r="J54" s="60"/>
      <c r="K54" s="60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 spans="1:31">
      <c r="A55" s="2"/>
      <c r="B55" s="2"/>
      <c r="C55" s="2"/>
      <c r="D55" s="2"/>
      <c r="E55" s="2"/>
      <c r="F55" s="2"/>
      <c r="G55" s="2"/>
      <c r="H55" s="122"/>
      <c r="I55" s="60"/>
      <c r="J55" s="60"/>
      <c r="K55" s="60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>
      <c r="A56" s="2"/>
      <c r="B56" s="2"/>
      <c r="C56" s="2"/>
      <c r="D56" s="2"/>
      <c r="E56" s="2"/>
      <c r="F56" s="2"/>
      <c r="G56" s="2"/>
      <c r="H56" s="122"/>
      <c r="I56" s="60"/>
      <c r="J56" s="60"/>
      <c r="K56" s="60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>
      <c r="A57" s="2"/>
      <c r="B57" s="2"/>
      <c r="C57" s="2"/>
      <c r="D57" s="2"/>
      <c r="E57" s="2"/>
      <c r="F57" s="2"/>
      <c r="G57" s="2"/>
      <c r="H57" s="122"/>
      <c r="I57" s="60"/>
      <c r="J57" s="60"/>
      <c r="K57" s="60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>
      <c r="A58" s="2"/>
      <c r="B58" s="2"/>
      <c r="C58" s="2"/>
      <c r="D58" s="2"/>
      <c r="E58" s="2"/>
      <c r="F58" s="2"/>
      <c r="G58" s="2"/>
      <c r="H58" s="122"/>
      <c r="I58" s="60"/>
      <c r="J58" s="60"/>
      <c r="K58" s="60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>
      <c r="A59" s="2"/>
      <c r="B59" s="2"/>
      <c r="C59" s="2"/>
      <c r="D59" s="2"/>
      <c r="E59" s="2"/>
      <c r="F59" s="2"/>
      <c r="G59" s="2"/>
      <c r="H59" s="122"/>
      <c r="I59" s="60"/>
      <c r="J59" s="60"/>
      <c r="K59" s="60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1:31">
      <c r="A60" s="2"/>
      <c r="B60" s="2"/>
      <c r="C60" s="2"/>
      <c r="D60" s="2"/>
      <c r="E60" s="2"/>
      <c r="F60" s="2"/>
      <c r="G60" s="2"/>
      <c r="H60" s="122"/>
      <c r="I60" s="60"/>
      <c r="J60" s="60"/>
      <c r="K60" s="60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1:31">
      <c r="A61" s="2"/>
      <c r="B61" s="2"/>
      <c r="C61" s="2"/>
      <c r="D61" s="2"/>
      <c r="E61" s="2"/>
      <c r="F61" s="2"/>
      <c r="G61" s="2"/>
      <c r="H61" s="122"/>
      <c r="I61" s="60"/>
      <c r="J61" s="60"/>
      <c r="K61" s="60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1:31">
      <c r="A62" s="2"/>
      <c r="B62" s="2"/>
      <c r="C62" s="2"/>
      <c r="D62" s="2"/>
      <c r="E62" s="2"/>
      <c r="F62" s="2"/>
      <c r="G62" s="2"/>
      <c r="H62" s="122"/>
      <c r="I62" s="60"/>
      <c r="J62" s="60"/>
      <c r="K62" s="60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1:31">
      <c r="A63" s="2"/>
      <c r="B63" s="2"/>
      <c r="C63" s="2"/>
      <c r="D63" s="2"/>
      <c r="E63" s="2"/>
      <c r="F63" s="2"/>
      <c r="G63" s="2"/>
      <c r="H63" s="122"/>
      <c r="I63" s="60"/>
      <c r="J63" s="60"/>
      <c r="K63" s="60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1:31">
      <c r="A64" s="2"/>
      <c r="B64" s="2"/>
      <c r="C64" s="2"/>
      <c r="D64" s="2"/>
      <c r="E64" s="2"/>
      <c r="F64" s="2"/>
      <c r="G64" s="2"/>
      <c r="H64" s="122"/>
      <c r="I64" s="60"/>
      <c r="J64" s="60"/>
      <c r="K64" s="60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 spans="1:31">
      <c r="A65" s="2"/>
      <c r="B65" s="2"/>
      <c r="C65" s="2"/>
      <c r="D65" s="2"/>
      <c r="E65" s="2"/>
      <c r="F65" s="2"/>
      <c r="G65" s="2"/>
      <c r="H65" s="122"/>
      <c r="I65" s="60"/>
      <c r="J65" s="60"/>
      <c r="K65" s="60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 spans="1:31">
      <c r="A66" s="2"/>
      <c r="B66" s="2"/>
      <c r="C66" s="2"/>
      <c r="D66" s="2"/>
      <c r="E66" s="2"/>
      <c r="F66" s="2"/>
      <c r="G66" s="2"/>
      <c r="H66" s="122"/>
      <c r="I66" s="60"/>
      <c r="J66" s="60"/>
      <c r="K66" s="60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 spans="1:31">
      <c r="A67" s="2"/>
      <c r="B67" s="2"/>
      <c r="C67" s="2"/>
      <c r="D67" s="2"/>
      <c r="E67" s="2"/>
      <c r="F67" s="2"/>
      <c r="G67" s="2"/>
      <c r="H67" s="122"/>
      <c r="I67" s="60"/>
      <c r="J67" s="60"/>
      <c r="K67" s="60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 spans="1:31">
      <c r="A68" s="2"/>
      <c r="B68" s="2"/>
      <c r="C68" s="2"/>
      <c r="D68" s="2"/>
      <c r="E68" s="2"/>
      <c r="F68" s="2"/>
      <c r="G68" s="2"/>
      <c r="H68" s="122"/>
      <c r="I68" s="60"/>
      <c r="J68" s="60"/>
      <c r="K68" s="60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 spans="1:31">
      <c r="A69" s="2"/>
      <c r="B69" s="2"/>
      <c r="C69" s="2"/>
      <c r="D69" s="2"/>
      <c r="E69" s="2"/>
      <c r="F69" s="2"/>
      <c r="G69" s="2"/>
      <c r="H69" s="122"/>
      <c r="I69" s="60"/>
      <c r="J69" s="60"/>
      <c r="K69" s="60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 spans="1:31">
      <c r="A70" s="2"/>
      <c r="B70" s="2"/>
      <c r="C70" s="2"/>
      <c r="D70" s="2"/>
      <c r="E70" s="2"/>
      <c r="F70" s="2"/>
      <c r="G70" s="2"/>
      <c r="H70" s="122"/>
      <c r="I70" s="60"/>
      <c r="J70" s="60"/>
      <c r="K70" s="60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 spans="1:31">
      <c r="A71" s="2"/>
      <c r="B71" s="2"/>
      <c r="C71" s="2"/>
      <c r="D71" s="2"/>
      <c r="E71" s="2"/>
      <c r="F71" s="2"/>
      <c r="G71" s="2"/>
      <c r="H71" s="122"/>
      <c r="I71" s="60"/>
      <c r="J71" s="60"/>
      <c r="K71" s="60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 spans="1:31">
      <c r="A72" s="2"/>
      <c r="B72" s="2"/>
      <c r="C72" s="2"/>
      <c r="D72" s="2"/>
      <c r="E72" s="2"/>
      <c r="F72" s="2"/>
      <c r="G72" s="2"/>
      <c r="H72" s="122"/>
      <c r="I72" s="60"/>
      <c r="J72" s="60"/>
      <c r="K72" s="60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 spans="1:31">
      <c r="A73" s="2"/>
      <c r="B73" s="2"/>
      <c r="C73" s="2"/>
      <c r="D73" s="2"/>
      <c r="E73" s="2"/>
      <c r="F73" s="2"/>
      <c r="G73" s="2"/>
      <c r="H73" s="122"/>
      <c r="I73" s="60"/>
      <c r="J73" s="60"/>
      <c r="K73" s="60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 spans="1:31">
      <c r="A74" s="2"/>
      <c r="B74" s="2"/>
      <c r="C74" s="2"/>
      <c r="D74" s="2"/>
      <c r="E74" s="2"/>
      <c r="F74" s="2"/>
      <c r="G74" s="2"/>
      <c r="H74" s="122"/>
      <c r="I74" s="60"/>
      <c r="J74" s="60"/>
      <c r="K74" s="60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 spans="1:31">
      <c r="A75" s="2"/>
      <c r="B75" s="2"/>
      <c r="C75" s="2"/>
      <c r="D75" s="2"/>
      <c r="E75" s="2"/>
      <c r="F75" s="2"/>
      <c r="G75" s="2"/>
      <c r="H75" s="122"/>
      <c r="I75" s="60"/>
      <c r="J75" s="60"/>
      <c r="K75" s="60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 spans="1:31">
      <c r="A76" s="2"/>
      <c r="B76" s="2"/>
      <c r="C76" s="2"/>
      <c r="D76" s="2"/>
      <c r="E76" s="2"/>
      <c r="F76" s="2"/>
      <c r="G76" s="2"/>
      <c r="H76" s="122"/>
      <c r="I76" s="60"/>
      <c r="J76" s="60"/>
      <c r="K76" s="60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 spans="1:31">
      <c r="A77" s="2"/>
      <c r="B77" s="2"/>
      <c r="C77" s="2"/>
      <c r="D77" s="2"/>
      <c r="E77" s="2"/>
      <c r="F77" s="2"/>
      <c r="G77" s="2"/>
      <c r="H77" s="122"/>
      <c r="I77" s="60"/>
      <c r="J77" s="60"/>
      <c r="K77" s="60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 spans="1:31">
      <c r="A78" s="2"/>
      <c r="B78" s="2"/>
      <c r="C78" s="2"/>
      <c r="D78" s="2"/>
      <c r="E78" s="2"/>
      <c r="F78" s="2"/>
      <c r="G78" s="2"/>
      <c r="H78" s="122"/>
      <c r="I78" s="60"/>
      <c r="J78" s="60"/>
      <c r="K78" s="60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1:31">
      <c r="A79" s="2"/>
      <c r="B79" s="2"/>
      <c r="C79" s="2"/>
      <c r="D79" s="2"/>
      <c r="E79" s="2"/>
      <c r="F79" s="2"/>
      <c r="G79" s="60"/>
      <c r="H79" s="123"/>
      <c r="I79" s="60"/>
      <c r="J79" s="60"/>
      <c r="K79" s="60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31">
      <c r="A80" s="2"/>
      <c r="B80" s="2"/>
      <c r="C80" s="2"/>
      <c r="D80" s="2"/>
      <c r="E80" s="2"/>
      <c r="F80" s="2"/>
      <c r="G80" s="60"/>
      <c r="H80" s="123"/>
      <c r="I80" s="60"/>
      <c r="J80" s="60"/>
      <c r="K80" s="60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 spans="1:31">
      <c r="A81" s="2"/>
      <c r="B81" s="2"/>
      <c r="C81" s="2"/>
      <c r="D81" s="2"/>
      <c r="E81" s="2"/>
      <c r="F81" s="2"/>
      <c r="G81" s="60"/>
      <c r="H81" s="123"/>
      <c r="I81" s="60"/>
      <c r="J81" s="60"/>
      <c r="K81" s="60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1:31">
      <c r="A82" s="60"/>
      <c r="B82" s="60"/>
      <c r="C82" s="60"/>
      <c r="D82" s="60"/>
      <c r="E82" s="60"/>
      <c r="F82" s="60"/>
      <c r="G82" s="60"/>
      <c r="H82" s="123"/>
      <c r="I82" s="60"/>
      <c r="J82" s="60"/>
      <c r="K82" s="60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 spans="1:31">
      <c r="A83" s="60"/>
      <c r="B83" s="60"/>
      <c r="C83" s="60"/>
      <c r="D83" s="60"/>
      <c r="E83" s="60"/>
      <c r="F83" s="60"/>
      <c r="G83" s="60"/>
      <c r="H83" s="123"/>
      <c r="I83" s="60"/>
      <c r="J83" s="60"/>
      <c r="K83" s="60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 spans="1:31">
      <c r="A84" s="60"/>
      <c r="B84" s="60"/>
      <c r="C84" s="60"/>
      <c r="D84" s="60"/>
      <c r="E84" s="60"/>
      <c r="F84" s="60"/>
      <c r="G84" s="60"/>
      <c r="H84" s="123"/>
      <c r="I84" s="60"/>
      <c r="J84" s="60"/>
      <c r="K84" s="60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 spans="1:31">
      <c r="A85" s="60"/>
      <c r="B85" s="60"/>
      <c r="C85" s="60"/>
      <c r="D85" s="60"/>
      <c r="E85" s="60"/>
      <c r="F85" s="60"/>
      <c r="G85" s="60"/>
      <c r="H85" s="123"/>
      <c r="I85" s="60"/>
      <c r="J85" s="60"/>
      <c r="K85" s="60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 spans="1:31">
      <c r="A86" s="60"/>
      <c r="B86" s="60"/>
      <c r="C86" s="60"/>
      <c r="D86" s="60"/>
      <c r="E86" s="60"/>
      <c r="F86" s="60"/>
      <c r="G86" s="60"/>
      <c r="H86" s="123"/>
      <c r="I86" s="60"/>
      <c r="J86" s="60"/>
      <c r="K86" s="60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 spans="1:31">
      <c r="A87" s="60"/>
      <c r="B87" s="60"/>
      <c r="C87" s="60"/>
      <c r="D87" s="60"/>
      <c r="E87" s="60"/>
      <c r="F87" s="60"/>
      <c r="G87" s="60"/>
      <c r="H87" s="123"/>
      <c r="I87" s="60"/>
      <c r="J87" s="60"/>
      <c r="K87" s="60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 spans="1:31">
      <c r="A88" s="60"/>
      <c r="B88" s="60"/>
      <c r="C88" s="60"/>
      <c r="D88" s="60"/>
      <c r="E88" s="60"/>
      <c r="F88" s="60"/>
      <c r="G88" s="60"/>
      <c r="H88" s="123"/>
      <c r="I88" s="60"/>
      <c r="J88" s="60"/>
      <c r="K88" s="60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 spans="1:31">
      <c r="A89" s="60"/>
      <c r="B89" s="60"/>
      <c r="C89" s="60"/>
      <c r="D89" s="60"/>
      <c r="E89" s="60"/>
      <c r="F89" s="60"/>
      <c r="G89" s="60"/>
      <c r="H89" s="123"/>
      <c r="I89" s="60"/>
      <c r="J89" s="60"/>
      <c r="K89" s="60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 spans="1:31">
      <c r="A90" s="60"/>
      <c r="B90" s="60"/>
      <c r="C90" s="60"/>
      <c r="D90" s="60"/>
      <c r="E90" s="60"/>
      <c r="F90" s="60"/>
      <c r="G90" s="60"/>
      <c r="H90" s="123"/>
      <c r="I90" s="60"/>
      <c r="J90" s="60"/>
      <c r="K90" s="60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1:31">
      <c r="A91" s="60"/>
      <c r="B91" s="60"/>
      <c r="C91" s="60"/>
      <c r="D91" s="60"/>
      <c r="E91" s="60"/>
      <c r="F91" s="60"/>
      <c r="G91" s="60"/>
      <c r="H91" s="123"/>
      <c r="I91" s="60"/>
      <c r="J91" s="60"/>
      <c r="K91" s="60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 spans="1:31">
      <c r="A92" s="60"/>
      <c r="B92" s="60"/>
      <c r="C92" s="60"/>
      <c r="D92" s="60"/>
      <c r="E92" s="60"/>
      <c r="F92" s="60"/>
      <c r="G92" s="60"/>
      <c r="H92" s="123"/>
      <c r="I92" s="60"/>
      <c r="J92" s="60"/>
      <c r="K92" s="60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 spans="1:31">
      <c r="A93" s="60"/>
      <c r="B93" s="60"/>
      <c r="C93" s="60"/>
      <c r="D93" s="60"/>
      <c r="E93" s="60"/>
      <c r="F93" s="60"/>
      <c r="G93" s="60"/>
      <c r="H93" s="123"/>
      <c r="I93" s="60"/>
      <c r="J93" s="60"/>
      <c r="K93" s="60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 spans="1:31">
      <c r="A94" s="60"/>
      <c r="B94" s="60"/>
      <c r="C94" s="60"/>
      <c r="D94" s="60"/>
      <c r="E94" s="60"/>
      <c r="F94" s="60"/>
      <c r="G94" s="60"/>
      <c r="H94" s="123"/>
      <c r="I94" s="60"/>
      <c r="J94" s="60"/>
      <c r="K94" s="60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 spans="1:31">
      <c r="A95" s="60"/>
      <c r="B95" s="60"/>
      <c r="C95" s="60"/>
      <c r="D95" s="60"/>
      <c r="E95" s="60"/>
      <c r="F95" s="60"/>
      <c r="G95" s="60"/>
      <c r="H95" s="123"/>
      <c r="I95" s="60"/>
      <c r="J95" s="60"/>
      <c r="K95" s="60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 spans="1:31">
      <c r="A96" s="60"/>
      <c r="B96" s="60"/>
      <c r="C96" s="60"/>
      <c r="D96" s="60"/>
      <c r="E96" s="60"/>
      <c r="F96" s="60"/>
      <c r="G96" s="60"/>
      <c r="H96" s="123"/>
      <c r="I96" s="60"/>
      <c r="J96" s="60"/>
      <c r="K96" s="60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 spans="1:31">
      <c r="A97" s="60"/>
      <c r="B97" s="60"/>
      <c r="C97" s="60"/>
      <c r="D97" s="60"/>
      <c r="E97" s="60"/>
      <c r="F97" s="60"/>
      <c r="G97" s="60"/>
      <c r="H97" s="123"/>
      <c r="I97" s="60"/>
      <c r="J97" s="60"/>
      <c r="K97" s="60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 spans="1:31">
      <c r="A98" s="60"/>
      <c r="B98" s="60"/>
      <c r="C98" s="60"/>
      <c r="D98" s="60"/>
      <c r="E98" s="60"/>
      <c r="F98" s="60"/>
      <c r="G98" s="60"/>
      <c r="H98" s="123"/>
      <c r="I98" s="60"/>
      <c r="J98" s="60"/>
      <c r="K98" s="60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 spans="1:31">
      <c r="A99" s="60"/>
      <c r="B99" s="60"/>
      <c r="C99" s="60"/>
      <c r="D99" s="60"/>
      <c r="E99" s="60"/>
      <c r="F99" s="60"/>
      <c r="G99" s="60"/>
      <c r="H99" s="123"/>
      <c r="I99" s="60"/>
      <c r="J99" s="60"/>
      <c r="K99" s="60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 spans="1:31">
      <c r="A100" s="60"/>
      <c r="B100" s="60"/>
      <c r="C100" s="60"/>
      <c r="D100" s="60"/>
      <c r="E100" s="60"/>
      <c r="F100" s="60"/>
      <c r="G100" s="60"/>
      <c r="H100" s="123"/>
      <c r="I100" s="60"/>
      <c r="J100" s="60"/>
      <c r="K100" s="60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 spans="1:31">
      <c r="A101" s="60"/>
      <c r="B101" s="60"/>
      <c r="C101" s="60"/>
      <c r="D101" s="60"/>
      <c r="E101" s="60"/>
      <c r="F101" s="60"/>
      <c r="G101" s="60"/>
      <c r="H101" s="123"/>
      <c r="I101" s="60"/>
      <c r="J101" s="60"/>
      <c r="K101" s="60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 spans="1:31">
      <c r="A102" s="60"/>
      <c r="B102" s="60"/>
      <c r="C102" s="60"/>
      <c r="D102" s="60"/>
      <c r="E102" s="60"/>
      <c r="F102" s="60"/>
      <c r="G102" s="60"/>
      <c r="H102" s="123"/>
      <c r="I102" s="60"/>
      <c r="J102" s="60"/>
      <c r="K102" s="60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 spans="1:31">
      <c r="A103" s="60"/>
      <c r="B103" s="60"/>
      <c r="C103" s="60"/>
      <c r="D103" s="60"/>
      <c r="E103" s="60"/>
      <c r="F103" s="60"/>
      <c r="G103" s="60"/>
      <c r="H103" s="123"/>
      <c r="I103" s="60"/>
      <c r="J103" s="60"/>
      <c r="K103" s="60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 spans="1:31">
      <c r="A104" s="60"/>
      <c r="B104" s="60"/>
      <c r="C104" s="60"/>
      <c r="D104" s="60"/>
      <c r="E104" s="60"/>
      <c r="F104" s="60"/>
      <c r="I104" s="60"/>
      <c r="J104" s="60"/>
      <c r="K104" s="60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 spans="1:31">
      <c r="A105" s="60"/>
      <c r="B105" s="60"/>
      <c r="C105" s="60"/>
      <c r="D105" s="60"/>
      <c r="E105" s="60"/>
      <c r="F105" s="60"/>
      <c r="I105" s="60"/>
      <c r="J105" s="60"/>
      <c r="K105" s="60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 spans="1:31">
      <c r="A106" s="60"/>
      <c r="B106" s="60"/>
      <c r="C106" s="60"/>
      <c r="D106" s="60"/>
      <c r="E106" s="60"/>
      <c r="F106" s="60"/>
      <c r="I106" s="60"/>
      <c r="J106" s="60"/>
      <c r="K106" s="60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</sheetData>
  <mergeCells count="17">
    <mergeCell ref="A1:F1"/>
    <mergeCell ref="A2:F2"/>
    <mergeCell ref="D12:F12"/>
    <mergeCell ref="A13:F13"/>
    <mergeCell ref="A26:F26"/>
    <mergeCell ref="C6:C7"/>
    <mergeCell ref="C16:C25"/>
    <mergeCell ref="F14:F15"/>
    <mergeCell ref="F16:F19"/>
    <mergeCell ref="F20:F24"/>
    <mergeCell ref="F33:F35"/>
    <mergeCell ref="G8:G9"/>
    <mergeCell ref="H8:H9"/>
    <mergeCell ref="A27:F27"/>
    <mergeCell ref="A30:F30"/>
    <mergeCell ref="A28:A29"/>
    <mergeCell ref="F28:F29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10"/>
  <sheetViews>
    <sheetView workbookViewId="0">
      <selection activeCell="B3" sqref="B3"/>
    </sheetView>
  </sheetViews>
  <sheetFormatPr defaultColWidth="8.85546875" defaultRowHeight="15"/>
  <cols>
    <col min="1" max="1" width="17.7109375" customWidth="1"/>
    <col min="2" max="3" width="17" customWidth="1"/>
    <col min="4" max="6" width="17.7109375" customWidth="1"/>
    <col min="7" max="7" width="12.42578125" customWidth="1"/>
    <col min="8" max="8" width="89.5703125" style="124" customWidth="1"/>
  </cols>
  <sheetData>
    <row r="1" spans="1:31" ht="19.5">
      <c r="A1" s="94" t="s">
        <v>126</v>
      </c>
      <c r="B1" s="94"/>
      <c r="C1" s="94"/>
      <c r="D1" s="94"/>
      <c r="E1" s="94"/>
      <c r="F1" s="94"/>
      <c r="G1" s="1"/>
      <c r="H1" s="122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1:31" ht="15.75" thickBot="1">
      <c r="A2" s="95" t="s">
        <v>1</v>
      </c>
      <c r="B2" s="96"/>
      <c r="C2" s="96"/>
      <c r="D2" s="96"/>
      <c r="E2" s="96"/>
      <c r="F2" s="97"/>
      <c r="G2" s="1"/>
      <c r="H2" s="122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1:31" ht="30.75" thickBot="1">
      <c r="A3" s="78" t="s">
        <v>174</v>
      </c>
      <c r="B3" s="4"/>
      <c r="C3" s="76" t="s">
        <v>186</v>
      </c>
      <c r="D3" s="6" t="s">
        <v>2</v>
      </c>
      <c r="E3" s="120"/>
      <c r="F3" s="5" t="s">
        <v>186</v>
      </c>
      <c r="G3" s="136" t="s">
        <v>3</v>
      </c>
      <c r="H3" s="132" t="s">
        <v>177</v>
      </c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1" ht="30.75" thickBot="1">
      <c r="A4" s="114" t="s">
        <v>175</v>
      </c>
      <c r="B4" s="115"/>
      <c r="C4" s="76" t="s">
        <v>186</v>
      </c>
      <c r="D4" s="116"/>
      <c r="E4" s="117"/>
      <c r="F4" s="80"/>
      <c r="G4" s="136" t="s">
        <v>6</v>
      </c>
      <c r="H4" s="132" t="s">
        <v>176</v>
      </c>
      <c r="I4" s="60"/>
      <c r="J4" s="60"/>
      <c r="K4" s="60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1" ht="45.75" thickBot="1">
      <c r="A5" s="8" t="s">
        <v>4</v>
      </c>
      <c r="B5" s="118"/>
      <c r="C5" s="75" t="s">
        <v>187</v>
      </c>
      <c r="D5" s="8" t="s">
        <v>5</v>
      </c>
      <c r="E5" s="121"/>
      <c r="F5" s="5" t="s">
        <v>186</v>
      </c>
      <c r="G5" s="10" t="s">
        <v>10</v>
      </c>
      <c r="H5" s="132" t="s">
        <v>185</v>
      </c>
      <c r="I5" s="60"/>
      <c r="J5" s="60"/>
      <c r="K5" s="60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 spans="1:31" ht="33" customHeight="1" thickBot="1">
      <c r="A6" s="8" t="s">
        <v>7</v>
      </c>
      <c r="B6" s="119"/>
      <c r="C6" s="88" t="s">
        <v>187</v>
      </c>
      <c r="D6" s="8" t="s">
        <v>9</v>
      </c>
      <c r="E6" s="121"/>
      <c r="F6" s="5" t="s">
        <v>186</v>
      </c>
      <c r="G6" s="141" t="s">
        <v>15</v>
      </c>
      <c r="H6" s="142" t="s">
        <v>127</v>
      </c>
      <c r="I6" s="60"/>
      <c r="J6" s="60"/>
      <c r="K6" s="60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1" ht="30.75" thickBot="1">
      <c r="A7" s="8" t="s">
        <v>11</v>
      </c>
      <c r="B7" s="119"/>
      <c r="C7" s="89"/>
      <c r="D7" s="8" t="s">
        <v>12</v>
      </c>
      <c r="E7" s="121"/>
      <c r="F7" s="5" t="s">
        <v>186</v>
      </c>
      <c r="G7" s="10" t="s">
        <v>19</v>
      </c>
      <c r="H7" s="132" t="s">
        <v>20</v>
      </c>
      <c r="I7" s="60"/>
      <c r="J7" s="60"/>
      <c r="K7" s="60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 spans="1:31" ht="45.75" thickBot="1">
      <c r="A8" s="8" t="s">
        <v>13</v>
      </c>
      <c r="B8" s="118"/>
      <c r="C8" s="75" t="s">
        <v>187</v>
      </c>
      <c r="D8" s="8" t="s">
        <v>14</v>
      </c>
      <c r="E8" s="12"/>
      <c r="F8" s="5" t="s">
        <v>188</v>
      </c>
      <c r="G8" s="10" t="s">
        <v>24</v>
      </c>
      <c r="H8" s="132" t="s">
        <v>25</v>
      </c>
      <c r="I8" s="60"/>
      <c r="J8" s="60"/>
      <c r="K8" s="60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 spans="1:31" ht="45">
      <c r="A9" s="8" t="s">
        <v>17</v>
      </c>
      <c r="B9" s="118"/>
      <c r="C9" s="75" t="s">
        <v>187</v>
      </c>
      <c r="D9" s="8" t="s">
        <v>18</v>
      </c>
      <c r="E9" s="12"/>
      <c r="F9" s="5" t="s">
        <v>188</v>
      </c>
      <c r="G9" s="127" t="s">
        <v>30</v>
      </c>
      <c r="H9" s="137" t="s">
        <v>128</v>
      </c>
      <c r="I9" s="60"/>
      <c r="J9" s="60"/>
      <c r="K9" s="60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ht="45">
      <c r="A10" s="8" t="s">
        <v>21</v>
      </c>
      <c r="B10" s="10">
        <f>E10</f>
        <v>0</v>
      </c>
      <c r="C10" s="75" t="s">
        <v>22</v>
      </c>
      <c r="D10" s="8" t="s">
        <v>23</v>
      </c>
      <c r="E10" s="13">
        <f>E9*E8*E8*22*B16/7</f>
        <v>0</v>
      </c>
      <c r="F10" s="9"/>
      <c r="G10" s="127"/>
      <c r="H10" s="137"/>
      <c r="I10" s="60"/>
      <c r="J10" s="60"/>
      <c r="K10" s="60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 spans="1:31" ht="45">
      <c r="A11" s="8" t="s">
        <v>26</v>
      </c>
      <c r="B11" s="10" t="s">
        <v>27</v>
      </c>
      <c r="C11" s="75" t="s">
        <v>187</v>
      </c>
      <c r="D11" s="8" t="s">
        <v>29</v>
      </c>
      <c r="E11" s="10" t="s">
        <v>27</v>
      </c>
      <c r="F11" s="9" t="s">
        <v>187</v>
      </c>
      <c r="G11" s="127"/>
      <c r="H11" s="137"/>
      <c r="I11" s="60"/>
      <c r="J11" s="60"/>
      <c r="K11" s="60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 spans="1:31" ht="30.75" thickBot="1">
      <c r="A12" s="14" t="s">
        <v>32</v>
      </c>
      <c r="B12" s="15">
        <v>101.325</v>
      </c>
      <c r="C12" s="16" t="s">
        <v>33</v>
      </c>
      <c r="D12" s="14" t="s">
        <v>129</v>
      </c>
      <c r="E12" s="17">
        <v>0</v>
      </c>
      <c r="F12" s="138" t="s">
        <v>130</v>
      </c>
      <c r="G12" s="10"/>
      <c r="H12" s="132"/>
      <c r="I12" s="60"/>
      <c r="J12" s="60"/>
      <c r="K12" s="60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1" ht="30.75" thickBot="1">
      <c r="A13" s="128"/>
      <c r="B13" s="129"/>
      <c r="C13" s="129"/>
      <c r="D13" s="130"/>
      <c r="E13" s="131"/>
      <c r="F13" s="131"/>
      <c r="G13" s="10" t="s">
        <v>35</v>
      </c>
      <c r="H13" s="132" t="s">
        <v>36</v>
      </c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30" customHeight="1" thickBot="1">
      <c r="A14" s="102" t="s">
        <v>34</v>
      </c>
      <c r="B14" s="103"/>
      <c r="C14" s="103"/>
      <c r="D14" s="103"/>
      <c r="E14" s="103"/>
      <c r="F14" s="103"/>
      <c r="G14" s="10" t="s">
        <v>40</v>
      </c>
      <c r="H14" s="132" t="s">
        <v>41</v>
      </c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 spans="1:31" ht="30.75" thickBot="1">
      <c r="A15" s="3" t="s">
        <v>37</v>
      </c>
      <c r="B15" s="18"/>
      <c r="C15" s="7" t="s">
        <v>38</v>
      </c>
      <c r="D15" s="19"/>
      <c r="E15" s="20"/>
      <c r="F15" s="139"/>
      <c r="G15" s="10" t="s">
        <v>45</v>
      </c>
      <c r="H15" s="132" t="s">
        <v>46</v>
      </c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 spans="1:31" ht="30">
      <c r="A16" s="8" t="s">
        <v>42</v>
      </c>
      <c r="B16" s="10"/>
      <c r="C16" s="7" t="s">
        <v>43</v>
      </c>
      <c r="D16" s="21"/>
      <c r="E16" s="22"/>
      <c r="F16" s="140"/>
      <c r="G16" s="10" t="s">
        <v>50</v>
      </c>
      <c r="H16" s="132" t="s">
        <v>51</v>
      </c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1">
      <c r="A17" s="8" t="s">
        <v>47</v>
      </c>
      <c r="B17" s="10"/>
      <c r="C17" s="90" t="s">
        <v>48</v>
      </c>
      <c r="D17" s="8" t="s">
        <v>49</v>
      </c>
      <c r="E17" s="10">
        <v>6.4</v>
      </c>
      <c r="F17" s="135" t="s">
        <v>35</v>
      </c>
      <c r="G17" s="10" t="s">
        <v>54</v>
      </c>
      <c r="H17" s="132" t="s">
        <v>55</v>
      </c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 spans="1:31" ht="30">
      <c r="A18" s="8" t="s">
        <v>52</v>
      </c>
      <c r="B18" s="10"/>
      <c r="C18" s="90"/>
      <c r="D18" s="8" t="s">
        <v>53</v>
      </c>
      <c r="E18" s="10">
        <v>25</v>
      </c>
      <c r="F18" s="134"/>
      <c r="G18" s="10" t="s">
        <v>58</v>
      </c>
      <c r="H18" s="132" t="s">
        <v>59</v>
      </c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1">
      <c r="A19" s="8" t="s">
        <v>56</v>
      </c>
      <c r="B19" s="10"/>
      <c r="C19" s="90"/>
      <c r="D19" s="8" t="s">
        <v>57</v>
      </c>
      <c r="E19" s="10">
        <v>100</v>
      </c>
      <c r="F19" s="134"/>
      <c r="G19" s="10" t="s">
        <v>62</v>
      </c>
      <c r="H19" s="132" t="s">
        <v>63</v>
      </c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 spans="1:31">
      <c r="A20" s="8" t="s">
        <v>60</v>
      </c>
      <c r="B20" s="10"/>
      <c r="C20" s="90"/>
      <c r="D20" s="8" t="s">
        <v>61</v>
      </c>
      <c r="E20" s="10">
        <v>150</v>
      </c>
      <c r="F20" s="134"/>
      <c r="G20" s="10" t="s">
        <v>66</v>
      </c>
      <c r="H20" s="132" t="s">
        <v>67</v>
      </c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 spans="1:31">
      <c r="A21" s="8" t="s">
        <v>64</v>
      </c>
      <c r="B21" s="10"/>
      <c r="C21" s="90"/>
      <c r="D21" s="8" t="s">
        <v>65</v>
      </c>
      <c r="E21" s="10"/>
      <c r="F21" s="134" t="s">
        <v>40</v>
      </c>
      <c r="G21" s="10" t="s">
        <v>70</v>
      </c>
      <c r="H21" s="132" t="s">
        <v>71</v>
      </c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 spans="1:31" ht="30">
      <c r="A22" s="8" t="s">
        <v>68</v>
      </c>
      <c r="B22" s="10"/>
      <c r="C22" s="90"/>
      <c r="D22" s="8" t="s">
        <v>69</v>
      </c>
      <c r="E22" s="10"/>
      <c r="F22" s="134"/>
      <c r="G22" s="10" t="s">
        <v>74</v>
      </c>
      <c r="H22" s="132" t="s">
        <v>75</v>
      </c>
      <c r="I22" s="60"/>
      <c r="J22" s="60"/>
      <c r="K22" s="60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 spans="1:31">
      <c r="A23" s="8" t="s">
        <v>72</v>
      </c>
      <c r="B23" s="10"/>
      <c r="C23" s="90"/>
      <c r="D23" s="8" t="s">
        <v>73</v>
      </c>
      <c r="E23" s="10"/>
      <c r="F23" s="134"/>
      <c r="G23" s="10" t="s">
        <v>78</v>
      </c>
      <c r="H23" s="132" t="s">
        <v>79</v>
      </c>
      <c r="I23" s="60"/>
      <c r="J23" s="60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 ht="30">
      <c r="A24" s="8" t="s">
        <v>76</v>
      </c>
      <c r="B24" s="10"/>
      <c r="C24" s="90"/>
      <c r="D24" s="8" t="s">
        <v>77</v>
      </c>
      <c r="E24" s="10"/>
      <c r="F24" s="134"/>
      <c r="G24" s="10" t="s">
        <v>82</v>
      </c>
      <c r="H24" s="132" t="s">
        <v>83</v>
      </c>
      <c r="I24" s="60"/>
      <c r="J24" s="60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 spans="1:31">
      <c r="A25" s="8" t="s">
        <v>80</v>
      </c>
      <c r="B25" s="10"/>
      <c r="C25" s="90"/>
      <c r="D25" s="8" t="s">
        <v>81</v>
      </c>
      <c r="E25" s="10"/>
      <c r="F25" s="134"/>
      <c r="G25" s="10" t="s">
        <v>87</v>
      </c>
      <c r="H25" s="132" t="s">
        <v>88</v>
      </c>
      <c r="I25" s="60"/>
      <c r="J25" s="60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>
      <c r="A26" s="23" t="s">
        <v>84</v>
      </c>
      <c r="B26" s="24"/>
      <c r="C26" s="88"/>
      <c r="D26" s="23" t="s">
        <v>85</v>
      </c>
      <c r="E26" s="24" t="s">
        <v>86</v>
      </c>
      <c r="F26" s="79" t="s">
        <v>45</v>
      </c>
      <c r="G26" s="10" t="s">
        <v>90</v>
      </c>
      <c r="H26" s="132" t="s">
        <v>91</v>
      </c>
      <c r="I26" s="60"/>
      <c r="J26" s="60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 spans="1:31">
      <c r="A27" s="8" t="s">
        <v>131</v>
      </c>
      <c r="B27" s="26">
        <v>10.130000000000001</v>
      </c>
      <c r="C27" s="90" t="s">
        <v>132</v>
      </c>
      <c r="D27" s="8" t="s">
        <v>131</v>
      </c>
      <c r="E27" s="26">
        <v>25.64</v>
      </c>
      <c r="F27" s="134" t="s">
        <v>133</v>
      </c>
      <c r="G27" s="10" t="s">
        <v>93</v>
      </c>
      <c r="H27" s="132" t="s">
        <v>94</v>
      </c>
      <c r="I27" s="60"/>
      <c r="J27" s="60"/>
      <c r="K27" s="60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1:31">
      <c r="A28" s="8" t="s">
        <v>134</v>
      </c>
      <c r="B28" s="26">
        <v>1</v>
      </c>
      <c r="C28" s="90"/>
      <c r="D28" s="8" t="s">
        <v>134</v>
      </c>
      <c r="E28" s="26">
        <v>1</v>
      </c>
      <c r="F28" s="134"/>
      <c r="G28" s="10" t="s">
        <v>100</v>
      </c>
      <c r="H28" s="132" t="s">
        <v>136</v>
      </c>
      <c r="I28" s="60"/>
      <c r="J28" s="60"/>
      <c r="K28" s="60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1:31">
      <c r="A29" s="8" t="s">
        <v>135</v>
      </c>
      <c r="B29" s="26">
        <v>64.23</v>
      </c>
      <c r="C29" s="90"/>
      <c r="D29" s="8" t="s">
        <v>135</v>
      </c>
      <c r="E29" s="26">
        <v>171.4</v>
      </c>
      <c r="F29" s="134"/>
      <c r="G29" s="10" t="s">
        <v>102</v>
      </c>
      <c r="H29" s="132" t="s">
        <v>138</v>
      </c>
      <c r="I29" s="60"/>
      <c r="J29" s="60"/>
      <c r="K29" s="60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1:31">
      <c r="A30" s="8" t="s">
        <v>137</v>
      </c>
      <c r="B30" s="26">
        <v>1</v>
      </c>
      <c r="C30" s="90"/>
      <c r="D30" s="8" t="s">
        <v>137</v>
      </c>
      <c r="E30" s="26">
        <v>1</v>
      </c>
      <c r="F30" s="134"/>
      <c r="G30" s="10" t="s">
        <v>141</v>
      </c>
      <c r="H30" s="132" t="s">
        <v>142</v>
      </c>
      <c r="I30" s="60"/>
      <c r="J30" s="60"/>
      <c r="K30" s="60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1:31">
      <c r="A31" s="8" t="s">
        <v>139</v>
      </c>
      <c r="B31" s="27">
        <v>4.59</v>
      </c>
      <c r="C31" s="90"/>
      <c r="D31" s="8" t="s">
        <v>140</v>
      </c>
      <c r="E31" s="27">
        <v>9.702</v>
      </c>
      <c r="F31" s="90"/>
      <c r="G31" s="2"/>
      <c r="H31" s="122"/>
      <c r="I31" s="60"/>
      <c r="J31" s="60"/>
      <c r="K31" s="60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1:31">
      <c r="A32" s="8" t="s">
        <v>143</v>
      </c>
      <c r="B32" s="27">
        <v>0.72</v>
      </c>
      <c r="C32" s="90"/>
      <c r="D32" s="8" t="s">
        <v>143</v>
      </c>
      <c r="E32" s="27">
        <v>0.75</v>
      </c>
      <c r="F32" s="90"/>
      <c r="G32" s="2"/>
      <c r="H32" s="122"/>
      <c r="I32" s="60"/>
      <c r="J32" s="60"/>
      <c r="K32" s="60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:31">
      <c r="A33" s="8" t="s">
        <v>144</v>
      </c>
      <c r="B33" s="27">
        <v>79.94</v>
      </c>
      <c r="C33" s="90"/>
      <c r="D33" s="8" t="s">
        <v>144</v>
      </c>
      <c r="E33" s="27">
        <v>270.39999999999998</v>
      </c>
      <c r="F33" s="90"/>
      <c r="G33" s="2"/>
      <c r="H33" s="122"/>
      <c r="I33" s="60"/>
      <c r="J33" s="60"/>
      <c r="K33" s="60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:31" ht="15.75" thickBot="1">
      <c r="A34" s="14" t="s">
        <v>145</v>
      </c>
      <c r="B34" s="17">
        <v>0.63</v>
      </c>
      <c r="C34" s="91"/>
      <c r="D34" s="14" t="s">
        <v>145</v>
      </c>
      <c r="E34" s="17">
        <v>0.63</v>
      </c>
      <c r="F34" s="91"/>
      <c r="G34" s="2"/>
      <c r="H34" s="122"/>
      <c r="I34" s="60"/>
      <c r="J34" s="60"/>
      <c r="K34" s="60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:31" ht="15.75" thickBot="1">
      <c r="A35" s="111" t="s">
        <v>146</v>
      </c>
      <c r="B35" s="112"/>
      <c r="C35" s="112"/>
      <c r="D35" s="112"/>
      <c r="E35" s="112"/>
      <c r="F35" s="113"/>
      <c r="G35" s="2"/>
      <c r="H35" s="122"/>
      <c r="I35" s="60"/>
      <c r="J35" s="60"/>
      <c r="K35" s="60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 ht="15.75" thickBot="1">
      <c r="A36" s="83" t="s">
        <v>92</v>
      </c>
      <c r="B36" s="84"/>
      <c r="C36" s="84"/>
      <c r="D36" s="84"/>
      <c r="E36" s="84"/>
      <c r="F36" s="85"/>
      <c r="G36" s="2"/>
      <c r="H36" s="122"/>
      <c r="I36" s="60"/>
      <c r="J36" s="60"/>
      <c r="K36" s="60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:31">
      <c r="A37" s="86" t="s">
        <v>95</v>
      </c>
      <c r="B37" s="30" t="s">
        <v>96</v>
      </c>
      <c r="C37" s="30" t="s">
        <v>97</v>
      </c>
      <c r="D37" s="30" t="s">
        <v>98</v>
      </c>
      <c r="E37" s="30" t="s">
        <v>99</v>
      </c>
      <c r="F37" s="81" t="s">
        <v>50</v>
      </c>
      <c r="G37" s="2"/>
      <c r="H37" s="122"/>
      <c r="I37" s="60"/>
      <c r="J37" s="60"/>
      <c r="K37" s="60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 spans="1:31" ht="15.75" thickBot="1">
      <c r="A38" s="87"/>
      <c r="B38" s="15" t="e">
        <f>0.0000214283116554052*SQRT(B18)*E17*E17*SQRT(E5-B12)</f>
        <v>#NUM!</v>
      </c>
      <c r="C38" s="15" t="e">
        <f>0.0000214283116554052*SQRT(B18)*E18*E18*SQRT(E5-B12)</f>
        <v>#NUM!</v>
      </c>
      <c r="D38" s="15" t="e">
        <f>0.0000214283116554052*SQRT(B18)*E19*E19*SQRT(E5-B12)</f>
        <v>#NUM!</v>
      </c>
      <c r="E38" s="15" t="e">
        <f>0.0000214283116554052*SQRT(B18)*E20*E20*SQRT(E5-B12)</f>
        <v>#NUM!</v>
      </c>
      <c r="F38" s="93"/>
      <c r="G38" s="2"/>
      <c r="H38" s="122"/>
      <c r="I38" s="60"/>
      <c r="J38" s="60"/>
      <c r="K38" s="60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 spans="1:31" ht="15.75" thickBot="1">
      <c r="A39" s="83" t="s">
        <v>104</v>
      </c>
      <c r="B39" s="84"/>
      <c r="C39" s="84"/>
      <c r="D39" s="84"/>
      <c r="E39" s="84"/>
      <c r="F39" s="85"/>
      <c r="G39" s="2"/>
      <c r="H39" s="122"/>
      <c r="I39" s="60"/>
      <c r="J39" s="60"/>
      <c r="K39" s="60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:31" ht="15.75" thickBot="1">
      <c r="A40" s="33" t="s">
        <v>107</v>
      </c>
      <c r="B40" s="34"/>
      <c r="C40" s="35" t="s">
        <v>54</v>
      </c>
      <c r="D40" s="36" t="s">
        <v>108</v>
      </c>
      <c r="E40" s="18">
        <f>B40/(B40-8.314)</f>
        <v>0</v>
      </c>
      <c r="F40" s="37"/>
      <c r="G40" s="2"/>
      <c r="H40" s="122"/>
      <c r="I40" s="60"/>
      <c r="J40" s="60"/>
      <c r="K40" s="60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:31" ht="15.75" thickBot="1">
      <c r="A41" s="38" t="s">
        <v>109</v>
      </c>
      <c r="B41" s="39" t="e">
        <f>B12*POWER((E40+1)/2,(E40/E40-1))</f>
        <v>#DIV/0!</v>
      </c>
      <c r="C41" s="40"/>
      <c r="D41" s="41"/>
      <c r="E41" s="15"/>
      <c r="F41" s="42"/>
      <c r="G41" s="2"/>
      <c r="H41" s="122"/>
      <c r="I41" s="60"/>
      <c r="J41" s="60"/>
      <c r="K41" s="60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1:31">
      <c r="A42" s="29"/>
      <c r="B42" s="30" t="s">
        <v>96</v>
      </c>
      <c r="C42" s="30" t="s">
        <v>97</v>
      </c>
      <c r="D42" s="30" t="s">
        <v>98</v>
      </c>
      <c r="E42" s="30" t="s">
        <v>99</v>
      </c>
      <c r="F42" s="81" t="s">
        <v>58</v>
      </c>
      <c r="G42" s="2"/>
      <c r="H42" s="122"/>
      <c r="I42" s="60"/>
      <c r="J42" s="60"/>
      <c r="K42" s="60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 spans="1:31">
      <c r="A43" s="43" t="s">
        <v>110</v>
      </c>
      <c r="B43" s="10" t="e">
        <f>0.0000576480291418949*E17*E17*E5*SQRT((E40*B16/E4)*POWER(2/(E40+1),(E40+1)/(E40-1)))</f>
        <v>#DIV/0!</v>
      </c>
      <c r="C43" s="10" t="e">
        <f>0.0000576480291418949*E18*E18*E5*SQRT((E40*B16/E4)*POWER(2/(E40+1),(E40+1)/(E40-1)))</f>
        <v>#DIV/0!</v>
      </c>
      <c r="D43" s="10" t="e">
        <f>0.0000576480291418949*E19*E19*E5*SQRT((E40*B16/E4)*POWER(2/(E40+1),(E40+1)/(E40-1)))</f>
        <v>#DIV/0!</v>
      </c>
      <c r="E43" s="10" t="e">
        <f>0.0000576480291418949*E20*E20*E5*SQRT((E40*B16/E4)*POWER(2/(E40+1),(E40+1)/(E40-1)))</f>
        <v>#DIV/0!</v>
      </c>
      <c r="F43" s="82"/>
      <c r="G43" s="2"/>
      <c r="H43" s="122"/>
      <c r="I43" s="60"/>
      <c r="J43" s="60"/>
      <c r="K43" s="60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 spans="1:31" ht="15.75" thickBot="1">
      <c r="A44" s="45" t="s">
        <v>111</v>
      </c>
      <c r="B44" s="24" t="e">
        <f>0.0000576480291418949*E17*E17*E5*SQRT((B17*2*E40)/(E4*(E40-1)))*SQRT(1-POWER(B12/E5,(E40-1)/E40)*POWER(B12/E5,1/E40))</f>
        <v>#DIV/0!</v>
      </c>
      <c r="C44" s="24" t="e">
        <f>0.0000576480291418949*E18*E18*E5*SQRT((B17*2*E40)/(E4*(E40-1)))*SQRT(1-POWER(B12/E5,(E40-1)/E40)*POWER(B12/E5,1/E40))</f>
        <v>#DIV/0!</v>
      </c>
      <c r="D44" s="24" t="e">
        <f>0.0000576480291418949*E19*E19*E5*SQRT((B17*2*E40)/(E4*(E40-1)))*SQRT(1-POWER(B12/E5,(E40-1)/E40)*POWER(B12/E5,1/E40))</f>
        <v>#DIV/0!</v>
      </c>
      <c r="E44" s="24" t="e">
        <f>0.0000576480291418949*E20*E20*E5*SQRT((B17*2*E40)/(E4*(E40-1)))*SQRT(1-POWER(B12/E5,(E40-1)/E40)*POWER(B12/E5,1/E40))</f>
        <v>#DIV/0!</v>
      </c>
      <c r="F44" s="82"/>
      <c r="G44" s="2"/>
      <c r="H44" s="122"/>
      <c r="I44" s="60"/>
      <c r="J44" s="60"/>
      <c r="K44" s="60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 spans="1:31" ht="15.75" thickBot="1">
      <c r="A45" s="46" t="s">
        <v>112</v>
      </c>
      <c r="B45" s="47"/>
      <c r="C45" s="47"/>
      <c r="D45" s="47"/>
      <c r="E45" s="47"/>
      <c r="F45" s="48" t="s">
        <v>62</v>
      </c>
      <c r="G45" s="2"/>
      <c r="H45" s="122"/>
      <c r="I45" s="60"/>
      <c r="J45" s="60"/>
      <c r="K45" s="60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 spans="1:31" ht="15.75" thickBot="1">
      <c r="A46" s="49" t="s">
        <v>113</v>
      </c>
      <c r="B46" s="36" t="e">
        <f>4536/B45</f>
        <v>#DIV/0!</v>
      </c>
      <c r="C46" s="5" t="e">
        <f>4536/C45</f>
        <v>#DIV/0!</v>
      </c>
      <c r="D46" s="40" t="e">
        <f>4536/D45</f>
        <v>#DIV/0!</v>
      </c>
      <c r="E46" s="36" t="e">
        <f>4536/E45</f>
        <v>#DIV/0!</v>
      </c>
      <c r="F46" s="50" t="s">
        <v>66</v>
      </c>
      <c r="G46" s="2"/>
      <c r="H46" s="122"/>
      <c r="I46" s="60"/>
      <c r="J46" s="60"/>
      <c r="K46" s="60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 spans="1:31">
      <c r="A47" s="51" t="s">
        <v>114</v>
      </c>
      <c r="B47" s="52"/>
      <c r="C47" s="10"/>
      <c r="D47" s="53"/>
      <c r="E47" s="10"/>
      <c r="F47" s="11" t="s">
        <v>70</v>
      </c>
      <c r="G47" s="2"/>
      <c r="H47" s="122"/>
      <c r="I47" s="60"/>
      <c r="J47" s="60"/>
      <c r="K47" s="60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 spans="1:31">
      <c r="A48" s="51" t="s">
        <v>115</v>
      </c>
      <c r="B48" s="52">
        <v>0</v>
      </c>
      <c r="C48" s="10">
        <v>0</v>
      </c>
      <c r="D48" s="10">
        <v>0</v>
      </c>
      <c r="E48" s="10">
        <v>0</v>
      </c>
      <c r="F48" s="11" t="s">
        <v>74</v>
      </c>
      <c r="G48" s="2"/>
      <c r="H48" s="122"/>
      <c r="I48" s="60"/>
      <c r="J48" s="60"/>
      <c r="K48" s="60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1:31">
      <c r="A49" s="51" t="s">
        <v>116</v>
      </c>
      <c r="B49" s="52">
        <f>E9</f>
        <v>0</v>
      </c>
      <c r="C49" s="10"/>
      <c r="D49" s="10"/>
      <c r="E49" s="10"/>
      <c r="F49" s="11" t="s">
        <v>78</v>
      </c>
      <c r="G49" s="2"/>
      <c r="H49" s="122"/>
      <c r="I49" s="60"/>
      <c r="J49" s="60"/>
      <c r="K49" s="60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1:31">
      <c r="A50" s="51" t="s">
        <v>117</v>
      </c>
      <c r="B50" s="52">
        <f>60*60</f>
        <v>3600</v>
      </c>
      <c r="C50" s="10">
        <f>60*40</f>
        <v>2400</v>
      </c>
      <c r="D50" s="10">
        <f>60*20</f>
        <v>1200</v>
      </c>
      <c r="E50" s="10" t="e">
        <f>E51</f>
        <v>#DIV/0!</v>
      </c>
      <c r="F50" s="11" t="s">
        <v>82</v>
      </c>
      <c r="G50" s="2"/>
      <c r="H50" s="122"/>
      <c r="I50" s="60"/>
      <c r="J50" s="60"/>
      <c r="K50" s="60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1:31">
      <c r="A51" s="51" t="s">
        <v>118</v>
      </c>
      <c r="B51" s="52" t="e">
        <f>B49/B45</f>
        <v>#DIV/0!</v>
      </c>
      <c r="C51" s="10" t="e">
        <f>C49/C45</f>
        <v>#DIV/0!</v>
      </c>
      <c r="D51" s="10" t="e">
        <f>D49/D45</f>
        <v>#DIV/0!</v>
      </c>
      <c r="E51" s="10" t="e">
        <f>E49/E45</f>
        <v>#DIV/0!</v>
      </c>
      <c r="F51" s="11"/>
      <c r="G51" s="2"/>
      <c r="H51" s="122"/>
      <c r="I51" s="60"/>
      <c r="J51" s="60"/>
      <c r="K51" s="60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 spans="1:31">
      <c r="A52" s="51" t="s">
        <v>119</v>
      </c>
      <c r="B52" s="52"/>
      <c r="C52" s="10"/>
      <c r="D52" s="10"/>
      <c r="E52" s="10"/>
      <c r="F52" s="11" t="s">
        <v>87</v>
      </c>
      <c r="G52" s="2"/>
      <c r="H52" s="122"/>
      <c r="I52" s="60"/>
      <c r="J52" s="60"/>
      <c r="K52" s="60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>
      <c r="A53" s="51" t="s">
        <v>120</v>
      </c>
      <c r="B53" s="52">
        <f>B45*B52</f>
        <v>0</v>
      </c>
      <c r="C53" s="10">
        <f>C45*C52</f>
        <v>0</v>
      </c>
      <c r="D53" s="10">
        <f>D45*D52</f>
        <v>0</v>
      </c>
      <c r="E53" s="10">
        <f>E45*E52</f>
        <v>0</v>
      </c>
      <c r="F53" s="11"/>
      <c r="G53" s="2"/>
      <c r="H53" s="122"/>
      <c r="I53" s="60"/>
      <c r="J53" s="60"/>
      <c r="K53" s="60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ht="15.75" thickBot="1">
      <c r="A54" s="54" t="s">
        <v>121</v>
      </c>
      <c r="B54" s="55">
        <f>IF(B53&lt;B49,B53,B49)</f>
        <v>0</v>
      </c>
      <c r="C54" s="24">
        <f>IF(C53&lt;C49,C53,C49)</f>
        <v>0</v>
      </c>
      <c r="D54" s="24">
        <f>IF(D53&lt;D49,D53,D49)</f>
        <v>0</v>
      </c>
      <c r="E54" s="24">
        <f>IF(E53&lt;E49,E53,E49)</f>
        <v>0</v>
      </c>
      <c r="F54" s="25" t="s">
        <v>90</v>
      </c>
      <c r="G54" s="2"/>
      <c r="H54" s="122"/>
      <c r="I54" s="60"/>
      <c r="J54" s="60"/>
      <c r="K54" s="60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 spans="1:31" ht="15.75" thickBot="1">
      <c r="A55" s="56" t="s">
        <v>122</v>
      </c>
      <c r="B55" s="57"/>
      <c r="C55" s="58"/>
      <c r="D55" s="58"/>
      <c r="E55" s="58"/>
      <c r="F55" s="31" t="s">
        <v>93</v>
      </c>
      <c r="G55" s="2"/>
      <c r="H55" s="122"/>
      <c r="I55" s="60"/>
      <c r="J55" s="60"/>
      <c r="K55" s="60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15.75" thickBot="1">
      <c r="A56" s="105" t="s">
        <v>147</v>
      </c>
      <c r="B56" s="106"/>
      <c r="C56" s="106"/>
      <c r="D56" s="106"/>
      <c r="E56" s="106"/>
      <c r="F56" s="107"/>
      <c r="G56" s="2"/>
      <c r="H56" s="122"/>
      <c r="I56" s="60"/>
      <c r="J56" s="60"/>
      <c r="K56" s="60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>
      <c r="A57" s="29"/>
      <c r="B57" s="18" t="s">
        <v>49</v>
      </c>
      <c r="C57" s="18" t="s">
        <v>53</v>
      </c>
      <c r="D57" s="18" t="s">
        <v>57</v>
      </c>
      <c r="E57" s="18" t="s">
        <v>61</v>
      </c>
      <c r="F57" s="7"/>
      <c r="G57" s="2"/>
      <c r="H57" s="122"/>
      <c r="I57" s="60"/>
      <c r="J57" s="60"/>
      <c r="K57" s="60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>
      <c r="A58" s="8" t="s">
        <v>148</v>
      </c>
      <c r="B58" s="10" t="e">
        <f>4*LOG10(2.205*B54)-15</f>
        <v>#NUM!</v>
      </c>
      <c r="C58" s="10" t="e">
        <f>4*LOG10(2.205*C54)-15</f>
        <v>#NUM!</v>
      </c>
      <c r="D58" s="10" t="e">
        <f>4*LOG10(2.205*D54)-15</f>
        <v>#NUM!</v>
      </c>
      <c r="E58" s="10" t="e">
        <f>4*LOG10(2.205*E54)-15</f>
        <v>#NUM!</v>
      </c>
      <c r="F58" s="11" t="s">
        <v>100</v>
      </c>
      <c r="G58" s="2"/>
      <c r="H58" s="122"/>
      <c r="I58" s="60"/>
      <c r="J58" s="60"/>
      <c r="K58" s="60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>
      <c r="A59" s="8" t="s">
        <v>149</v>
      </c>
      <c r="B59" s="10">
        <f>(B27*POWER(B45,B28))*(1-E12)</f>
        <v>0</v>
      </c>
      <c r="C59" s="10">
        <f>(B27*POWER(C45,B28))*(1-E12)</f>
        <v>0</v>
      </c>
      <c r="D59" s="10">
        <f>(B27*POWER(D45,B28))*(1-E12)</f>
        <v>0</v>
      </c>
      <c r="E59" s="10">
        <f>(B27*POWER(E45,B28))*(1-E12)</f>
        <v>0</v>
      </c>
      <c r="F59" s="90" t="s">
        <v>150</v>
      </c>
      <c r="G59" s="2"/>
      <c r="H59" s="122"/>
      <c r="I59" s="60"/>
      <c r="J59" s="60"/>
      <c r="K59" s="60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1:31">
      <c r="A60" s="8" t="s">
        <v>151</v>
      </c>
      <c r="B60" s="10">
        <f>(B29*POWER(B45,B30))*(1-E12)</f>
        <v>0</v>
      </c>
      <c r="C60" s="10">
        <f>(B29*POWER(C45,B30))*(1-E12)</f>
        <v>0</v>
      </c>
      <c r="D60" s="10">
        <f>(B29*POWER(D45,B30))*(1-E12)</f>
        <v>0</v>
      </c>
      <c r="E60" s="10">
        <f>(B29*POWER(E45,B30))*(1-E12)</f>
        <v>0</v>
      </c>
      <c r="F60" s="90"/>
      <c r="G60" s="2"/>
      <c r="H60" s="122"/>
      <c r="I60" s="60"/>
      <c r="J60" s="60"/>
      <c r="K60" s="60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1:31">
      <c r="A61" s="8" t="s">
        <v>152</v>
      </c>
      <c r="B61" s="10" t="e">
        <f>(B31*POWER(B54,B32))*(1-E12)/B58</f>
        <v>#NUM!</v>
      </c>
      <c r="C61" s="10" t="e">
        <f>(B31*POWER(C54,B32))*(1-E12)/C58</f>
        <v>#NUM!</v>
      </c>
      <c r="D61" s="10" t="e">
        <f>(B31*POWER(D54,B32))*(1-E12)/D58</f>
        <v>#NUM!</v>
      </c>
      <c r="E61" s="10" t="e">
        <f>(B31*POWER(E54,B32))*(1-E12)/E58</f>
        <v>#NUM!</v>
      </c>
      <c r="F61" s="90"/>
      <c r="G61" s="2"/>
      <c r="H61" s="122"/>
      <c r="I61" s="60"/>
      <c r="J61" s="60"/>
      <c r="K61" s="60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1:31">
      <c r="A62" s="8" t="s">
        <v>153</v>
      </c>
      <c r="B62" s="10" t="e">
        <f>(B33*POWER(B54,B34))*(1-E12)/B58</f>
        <v>#NUM!</v>
      </c>
      <c r="C62" s="10" t="e">
        <f>(B33*POWER(C54,B34))*(1-E12)/C58</f>
        <v>#NUM!</v>
      </c>
      <c r="D62" s="10" t="e">
        <f>(B33*POWER(D54,B34))*(1-E12)/D58</f>
        <v>#NUM!</v>
      </c>
      <c r="E62" s="10" t="e">
        <f>(B33*POWER(E54,B34))*(1-E12)/E58</f>
        <v>#NUM!</v>
      </c>
      <c r="F62" s="90"/>
      <c r="G62" s="2"/>
      <c r="H62" s="122"/>
      <c r="I62" s="60"/>
      <c r="J62" s="60"/>
      <c r="K62" s="60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1:31">
      <c r="A63" s="8" t="s">
        <v>154</v>
      </c>
      <c r="B63" s="10">
        <f>(E27*POWER(B45,E28))*(1-E12)</f>
        <v>0</v>
      </c>
      <c r="C63" s="10">
        <f>(E27*POWER(C45,E28))*(1-E12)</f>
        <v>0</v>
      </c>
      <c r="D63" s="10">
        <f>(E27*POWER(D45,E28))*(1-E12)</f>
        <v>0</v>
      </c>
      <c r="E63" s="10">
        <f>(E27*POWER(E45,E28))*(1-E12)</f>
        <v>0</v>
      </c>
      <c r="F63" s="90"/>
      <c r="G63" s="2"/>
      <c r="H63" s="122"/>
      <c r="I63" s="60"/>
      <c r="J63" s="60"/>
      <c r="K63" s="60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1:31">
      <c r="A64" s="8" t="s">
        <v>155</v>
      </c>
      <c r="B64" s="10">
        <f>(E29*POWER(B45,E30))*(1-E12)</f>
        <v>0</v>
      </c>
      <c r="C64" s="10">
        <f>(E29*POWER(C45,E30))*(1-E12)</f>
        <v>0</v>
      </c>
      <c r="D64" s="10">
        <f>(E29*POWER(D45,E30))*(1-E12)</f>
        <v>0</v>
      </c>
      <c r="E64" s="10">
        <f>(E29*POWER(E45,E30))*(1-E12)</f>
        <v>0</v>
      </c>
      <c r="F64" s="90"/>
      <c r="G64" s="2"/>
      <c r="H64" s="122"/>
      <c r="I64" s="60"/>
      <c r="J64" s="60"/>
      <c r="K64" s="60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 spans="1:31">
      <c r="A65" s="8" t="s">
        <v>156</v>
      </c>
      <c r="B65" s="10" t="e">
        <f>(E31*POWER(B54,E32))*(1-E12)/B58</f>
        <v>#NUM!</v>
      </c>
      <c r="C65" s="10" t="e">
        <f>(E31*POWER(C54,E32))*(1-E12)/C58</f>
        <v>#NUM!</v>
      </c>
      <c r="D65" s="10" t="e">
        <f>(E31*POWER(D54,E32))*(1-E12)/D58</f>
        <v>#NUM!</v>
      </c>
      <c r="E65" s="10" t="e">
        <f>(E31*POWER(E54,E32))*(1-E12)/E58</f>
        <v>#NUM!</v>
      </c>
      <c r="F65" s="90"/>
      <c r="G65" s="2"/>
      <c r="H65" s="122"/>
      <c r="I65" s="60"/>
      <c r="J65" s="60"/>
      <c r="K65" s="60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 spans="1:31" ht="15.75" thickBot="1">
      <c r="A66" s="14" t="s">
        <v>157</v>
      </c>
      <c r="B66" s="15" t="e">
        <f>(E33*POWER(B54,E34))*(1-E12)/B58</f>
        <v>#NUM!</v>
      </c>
      <c r="C66" s="15" t="e">
        <f>(E33*POWER(C54,E34))*(1-E12)/C58</f>
        <v>#NUM!</v>
      </c>
      <c r="D66" s="15" t="e">
        <f>(E33*POWER(D54,E34))*(1-E12)/D58</f>
        <v>#NUM!</v>
      </c>
      <c r="E66" s="15" t="e">
        <f>(E33*POWER(E54,E34))*(1-E12)/E58</f>
        <v>#NUM!</v>
      </c>
      <c r="F66" s="91"/>
      <c r="G66" s="2"/>
      <c r="H66" s="122"/>
      <c r="I66" s="60"/>
      <c r="J66" s="60"/>
      <c r="K66" s="60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 spans="1:31">
      <c r="A67" s="108" t="s">
        <v>158</v>
      </c>
      <c r="B67" s="109"/>
      <c r="C67" s="109"/>
      <c r="D67" s="109"/>
      <c r="E67" s="109"/>
      <c r="F67" s="110"/>
      <c r="G67" s="2"/>
      <c r="H67" s="122"/>
      <c r="I67" s="60"/>
      <c r="J67" s="60"/>
      <c r="K67" s="60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 spans="1:31">
      <c r="A68" s="43"/>
      <c r="B68" s="10" t="s">
        <v>49</v>
      </c>
      <c r="C68" s="10" t="s">
        <v>53</v>
      </c>
      <c r="D68" s="10" t="s">
        <v>57</v>
      </c>
      <c r="E68" s="10" t="s">
        <v>61</v>
      </c>
      <c r="F68" s="11"/>
      <c r="G68" s="2"/>
      <c r="H68" s="122"/>
      <c r="I68" s="60"/>
      <c r="J68" s="60"/>
      <c r="K68" s="60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 spans="1:31">
      <c r="A69" s="43" t="s">
        <v>159</v>
      </c>
      <c r="B69" s="10">
        <f>B45/25.2</f>
        <v>0</v>
      </c>
      <c r="C69" s="10">
        <f>C45/25.2</f>
        <v>0</v>
      </c>
      <c r="D69" s="10">
        <f>D45/25.2</f>
        <v>0</v>
      </c>
      <c r="E69" s="10">
        <f>E45/25.2</f>
        <v>0</v>
      </c>
      <c r="F69" s="11"/>
      <c r="G69" s="2"/>
      <c r="H69" s="122"/>
      <c r="I69" s="60"/>
      <c r="J69" s="60"/>
      <c r="K69" s="60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 spans="1:31">
      <c r="A70" s="8" t="s">
        <v>160</v>
      </c>
      <c r="B70" s="10"/>
      <c r="C70" s="10"/>
      <c r="D70" s="10"/>
      <c r="E70" s="10"/>
      <c r="F70" s="11" t="s">
        <v>102</v>
      </c>
      <c r="G70" s="2"/>
      <c r="H70" s="122"/>
      <c r="I70" s="60"/>
      <c r="J70" s="60"/>
      <c r="K70" s="60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 spans="1:31">
      <c r="A71" s="8" t="s">
        <v>161</v>
      </c>
      <c r="B71" s="10" t="e">
        <f>B61*B70+B59*(1-B70)</f>
        <v>#NUM!</v>
      </c>
      <c r="C71" s="10" t="e">
        <f>C61*C70+C59*(1-C70)</f>
        <v>#NUM!</v>
      </c>
      <c r="D71" s="10" t="e">
        <f>D61*D70+D59*(1-D70)</f>
        <v>#NUM!</v>
      </c>
      <c r="E71" s="10" t="e">
        <f>E61*E70+E59*(1-E70)</f>
        <v>#NUM!</v>
      </c>
      <c r="F71" s="88" t="s">
        <v>150</v>
      </c>
      <c r="G71" s="2"/>
      <c r="H71" s="122"/>
      <c r="I71" s="60"/>
      <c r="J71" s="60"/>
      <c r="K71" s="60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 spans="1:31">
      <c r="A72" s="8" t="s">
        <v>162</v>
      </c>
      <c r="B72" s="10" t="e">
        <f>B62*B70+B60*(1-B70)</f>
        <v>#NUM!</v>
      </c>
      <c r="C72" s="10" t="e">
        <f>C62*C70+C60*(1-C70)</f>
        <v>#NUM!</v>
      </c>
      <c r="D72" s="10" t="e">
        <f>D62*D70+D60*(1-D70)</f>
        <v>#NUM!</v>
      </c>
      <c r="E72" s="10" t="e">
        <f>E62*E70+E60*(1-E70)</f>
        <v>#NUM!</v>
      </c>
      <c r="F72" s="82"/>
      <c r="G72" s="2"/>
      <c r="H72" s="122"/>
      <c r="I72" s="60"/>
      <c r="J72" s="60"/>
      <c r="K72" s="60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 spans="1:31">
      <c r="A73" s="8" t="s">
        <v>163</v>
      </c>
      <c r="B73" s="10" t="e">
        <f>B65*B70+B63*(1-B70)</f>
        <v>#NUM!</v>
      </c>
      <c r="C73" s="10" t="e">
        <f>C65*C70+C63*(1-C70)</f>
        <v>#NUM!</v>
      </c>
      <c r="D73" s="10" t="e">
        <f>D65*D70+D63*(1-D70)</f>
        <v>#NUM!</v>
      </c>
      <c r="E73" s="10" t="e">
        <f>E65*E70+E63*(1-E70)</f>
        <v>#NUM!</v>
      </c>
      <c r="F73" s="82"/>
      <c r="G73" s="2"/>
      <c r="H73" s="122"/>
      <c r="I73" s="60"/>
      <c r="J73" s="60"/>
      <c r="K73" s="60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 spans="1:31" ht="15.75" thickBot="1">
      <c r="A74" s="14" t="s">
        <v>164</v>
      </c>
      <c r="B74" s="15" t="e">
        <f>B66*B70+B64*(1-B70)</f>
        <v>#NUM!</v>
      </c>
      <c r="C74" s="15" t="e">
        <f>C66*C70+C64*(1-C70)</f>
        <v>#NUM!</v>
      </c>
      <c r="D74" s="15" t="e">
        <f>D66*D70+D64*(1-D70)</f>
        <v>#NUM!</v>
      </c>
      <c r="E74" s="15" t="e">
        <f>E66*E70+E64*(1-E70)</f>
        <v>#NUM!</v>
      </c>
      <c r="F74" s="93"/>
      <c r="G74" s="2"/>
      <c r="H74" s="122"/>
      <c r="I74" s="60"/>
      <c r="J74" s="60"/>
      <c r="K74" s="60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 spans="1:31">
      <c r="A75" s="108" t="s">
        <v>165</v>
      </c>
      <c r="B75" s="109"/>
      <c r="C75" s="109"/>
      <c r="D75" s="109"/>
      <c r="E75" s="109"/>
      <c r="F75" s="110"/>
      <c r="G75" s="2"/>
      <c r="H75" s="122"/>
      <c r="I75" s="60"/>
      <c r="J75" s="60"/>
      <c r="K75" s="60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 spans="1:31">
      <c r="A76" s="61" t="s">
        <v>166</v>
      </c>
      <c r="B76" s="26">
        <f>E4-55.6</f>
        <v>-55.6</v>
      </c>
      <c r="C76" s="104" t="s">
        <v>141</v>
      </c>
      <c r="D76" s="26" t="s">
        <v>167</v>
      </c>
      <c r="E76" s="10">
        <f>(E4-B26+55.6)/101.2</f>
        <v>0.54940711462450598</v>
      </c>
      <c r="F76" s="92" t="s">
        <v>141</v>
      </c>
      <c r="G76" s="2"/>
      <c r="H76" s="122"/>
      <c r="I76" s="60"/>
      <c r="J76" s="60"/>
      <c r="K76" s="60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 spans="1:31">
      <c r="A77" s="61" t="s">
        <v>168</v>
      </c>
      <c r="B77" s="26">
        <f>E4+55.6</f>
        <v>55.6</v>
      </c>
      <c r="C77" s="104"/>
      <c r="D77" s="62" t="s">
        <v>169</v>
      </c>
      <c r="E77" s="10"/>
      <c r="F77" s="92"/>
      <c r="G77" s="2"/>
      <c r="H77" s="122"/>
      <c r="I77" s="60"/>
      <c r="J77" s="60"/>
      <c r="K77" s="60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 spans="1:31">
      <c r="A78" s="8" t="s">
        <v>170</v>
      </c>
      <c r="B78" s="10" t="e">
        <f>B72*E77+B71*(1-E77)</f>
        <v>#NUM!</v>
      </c>
      <c r="C78" s="10" t="e">
        <f>C72*E77+C71*(1-E77)</f>
        <v>#NUM!</v>
      </c>
      <c r="D78" s="10" t="e">
        <f>D72*E77+D71*(1-E77)</f>
        <v>#NUM!</v>
      </c>
      <c r="E78" s="10" t="e">
        <f>E72*E77+E71*(1-E77)</f>
        <v>#NUM!</v>
      </c>
      <c r="F78" s="11"/>
      <c r="G78" s="2"/>
      <c r="H78" s="122"/>
      <c r="I78" s="60"/>
      <c r="J78" s="60"/>
      <c r="K78" s="60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1:31" ht="15.75" thickBot="1">
      <c r="A79" s="14" t="s">
        <v>171</v>
      </c>
      <c r="B79" s="15" t="e">
        <f>B74*E77+B73*(1-E77)</f>
        <v>#NUM!</v>
      </c>
      <c r="C79" s="15" t="e">
        <f>C74*E77+C73*(1-E77)</f>
        <v>#NUM!</v>
      </c>
      <c r="D79" s="15" t="e">
        <f>D74*E77+D73*(1-E77)</f>
        <v>#NUM!</v>
      </c>
      <c r="E79" s="15" t="e">
        <f>E74*E77+E73*(1-E77)</f>
        <v>#NUM!</v>
      </c>
      <c r="F79" s="28"/>
      <c r="G79" s="2"/>
      <c r="H79" s="122"/>
      <c r="I79" s="60"/>
      <c r="J79" s="60"/>
      <c r="K79" s="60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31">
      <c r="A80" s="63" t="s">
        <v>172</v>
      </c>
      <c r="B80" s="53" t="e">
        <f>(B78*E21+C78*E22+D78*E23+E78*E24)/E25</f>
        <v>#NUM!</v>
      </c>
      <c r="C80" s="53"/>
      <c r="D80" s="53"/>
      <c r="E80" s="53"/>
      <c r="F80" s="64"/>
      <c r="G80" s="2"/>
      <c r="H80" s="122"/>
      <c r="I80" s="60"/>
      <c r="J80" s="60"/>
      <c r="K80" s="60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 spans="1:31" ht="15.75" thickBot="1">
      <c r="A81" s="65" t="s">
        <v>173</v>
      </c>
      <c r="B81" s="15" t="e">
        <f>(B79*E21+C79*E22+D79*E23+E79*E24)/E25</f>
        <v>#NUM!</v>
      </c>
      <c r="C81" s="15"/>
      <c r="D81" s="15"/>
      <c r="E81" s="15"/>
      <c r="F81" s="28"/>
      <c r="G81" s="2"/>
      <c r="H81" s="122"/>
      <c r="I81" s="60"/>
      <c r="J81" s="60"/>
      <c r="K81" s="60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1:31">
      <c r="A82" s="2"/>
      <c r="B82" s="2"/>
      <c r="C82" s="2"/>
      <c r="D82" s="2"/>
      <c r="E82" s="2"/>
      <c r="F82" s="2"/>
      <c r="G82" s="2"/>
      <c r="H82" s="122"/>
      <c r="I82" s="60"/>
      <c r="J82" s="60"/>
      <c r="K82" s="60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 spans="1:31">
      <c r="A83" s="2"/>
      <c r="B83" s="2"/>
      <c r="C83" s="2"/>
      <c r="D83" s="2"/>
      <c r="E83" s="2"/>
      <c r="F83" s="2"/>
      <c r="G83" s="2"/>
      <c r="H83" s="122"/>
      <c r="I83" s="60"/>
      <c r="J83" s="60"/>
      <c r="K83" s="60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 spans="1:31">
      <c r="A84" s="2"/>
      <c r="B84" s="2"/>
      <c r="C84" s="2"/>
      <c r="D84" s="2"/>
      <c r="E84" s="2"/>
      <c r="F84" s="2"/>
      <c r="G84" s="2"/>
      <c r="H84" s="122"/>
      <c r="I84" s="60"/>
      <c r="J84" s="60"/>
      <c r="K84" s="60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 spans="1:31">
      <c r="A85" s="2"/>
      <c r="B85" s="2"/>
      <c r="C85" s="2"/>
      <c r="D85" s="2"/>
      <c r="E85" s="2"/>
      <c r="F85" s="2"/>
      <c r="G85" s="60"/>
      <c r="H85" s="123"/>
      <c r="I85" s="60"/>
      <c r="J85" s="60"/>
      <c r="K85" s="60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 spans="1:31">
      <c r="A86" s="60"/>
      <c r="B86" s="60"/>
      <c r="C86" s="60"/>
      <c r="D86" s="60"/>
      <c r="E86" s="60"/>
      <c r="F86" s="60"/>
      <c r="G86" s="60"/>
      <c r="H86" s="123"/>
      <c r="I86" s="60"/>
      <c r="J86" s="60"/>
      <c r="K86" s="60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 spans="1:31">
      <c r="A87" s="60"/>
      <c r="B87" s="60"/>
      <c r="C87" s="60"/>
      <c r="D87" s="60"/>
      <c r="E87" s="60"/>
      <c r="F87" s="60"/>
      <c r="G87" s="60"/>
      <c r="H87" s="123"/>
      <c r="I87" s="60"/>
      <c r="J87" s="60"/>
      <c r="K87" s="60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 spans="1:31">
      <c r="A88" s="60"/>
      <c r="B88" s="60"/>
      <c r="C88" s="60"/>
      <c r="D88" s="60"/>
      <c r="E88" s="60"/>
      <c r="F88" s="60"/>
      <c r="G88" s="60"/>
      <c r="H88" s="123"/>
      <c r="I88" s="60"/>
      <c r="J88" s="60"/>
      <c r="K88" s="60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 spans="1:31">
      <c r="A89" s="60"/>
      <c r="B89" s="60"/>
      <c r="C89" s="60"/>
      <c r="D89" s="60"/>
      <c r="E89" s="60"/>
      <c r="F89" s="60"/>
      <c r="G89" s="60"/>
      <c r="H89" s="123"/>
      <c r="I89" s="60"/>
      <c r="J89" s="60"/>
      <c r="K89" s="60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 spans="1:31">
      <c r="A90" s="60"/>
      <c r="B90" s="60"/>
      <c r="C90" s="60"/>
      <c r="D90" s="60"/>
      <c r="E90" s="60"/>
      <c r="F90" s="60"/>
      <c r="G90" s="60"/>
      <c r="H90" s="123"/>
      <c r="I90" s="60"/>
      <c r="J90" s="60"/>
      <c r="K90" s="60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1:31">
      <c r="A91" s="60"/>
      <c r="B91" s="60"/>
      <c r="C91" s="60"/>
      <c r="D91" s="60"/>
      <c r="E91" s="60"/>
      <c r="F91" s="60"/>
      <c r="G91" s="60"/>
      <c r="H91" s="123"/>
      <c r="I91" s="60"/>
      <c r="J91" s="60"/>
      <c r="K91" s="60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 spans="1:31">
      <c r="A92" s="60"/>
      <c r="B92" s="60"/>
      <c r="C92" s="60"/>
      <c r="D92" s="60"/>
      <c r="E92" s="60"/>
      <c r="F92" s="60"/>
      <c r="G92" s="60"/>
      <c r="H92" s="123"/>
      <c r="I92" s="60"/>
      <c r="J92" s="60"/>
      <c r="K92" s="60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 spans="1:31">
      <c r="A93" s="60"/>
      <c r="B93" s="60"/>
      <c r="C93" s="60"/>
      <c r="D93" s="60"/>
      <c r="E93" s="60"/>
      <c r="F93" s="60"/>
      <c r="G93" s="60"/>
      <c r="H93" s="123"/>
      <c r="I93" s="60"/>
      <c r="J93" s="60"/>
      <c r="K93" s="60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 spans="1:31">
      <c r="A94" s="60"/>
      <c r="B94" s="60"/>
      <c r="C94" s="60"/>
      <c r="D94" s="60"/>
      <c r="E94" s="60"/>
      <c r="F94" s="60"/>
      <c r="G94" s="60"/>
      <c r="H94" s="123"/>
      <c r="I94" s="60"/>
      <c r="J94" s="60"/>
      <c r="K94" s="60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 spans="1:31">
      <c r="A95" s="60"/>
      <c r="B95" s="60"/>
      <c r="C95" s="60"/>
      <c r="D95" s="60"/>
      <c r="E95" s="60"/>
      <c r="F95" s="60"/>
      <c r="G95" s="60"/>
      <c r="H95" s="123"/>
      <c r="I95" s="60"/>
      <c r="J95" s="60"/>
      <c r="K95" s="60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 spans="1:31">
      <c r="A96" s="60"/>
      <c r="B96" s="60"/>
      <c r="C96" s="60"/>
      <c r="D96" s="60"/>
      <c r="E96" s="60"/>
      <c r="F96" s="60"/>
      <c r="G96" s="60"/>
      <c r="H96" s="123"/>
      <c r="I96" s="60"/>
      <c r="J96" s="60"/>
      <c r="K96" s="60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 spans="1:31">
      <c r="A97" s="60"/>
      <c r="B97" s="60"/>
      <c r="C97" s="60"/>
      <c r="D97" s="60"/>
      <c r="E97" s="60"/>
      <c r="F97" s="60"/>
      <c r="G97" s="60"/>
      <c r="H97" s="123"/>
      <c r="I97" s="60"/>
      <c r="J97" s="60"/>
      <c r="K97" s="60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 spans="1:31">
      <c r="A98" s="60"/>
      <c r="B98" s="60"/>
      <c r="C98" s="60"/>
      <c r="D98" s="60"/>
      <c r="E98" s="60"/>
      <c r="F98" s="60"/>
      <c r="G98" s="60"/>
      <c r="H98" s="123"/>
      <c r="I98" s="60"/>
      <c r="J98" s="60"/>
      <c r="K98" s="60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 spans="1:31">
      <c r="A99" s="60"/>
      <c r="B99" s="60"/>
      <c r="C99" s="60"/>
      <c r="D99" s="60"/>
      <c r="E99" s="60"/>
      <c r="F99" s="60"/>
      <c r="G99" s="60"/>
      <c r="H99" s="123"/>
      <c r="I99" s="60"/>
      <c r="J99" s="60"/>
      <c r="K99" s="60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 spans="1:31">
      <c r="A100" s="60"/>
      <c r="B100" s="60"/>
      <c r="C100" s="60"/>
      <c r="D100" s="60"/>
      <c r="E100" s="60"/>
      <c r="F100" s="60"/>
      <c r="G100" s="60"/>
      <c r="H100" s="123"/>
      <c r="I100" s="60"/>
      <c r="J100" s="60"/>
      <c r="K100" s="60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 spans="1:31">
      <c r="A101" s="60"/>
      <c r="B101" s="60"/>
      <c r="C101" s="60"/>
      <c r="D101" s="60"/>
      <c r="E101" s="60"/>
      <c r="F101" s="60"/>
      <c r="G101" s="60"/>
      <c r="H101" s="123"/>
      <c r="I101" s="60"/>
      <c r="J101" s="60"/>
      <c r="K101" s="60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 spans="1:31">
      <c r="A102" s="60"/>
      <c r="B102" s="60"/>
      <c r="C102" s="60"/>
      <c r="D102" s="60"/>
      <c r="E102" s="60"/>
      <c r="F102" s="60"/>
      <c r="G102" s="60"/>
      <c r="H102" s="123"/>
      <c r="I102" s="60"/>
      <c r="J102" s="60"/>
      <c r="K102" s="60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 spans="1:31">
      <c r="A103" s="60"/>
      <c r="B103" s="60"/>
      <c r="C103" s="60"/>
      <c r="D103" s="60"/>
      <c r="E103" s="60"/>
      <c r="F103" s="60"/>
      <c r="G103" s="60"/>
      <c r="H103" s="123"/>
      <c r="I103" s="60"/>
      <c r="J103" s="60"/>
      <c r="K103" s="60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 spans="1:31">
      <c r="A104" s="60"/>
      <c r="B104" s="60"/>
      <c r="C104" s="60"/>
      <c r="D104" s="60"/>
      <c r="E104" s="60"/>
      <c r="F104" s="60"/>
      <c r="G104" s="60"/>
      <c r="H104" s="123"/>
      <c r="I104" s="60"/>
      <c r="J104" s="60"/>
      <c r="K104" s="60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 spans="1:31">
      <c r="A105" s="60"/>
      <c r="B105" s="60"/>
      <c r="C105" s="60"/>
      <c r="D105" s="60"/>
      <c r="E105" s="60"/>
      <c r="F105" s="60"/>
      <c r="G105" s="60"/>
      <c r="H105" s="123"/>
      <c r="I105" s="60"/>
      <c r="J105" s="60"/>
      <c r="K105" s="60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 spans="1:31">
      <c r="A106" s="60"/>
      <c r="B106" s="60"/>
      <c r="C106" s="60"/>
      <c r="D106" s="60"/>
      <c r="E106" s="60"/>
      <c r="F106" s="60"/>
      <c r="G106" s="60"/>
      <c r="H106" s="123"/>
      <c r="I106" s="60"/>
      <c r="J106" s="60"/>
      <c r="K106" s="60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 spans="1:31">
      <c r="A107" s="60"/>
      <c r="B107" s="60"/>
      <c r="C107" s="60"/>
      <c r="D107" s="60"/>
      <c r="E107" s="60"/>
      <c r="F107" s="60"/>
      <c r="G107" s="60"/>
      <c r="H107" s="123"/>
      <c r="I107" s="60"/>
      <c r="J107" s="60"/>
      <c r="K107" s="60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 spans="1:31">
      <c r="A108" s="60"/>
      <c r="B108" s="60"/>
      <c r="C108" s="60"/>
      <c r="D108" s="60"/>
      <c r="E108" s="60"/>
      <c r="F108" s="60"/>
      <c r="G108" s="60"/>
      <c r="H108" s="123"/>
      <c r="I108" s="60"/>
      <c r="J108" s="60"/>
      <c r="K108" s="60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 spans="1:31">
      <c r="A109" s="60"/>
      <c r="B109" s="60"/>
      <c r="C109" s="60"/>
      <c r="D109" s="60"/>
      <c r="E109" s="60"/>
      <c r="F109" s="60"/>
      <c r="G109" s="60"/>
      <c r="H109" s="123"/>
      <c r="I109" s="60"/>
      <c r="J109" s="60"/>
      <c r="K109" s="60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 spans="1:31">
      <c r="A110" s="60"/>
      <c r="B110" s="60"/>
      <c r="C110" s="60"/>
      <c r="D110" s="60"/>
      <c r="E110" s="60"/>
      <c r="F110" s="60"/>
      <c r="I110" s="60"/>
      <c r="J110" s="60"/>
      <c r="K110" s="60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</sheetData>
  <mergeCells count="24">
    <mergeCell ref="A1:F1"/>
    <mergeCell ref="A2:F2"/>
    <mergeCell ref="A14:F14"/>
    <mergeCell ref="A35:F35"/>
    <mergeCell ref="A36:F36"/>
    <mergeCell ref="C17:C26"/>
    <mergeCell ref="C27:C34"/>
    <mergeCell ref="C6:C7"/>
    <mergeCell ref="G9:G11"/>
    <mergeCell ref="H9:H11"/>
    <mergeCell ref="C76:C77"/>
    <mergeCell ref="F17:F20"/>
    <mergeCell ref="F21:F25"/>
    <mergeCell ref="F27:F34"/>
    <mergeCell ref="F37:F38"/>
    <mergeCell ref="F42:F44"/>
    <mergeCell ref="F59:F66"/>
    <mergeCell ref="F71:F74"/>
    <mergeCell ref="F76:F77"/>
    <mergeCell ref="A39:F39"/>
    <mergeCell ref="A56:F56"/>
    <mergeCell ref="A67:F67"/>
    <mergeCell ref="A75:F75"/>
    <mergeCell ref="A37:A38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Pipe CLuster COF</vt:lpstr>
      <vt:lpstr>Toxic</vt:lpstr>
      <vt:lpstr>flammable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dcterms:created xsi:type="dcterms:W3CDTF">2006-09-16T00:00:00Z</dcterms:created>
  <dcterms:modified xsi:type="dcterms:W3CDTF">2019-12-28T14:45:18Z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